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ESSA-NCLB Distributions\2 - NCLB Archives\FY1415\"/>
    </mc:Choice>
  </mc:AlternateContent>
  <bookViews>
    <workbookView xWindow="120" yWindow="660" windowWidth="16488" windowHeight="8772" tabRatio="950"/>
  </bookViews>
  <sheets>
    <sheet name="SUMMARY OF FORMULA GRANT" sheetId="7" r:id="rId1"/>
    <sheet name="NCLB Title I-A Formula" sheetId="1" r:id="rId2"/>
    <sheet name="NCLB Title I-C Migrant" sheetId="8" r:id="rId3"/>
    <sheet name="NCLB Title I-Delinquent" sheetId="10" r:id="rId4"/>
    <sheet name="StateAgenciesTitle I-Delinquent" sheetId="11" r:id="rId5"/>
    <sheet name="NCLB Title II-A Formula" sheetId="14" r:id="rId6"/>
    <sheet name="NCLB Title III-A " sheetId="3" r:id="rId7"/>
    <sheet name="NCLB Title III SAI" sheetId="4" r:id="rId8"/>
    <sheet name="TITLE VI RURAL LI" sheetId="5" r:id="rId9"/>
  </sheets>
  <definedNames>
    <definedName name="_xlnm._FilterDatabase" localSheetId="1" hidden="1">'NCLB Title I-A Formula'!$A$12:$AM$198</definedName>
    <definedName name="_xlnm._FilterDatabase" localSheetId="5" hidden="1">'NCLB Title II-A Formula'!$A$9:$AH$197</definedName>
    <definedName name="_xlnm._FilterDatabase" localSheetId="6" hidden="1">'NCLB Title III-A '!$A$9:$AH$201</definedName>
  </definedNames>
  <calcPr calcId="152511"/>
</workbook>
</file>

<file path=xl/calcChain.xml><?xml version="1.0" encoding="utf-8"?>
<calcChain xmlns="http://schemas.openxmlformats.org/spreadsheetml/2006/main">
  <c r="AI148" i="8" l="1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3" i="8"/>
  <c r="D194" i="8"/>
  <c r="D195" i="8"/>
  <c r="D196" i="8"/>
  <c r="D197" i="8"/>
  <c r="D25" i="8"/>
  <c r="AI199" i="8"/>
  <c r="AH199" i="8"/>
  <c r="AG199" i="8"/>
  <c r="F15" i="4" l="1"/>
  <c r="F16" i="4"/>
  <c r="F17" i="4"/>
  <c r="F18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4" i="4"/>
  <c r="AK190" i="4"/>
  <c r="F14" i="14" l="1"/>
  <c r="F15" i="14"/>
  <c r="F16" i="14"/>
  <c r="F17" i="14"/>
  <c r="F18" i="14"/>
  <c r="F20" i="14"/>
  <c r="F21" i="14"/>
  <c r="F23" i="14"/>
  <c r="F25" i="14"/>
  <c r="F26" i="14"/>
  <c r="F27" i="14"/>
  <c r="F28" i="14"/>
  <c r="F30" i="14"/>
  <c r="F31" i="14"/>
  <c r="F32" i="14"/>
  <c r="F33" i="14"/>
  <c r="F34" i="14"/>
  <c r="F35" i="14"/>
  <c r="F36" i="14"/>
  <c r="F39" i="14"/>
  <c r="F40" i="14"/>
  <c r="F41" i="14"/>
  <c r="F42" i="14"/>
  <c r="F43" i="14"/>
  <c r="F45" i="14"/>
  <c r="F47" i="14"/>
  <c r="F49" i="14"/>
  <c r="F50" i="14"/>
  <c r="F51" i="14"/>
  <c r="F53" i="14"/>
  <c r="F54" i="14"/>
  <c r="F55" i="14"/>
  <c r="F56" i="14"/>
  <c r="F57" i="14"/>
  <c r="F58" i="14"/>
  <c r="F59" i="14"/>
  <c r="F60" i="14"/>
  <c r="F61" i="14"/>
  <c r="F63" i="14"/>
  <c r="F65" i="14"/>
  <c r="F66" i="14"/>
  <c r="F67" i="14"/>
  <c r="F69" i="14"/>
  <c r="F70" i="14"/>
  <c r="F71" i="14"/>
  <c r="F72" i="14"/>
  <c r="F73" i="14"/>
  <c r="F74" i="14"/>
  <c r="F76" i="14"/>
  <c r="F78" i="14"/>
  <c r="F80" i="14"/>
  <c r="F81" i="14"/>
  <c r="F82" i="14"/>
  <c r="F83" i="14"/>
  <c r="F84" i="14"/>
  <c r="F86" i="14"/>
  <c r="F89" i="14"/>
  <c r="F91" i="14"/>
  <c r="F92" i="14"/>
  <c r="F93" i="14"/>
  <c r="F94" i="14"/>
  <c r="F95" i="14"/>
  <c r="F96" i="14"/>
  <c r="F97" i="14"/>
  <c r="F98" i="14"/>
  <c r="F100" i="14"/>
  <c r="F101" i="14"/>
  <c r="F102" i="14"/>
  <c r="F103" i="14"/>
  <c r="F104" i="14"/>
  <c r="F106" i="14"/>
  <c r="F107" i="14"/>
  <c r="F108" i="14"/>
  <c r="F109" i="14"/>
  <c r="F110" i="14"/>
  <c r="F111" i="14"/>
  <c r="F112" i="14"/>
  <c r="F113" i="14"/>
  <c r="F115" i="14"/>
  <c r="F116" i="14"/>
  <c r="F117" i="14"/>
  <c r="F118" i="14"/>
  <c r="F120" i="14"/>
  <c r="F121" i="14"/>
  <c r="F122" i="14"/>
  <c r="F123" i="14"/>
  <c r="F124" i="14"/>
  <c r="F125" i="14"/>
  <c r="F126" i="14"/>
  <c r="F127" i="14"/>
  <c r="F128" i="14"/>
  <c r="F130" i="14"/>
  <c r="F131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7" i="14"/>
  <c r="F148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70" i="14"/>
  <c r="F171" i="14"/>
  <c r="F172" i="14"/>
  <c r="F173" i="14"/>
  <c r="F174" i="14"/>
  <c r="F175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6" i="14"/>
  <c r="F197" i="14"/>
  <c r="AK199" i="14"/>
  <c r="AJ190" i="4" l="1"/>
  <c r="AJ199" i="14" l="1"/>
  <c r="F14" i="1" l="1"/>
  <c r="F16" i="1"/>
  <c r="F17" i="1"/>
  <c r="F18" i="1"/>
  <c r="F19" i="1"/>
  <c r="F20" i="1"/>
  <c r="F21" i="1"/>
  <c r="F23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3" i="1"/>
  <c r="F65" i="1"/>
  <c r="F66" i="1"/>
  <c r="F67" i="1"/>
  <c r="F69" i="1"/>
  <c r="F70" i="1"/>
  <c r="F72" i="1"/>
  <c r="F73" i="1"/>
  <c r="F74" i="1"/>
  <c r="F79" i="1"/>
  <c r="F81" i="1"/>
  <c r="F82" i="1"/>
  <c r="F83" i="1"/>
  <c r="F86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86" i="1"/>
  <c r="F188" i="1"/>
  <c r="F189" i="1"/>
  <c r="F190" i="1"/>
  <c r="F192" i="1"/>
  <c r="F193" i="1"/>
  <c r="F195" i="1"/>
  <c r="F196" i="1"/>
  <c r="F197" i="1"/>
  <c r="F198" i="1"/>
  <c r="AJ200" i="1"/>
  <c r="AI190" i="4" l="1"/>
  <c r="F14" i="3" l="1"/>
  <c r="F16" i="3"/>
  <c r="F17" i="3"/>
  <c r="F18" i="3"/>
  <c r="F19" i="3"/>
  <c r="F20" i="3"/>
  <c r="F21" i="3"/>
  <c r="F23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4" i="3"/>
  <c r="F56" i="3"/>
  <c r="F57" i="3"/>
  <c r="F58" i="3"/>
  <c r="F59" i="3"/>
  <c r="F60" i="3"/>
  <c r="F61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1" i="3"/>
  <c r="F92" i="3"/>
  <c r="F93" i="3"/>
  <c r="F94" i="3"/>
  <c r="F95" i="3"/>
  <c r="F96" i="3"/>
  <c r="F97" i="3"/>
  <c r="F98" i="3"/>
  <c r="F100" i="3"/>
  <c r="F101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8" i="3"/>
  <c r="F189" i="3"/>
  <c r="F190" i="3"/>
  <c r="F192" i="3"/>
  <c r="F193" i="3"/>
  <c r="F195" i="3"/>
  <c r="F196" i="3"/>
  <c r="F197" i="3"/>
  <c r="F198" i="3"/>
  <c r="F199" i="3"/>
  <c r="F200" i="3"/>
  <c r="F201" i="3"/>
  <c r="AI203" i="3"/>
  <c r="AI46" i="14" l="1"/>
  <c r="AI199" i="14"/>
  <c r="AI200" i="1" l="1"/>
  <c r="K90" i="14" l="1"/>
  <c r="W90" i="14" l="1"/>
  <c r="L90" i="14" l="1"/>
  <c r="AR197" i="10" l="1"/>
  <c r="AQ197" i="10"/>
  <c r="AP197" i="10"/>
  <c r="AC11" i="11" l="1"/>
  <c r="AD1" i="5" l="1"/>
  <c r="X1" i="5"/>
  <c r="P1" i="5"/>
  <c r="H1" i="5"/>
  <c r="AF2" i="4"/>
  <c r="AF1" i="4"/>
  <c r="AB2" i="4"/>
  <c r="AB1" i="4"/>
  <c r="V2" i="4"/>
  <c r="V1" i="4"/>
  <c r="P2" i="4"/>
  <c r="P1" i="4"/>
  <c r="J2" i="4"/>
  <c r="J1" i="4"/>
  <c r="AC1" i="3"/>
  <c r="V1" i="3"/>
  <c r="P1" i="3"/>
  <c r="J1" i="3"/>
  <c r="AD1" i="14"/>
  <c r="X1" i="14"/>
  <c r="J1" i="14"/>
  <c r="Z1" i="11"/>
  <c r="Q1" i="11"/>
  <c r="H1" i="11"/>
  <c r="AJ1" i="10"/>
  <c r="AC1" i="10"/>
  <c r="V1" i="10"/>
  <c r="O1" i="10"/>
  <c r="H1" i="10"/>
  <c r="AD1" i="8"/>
  <c r="U1" i="8"/>
  <c r="O1" i="8"/>
  <c r="H1" i="8"/>
  <c r="AE2" i="1"/>
  <c r="AE1" i="1"/>
  <c r="Y2" i="1"/>
  <c r="Y1" i="1"/>
  <c r="T2" i="1"/>
  <c r="T1" i="1"/>
  <c r="O2" i="1"/>
  <c r="O1" i="1"/>
  <c r="J2" i="1"/>
  <c r="AO197" i="10" l="1"/>
  <c r="AN197" i="10"/>
  <c r="AM197" i="10"/>
  <c r="AL197" i="10"/>
  <c r="AB150" i="1" l="1"/>
  <c r="F150" i="1" s="1"/>
  <c r="AA24" i="4" l="1"/>
  <c r="AA195" i="14" l="1"/>
  <c r="F195" i="14" s="1"/>
  <c r="AA169" i="14"/>
  <c r="F169" i="14" s="1"/>
  <c r="AA46" i="14"/>
  <c r="F46" i="14" s="1"/>
  <c r="AA169" i="1" l="1"/>
  <c r="F169" i="1" s="1"/>
  <c r="F13" i="4" l="1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8" i="10"/>
  <c r="AK197" i="10"/>
  <c r="AJ197" i="10"/>
  <c r="AI197" i="10"/>
  <c r="AH197" i="10"/>
  <c r="AG197" i="10"/>
  <c r="I190" i="4" l="1"/>
  <c r="J190" i="4"/>
  <c r="K190" i="4"/>
  <c r="L190" i="4"/>
  <c r="M190" i="4"/>
  <c r="N190" i="4"/>
  <c r="O190" i="4"/>
  <c r="P190" i="4"/>
  <c r="Q190" i="4"/>
  <c r="R190" i="4"/>
  <c r="T190" i="4"/>
  <c r="U190" i="4"/>
  <c r="V190" i="4"/>
  <c r="Y190" i="4"/>
  <c r="Z190" i="4"/>
  <c r="AA190" i="4"/>
  <c r="AB190" i="4"/>
  <c r="AC190" i="4"/>
  <c r="AD190" i="4"/>
  <c r="AE190" i="4"/>
  <c r="AF190" i="4"/>
  <c r="AG190" i="4"/>
  <c r="AH190" i="4"/>
  <c r="H190" i="4"/>
  <c r="X18" i="5"/>
  <c r="E182" i="7"/>
  <c r="E187" i="7"/>
  <c r="E188" i="7"/>
  <c r="E189" i="7"/>
  <c r="E190" i="7"/>
  <c r="E5" i="7"/>
  <c r="E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1" i="7"/>
  <c r="I32" i="7"/>
  <c r="I33" i="7"/>
  <c r="I34" i="7"/>
  <c r="I35" i="7"/>
  <c r="I78" i="7"/>
  <c r="I90" i="7"/>
  <c r="I91" i="7"/>
  <c r="I93" i="7"/>
  <c r="I94" i="7"/>
  <c r="I95" i="7"/>
  <c r="I96" i="7"/>
  <c r="I137" i="7"/>
  <c r="I182" i="7"/>
  <c r="I184" i="7"/>
  <c r="I185" i="7"/>
  <c r="I186" i="7"/>
  <c r="I187" i="7"/>
  <c r="I188" i="7"/>
  <c r="I189" i="7"/>
  <c r="I190" i="7"/>
  <c r="I191" i="7"/>
  <c r="I192" i="7"/>
  <c r="H16" i="7"/>
  <c r="H17" i="7"/>
  <c r="H18" i="7"/>
  <c r="H42" i="7"/>
  <c r="H56" i="7"/>
  <c r="H58" i="7"/>
  <c r="H75" i="7"/>
  <c r="H89" i="7"/>
  <c r="H93" i="7"/>
  <c r="H96" i="7"/>
  <c r="H117" i="7"/>
  <c r="H136" i="7"/>
  <c r="H142" i="7"/>
  <c r="H182" i="7"/>
  <c r="H183" i="7"/>
  <c r="H186" i="7"/>
  <c r="H187" i="7"/>
  <c r="H188" i="7"/>
  <c r="H189" i="7"/>
  <c r="H190" i="7"/>
  <c r="D5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6" i="7"/>
  <c r="D187" i="7"/>
  <c r="D189" i="7"/>
  <c r="D190" i="7"/>
  <c r="D4" i="7"/>
  <c r="C187" i="7"/>
  <c r="C188" i="7"/>
  <c r="C190" i="7"/>
  <c r="F190" i="7"/>
  <c r="F187" i="7"/>
  <c r="F188" i="7"/>
  <c r="F189" i="7"/>
  <c r="Y191" i="3"/>
  <c r="Y114" i="14"/>
  <c r="F114" i="14" s="1"/>
  <c r="Y15" i="3"/>
  <c r="F15" i="3" s="1"/>
  <c r="Y132" i="14"/>
  <c r="Y105" i="14"/>
  <c r="F105" i="14" s="1"/>
  <c r="Y85" i="14"/>
  <c r="F85" i="14" s="1"/>
  <c r="Y13" i="14"/>
  <c r="Y105" i="1"/>
  <c r="Y85" i="1"/>
  <c r="F85" i="1" s="1"/>
  <c r="Y15" i="1"/>
  <c r="F15" i="1" s="1"/>
  <c r="X29" i="1"/>
  <c r="X24" i="1"/>
  <c r="X200" i="1" s="1"/>
  <c r="X24" i="4"/>
  <c r="X190" i="4" s="1"/>
  <c r="X102" i="3"/>
  <c r="F102" i="3" s="1"/>
  <c r="X52" i="3"/>
  <c r="X24" i="3"/>
  <c r="U23" i="5"/>
  <c r="W119" i="4"/>
  <c r="F119" i="4" s="1"/>
  <c r="W190" i="4"/>
  <c r="W129" i="3"/>
  <c r="F129" i="3" s="1"/>
  <c r="W149" i="14"/>
  <c r="W129" i="14"/>
  <c r="F129" i="14" s="1"/>
  <c r="W77" i="14"/>
  <c r="W199" i="14" s="1"/>
  <c r="W149" i="1"/>
  <c r="F149" i="1" s="1"/>
  <c r="W129" i="1"/>
  <c r="F129" i="1" s="1"/>
  <c r="W77" i="1"/>
  <c r="V149" i="14"/>
  <c r="F149" i="14" s="1"/>
  <c r="V19" i="14"/>
  <c r="F19" i="14" s="1"/>
  <c r="T148" i="8"/>
  <c r="D148" i="8" s="1"/>
  <c r="V194" i="3"/>
  <c r="F194" i="3" s="1"/>
  <c r="V62" i="3"/>
  <c r="V194" i="14"/>
  <c r="F194" i="14" s="1"/>
  <c r="V62" i="14"/>
  <c r="F62" i="14" s="1"/>
  <c r="V38" i="14"/>
  <c r="V194" i="1"/>
  <c r="V62" i="1"/>
  <c r="F62" i="1" s="1"/>
  <c r="U55" i="3"/>
  <c r="F55" i="3" s="1"/>
  <c r="U87" i="1"/>
  <c r="U76" i="1"/>
  <c r="F76" i="1" s="1"/>
  <c r="U55" i="1"/>
  <c r="F55" i="1" s="1"/>
  <c r="U191" i="3"/>
  <c r="U191" i="1"/>
  <c r="S191" i="1"/>
  <c r="F191" i="1" s="1"/>
  <c r="G191" i="1" s="1"/>
  <c r="C182" i="7" s="1"/>
  <c r="U77" i="14"/>
  <c r="U68" i="14"/>
  <c r="F68" i="14" s="1"/>
  <c r="U77" i="1"/>
  <c r="F77" i="1" s="1"/>
  <c r="U71" i="1"/>
  <c r="U200" i="1" s="1"/>
  <c r="U68" i="1"/>
  <c r="F68" i="1" s="1"/>
  <c r="R50" i="10"/>
  <c r="D50" i="10" s="1"/>
  <c r="T87" i="14"/>
  <c r="F87" i="14" s="1"/>
  <c r="T87" i="1"/>
  <c r="T52" i="14"/>
  <c r="F52" i="14" s="1"/>
  <c r="T84" i="1"/>
  <c r="F84" i="1" s="1"/>
  <c r="G14" i="4"/>
  <c r="H5" i="7" s="1"/>
  <c r="Q97" i="10"/>
  <c r="Q197" i="10" s="1"/>
  <c r="S99" i="3"/>
  <c r="F99" i="3" s="1"/>
  <c r="Q24" i="5"/>
  <c r="S24" i="4"/>
  <c r="F24" i="4" s="1"/>
  <c r="S24" i="3"/>
  <c r="F24" i="3" s="1"/>
  <c r="G24" i="3" s="1"/>
  <c r="S132" i="14"/>
  <c r="S88" i="14"/>
  <c r="S24" i="14"/>
  <c r="S132" i="1"/>
  <c r="F132" i="1" s="1"/>
  <c r="G132" i="1" s="1"/>
  <c r="C123" i="7" s="1"/>
  <c r="S88" i="1"/>
  <c r="F88" i="1" s="1"/>
  <c r="S24" i="1"/>
  <c r="S22" i="3"/>
  <c r="F22" i="3" s="1"/>
  <c r="S176" i="14"/>
  <c r="S146" i="14"/>
  <c r="F146" i="14" s="1"/>
  <c r="S75" i="14"/>
  <c r="S22" i="14"/>
  <c r="F22" i="14" s="1"/>
  <c r="S187" i="1"/>
  <c r="S176" i="1"/>
  <c r="F176" i="1" s="1"/>
  <c r="S146" i="1"/>
  <c r="F146" i="1" s="1"/>
  <c r="S75" i="1"/>
  <c r="F75" i="1" s="1"/>
  <c r="S22" i="1"/>
  <c r="R79" i="14"/>
  <c r="F79" i="14" s="1"/>
  <c r="R147" i="1"/>
  <c r="F147" i="1" s="1"/>
  <c r="Q71" i="1"/>
  <c r="N97" i="10"/>
  <c r="D97" i="10" s="1"/>
  <c r="E97" i="10" s="1"/>
  <c r="E90" i="7" s="1"/>
  <c r="P187" i="3"/>
  <c r="P99" i="14"/>
  <c r="F99" i="14" s="1"/>
  <c r="P99" i="1"/>
  <c r="F99" i="1" s="1"/>
  <c r="P13" i="3"/>
  <c r="P203" i="3" s="1"/>
  <c r="P13" i="14"/>
  <c r="F13" i="14" s="1"/>
  <c r="P13" i="1"/>
  <c r="O48" i="14"/>
  <c r="F48" i="14" s="1"/>
  <c r="N78" i="1"/>
  <c r="O187" i="3"/>
  <c r="O187" i="1"/>
  <c r="N119" i="14"/>
  <c r="N37" i="14"/>
  <c r="N24" i="14"/>
  <c r="L15" i="5"/>
  <c r="L194" i="5" s="1"/>
  <c r="N119" i="1"/>
  <c r="M90" i="3"/>
  <c r="F90" i="3" s="1"/>
  <c r="M90" i="14"/>
  <c r="F90" i="14" s="1"/>
  <c r="M13" i="3"/>
  <c r="M13" i="1"/>
  <c r="F13" i="1" s="1"/>
  <c r="D21" i="5"/>
  <c r="E21" i="5" s="1"/>
  <c r="I115" i="7" s="1"/>
  <c r="D17" i="5"/>
  <c r="E17" i="5" s="1"/>
  <c r="I68" i="7" s="1"/>
  <c r="K64" i="1"/>
  <c r="F64" i="1" s="1"/>
  <c r="G194" i="5"/>
  <c r="H194" i="5"/>
  <c r="I194" i="5"/>
  <c r="J194" i="5"/>
  <c r="K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F194" i="5"/>
  <c r="C194" i="5"/>
  <c r="D27" i="5"/>
  <c r="E27" i="5"/>
  <c r="I4" i="7" s="1"/>
  <c r="D28" i="5"/>
  <c r="E28" i="5" s="1"/>
  <c r="I5" i="7" s="1"/>
  <c r="D29" i="5"/>
  <c r="E29" i="5" s="1"/>
  <c r="I6" i="7" s="1"/>
  <c r="D30" i="5"/>
  <c r="E30" i="5" s="1"/>
  <c r="I7" i="7" s="1"/>
  <c r="D31" i="5"/>
  <c r="E31" i="5"/>
  <c r="I8" i="7" s="1"/>
  <c r="D32" i="5"/>
  <c r="E32" i="5" s="1"/>
  <c r="I9" i="7" s="1"/>
  <c r="D33" i="5"/>
  <c r="E33" i="5" s="1"/>
  <c r="I10" i="7" s="1"/>
  <c r="C188" i="4"/>
  <c r="G188" i="4" s="1"/>
  <c r="H192" i="7" s="1"/>
  <c r="C187" i="4"/>
  <c r="G187" i="4" s="1"/>
  <c r="H191" i="7" s="1"/>
  <c r="C183" i="4"/>
  <c r="G183" i="4" s="1"/>
  <c r="C182" i="4"/>
  <c r="G182" i="4" s="1"/>
  <c r="C180" i="4"/>
  <c r="E116" i="4"/>
  <c r="G116" i="4"/>
  <c r="E13" i="4"/>
  <c r="G13" i="4"/>
  <c r="L187" i="3"/>
  <c r="L187" i="1"/>
  <c r="L46" i="1"/>
  <c r="F46" i="1" s="1"/>
  <c r="J80" i="1"/>
  <c r="F80" i="1" s="1"/>
  <c r="E91" i="3"/>
  <c r="G91" i="3" s="1"/>
  <c r="E86" i="3"/>
  <c r="G86" i="3" s="1"/>
  <c r="E165" i="3"/>
  <c r="G165" i="3" s="1"/>
  <c r="E164" i="3"/>
  <c r="G164" i="3" s="1"/>
  <c r="G155" i="7" s="1"/>
  <c r="E184" i="3"/>
  <c r="G184" i="3" s="1"/>
  <c r="E125" i="3"/>
  <c r="G125" i="3"/>
  <c r="G116" i="7" s="1"/>
  <c r="E123" i="3"/>
  <c r="G123" i="3" s="1"/>
  <c r="E114" i="3"/>
  <c r="G114" i="3"/>
  <c r="E33" i="3"/>
  <c r="G33" i="3" s="1"/>
  <c r="G24" i="7" s="1"/>
  <c r="C196" i="1"/>
  <c r="G196" i="1" s="1"/>
  <c r="C189" i="7" s="1"/>
  <c r="E109" i="1"/>
  <c r="G109" i="1"/>
  <c r="C100" i="7" s="1"/>
  <c r="K119" i="14"/>
  <c r="K64" i="14"/>
  <c r="F64" i="14" s="1"/>
  <c r="K119" i="1"/>
  <c r="K44" i="14"/>
  <c r="F44" i="14" s="1"/>
  <c r="K29" i="14"/>
  <c r="F29" i="14" s="1"/>
  <c r="K29" i="1"/>
  <c r="F29" i="1" s="1"/>
  <c r="E96" i="14"/>
  <c r="G96" i="14" s="1"/>
  <c r="F87" i="7" s="1"/>
  <c r="E60" i="14"/>
  <c r="G60" i="14" s="1"/>
  <c r="F51" i="7" s="1"/>
  <c r="E41" i="14"/>
  <c r="G41" i="14" s="1"/>
  <c r="F32" i="7" s="1"/>
  <c r="E173" i="1"/>
  <c r="G173" i="1" s="1"/>
  <c r="C164" i="7" s="1"/>
  <c r="E60" i="1"/>
  <c r="G60" i="1" s="1"/>
  <c r="H192" i="8"/>
  <c r="J38" i="1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76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C181" i="4" s="1"/>
  <c r="G181" i="4" s="1"/>
  <c r="H185" i="7" s="1"/>
  <c r="E120" i="4"/>
  <c r="E118" i="4"/>
  <c r="E117" i="4"/>
  <c r="E119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115" i="4"/>
  <c r="E95" i="4"/>
  <c r="E94" i="4"/>
  <c r="E93" i="4"/>
  <c r="E92" i="4"/>
  <c r="E91" i="4"/>
  <c r="E90" i="4"/>
  <c r="E89" i="4"/>
  <c r="E88" i="4"/>
  <c r="E87" i="4"/>
  <c r="E86" i="4"/>
  <c r="E85" i="4"/>
  <c r="E83" i="4"/>
  <c r="E82" i="4"/>
  <c r="E81" i="4"/>
  <c r="E80" i="4"/>
  <c r="E79" i="4"/>
  <c r="E78" i="4"/>
  <c r="E84" i="4"/>
  <c r="C186" i="4" s="1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7" i="4"/>
  <c r="E56" i="4"/>
  <c r="E55" i="4"/>
  <c r="E54" i="4"/>
  <c r="E53" i="4"/>
  <c r="E52" i="4"/>
  <c r="E51" i="4"/>
  <c r="E50" i="4"/>
  <c r="E49" i="4"/>
  <c r="E48" i="4"/>
  <c r="E5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4" i="4"/>
  <c r="D19" i="5"/>
  <c r="E19" i="5"/>
  <c r="I92" i="7" s="1"/>
  <c r="D14" i="5"/>
  <c r="E14" i="5" s="1"/>
  <c r="I30" i="7" s="1"/>
  <c r="C201" i="3"/>
  <c r="C197" i="14"/>
  <c r="G197" i="14" s="1"/>
  <c r="F192" i="7" s="1"/>
  <c r="C198" i="1"/>
  <c r="H203" i="3"/>
  <c r="I203" i="3"/>
  <c r="J203" i="3"/>
  <c r="K203" i="3"/>
  <c r="O203" i="3"/>
  <c r="Q203" i="3"/>
  <c r="R203" i="3"/>
  <c r="T203" i="3"/>
  <c r="U203" i="3"/>
  <c r="W203" i="3"/>
  <c r="Z203" i="3"/>
  <c r="AA203" i="3"/>
  <c r="AB203" i="3"/>
  <c r="AC203" i="3"/>
  <c r="AD203" i="3"/>
  <c r="AE203" i="3"/>
  <c r="AF203" i="3"/>
  <c r="AG203" i="3"/>
  <c r="AH203" i="3"/>
  <c r="N203" i="3"/>
  <c r="E87" i="8"/>
  <c r="E91" i="8"/>
  <c r="E95" i="8"/>
  <c r="E99" i="8"/>
  <c r="E103" i="8"/>
  <c r="E107" i="8"/>
  <c r="E111" i="8"/>
  <c r="E115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E17" i="3"/>
  <c r="G17" i="3" s="1"/>
  <c r="E18" i="3"/>
  <c r="E21" i="3"/>
  <c r="G21" i="3" s="1"/>
  <c r="G12" i="7" s="1"/>
  <c r="E26" i="3"/>
  <c r="G26" i="3" s="1"/>
  <c r="E28" i="3"/>
  <c r="G28" i="3" s="1"/>
  <c r="E29" i="3"/>
  <c r="E30" i="3"/>
  <c r="G30" i="3" s="1"/>
  <c r="G21" i="7" s="1"/>
  <c r="E32" i="3"/>
  <c r="G32" i="3" s="1"/>
  <c r="G23" i="7" s="1"/>
  <c r="E35" i="3"/>
  <c r="G35" i="3" s="1"/>
  <c r="E36" i="3"/>
  <c r="G36" i="3" s="1"/>
  <c r="G27" i="7" s="1"/>
  <c r="E40" i="3"/>
  <c r="G40" i="3" s="1"/>
  <c r="E42" i="3"/>
  <c r="G42" i="3" s="1"/>
  <c r="G33" i="7" s="1"/>
  <c r="E45" i="3"/>
  <c r="G45" i="3" s="1"/>
  <c r="E46" i="3"/>
  <c r="G46" i="3" s="1"/>
  <c r="E47" i="3"/>
  <c r="G47" i="3" s="1"/>
  <c r="G38" i="7" s="1"/>
  <c r="E48" i="3"/>
  <c r="G48" i="3" s="1"/>
  <c r="E49" i="3"/>
  <c r="G49" i="3" s="1"/>
  <c r="E56" i="3"/>
  <c r="E57" i="3"/>
  <c r="G57" i="3" s="1"/>
  <c r="G48" i="7" s="1"/>
  <c r="E69" i="3"/>
  <c r="G69" i="3" s="1"/>
  <c r="E70" i="3"/>
  <c r="G70" i="3" s="1"/>
  <c r="E71" i="3"/>
  <c r="G71" i="3" s="1"/>
  <c r="G62" i="7" s="1"/>
  <c r="E76" i="3"/>
  <c r="G76" i="3" s="1"/>
  <c r="G67" i="7" s="1"/>
  <c r="E77" i="3"/>
  <c r="G77" i="3" s="1"/>
  <c r="E83" i="3"/>
  <c r="G83" i="3" s="1"/>
  <c r="E84" i="3"/>
  <c r="E87" i="3"/>
  <c r="G87" i="3" s="1"/>
  <c r="G78" i="7" s="1"/>
  <c r="E88" i="3"/>
  <c r="G88" i="3" s="1"/>
  <c r="G79" i="7" s="1"/>
  <c r="E89" i="3"/>
  <c r="G89" i="3" s="1"/>
  <c r="G80" i="7" s="1"/>
  <c r="E94" i="3"/>
  <c r="G94" i="3"/>
  <c r="G85" i="7" s="1"/>
  <c r="E95" i="3"/>
  <c r="G95" i="3" s="1"/>
  <c r="E96" i="3"/>
  <c r="G96" i="3"/>
  <c r="E97" i="3"/>
  <c r="G97" i="3" s="1"/>
  <c r="E100" i="3"/>
  <c r="G100" i="3" s="1"/>
  <c r="G91" i="7" s="1"/>
  <c r="E101" i="3"/>
  <c r="G101" i="3" s="1"/>
  <c r="G92" i="7" s="1"/>
  <c r="E104" i="3"/>
  <c r="G104" i="3" s="1"/>
  <c r="E105" i="3"/>
  <c r="G105" i="3" s="1"/>
  <c r="G96" i="7" s="1"/>
  <c r="E106" i="3"/>
  <c r="G106" i="3"/>
  <c r="E107" i="3"/>
  <c r="G107" i="3" s="1"/>
  <c r="E108" i="3"/>
  <c r="G108" i="3"/>
  <c r="G99" i="7" s="1"/>
  <c r="E109" i="3"/>
  <c r="G109" i="3" s="1"/>
  <c r="E112" i="3"/>
  <c r="G112" i="3" s="1"/>
  <c r="E124" i="3"/>
  <c r="G124" i="3" s="1"/>
  <c r="G115" i="7" s="1"/>
  <c r="E127" i="3"/>
  <c r="C196" i="3" s="1"/>
  <c r="E128" i="3"/>
  <c r="G128" i="3" s="1"/>
  <c r="E130" i="3"/>
  <c r="G130" i="3"/>
  <c r="G121" i="7" s="1"/>
  <c r="E131" i="3"/>
  <c r="G131" i="3" s="1"/>
  <c r="G122" i="7" s="1"/>
  <c r="E132" i="3"/>
  <c r="G132" i="3" s="1"/>
  <c r="G123" i="7" s="1"/>
  <c r="E133" i="3"/>
  <c r="G133" i="3" s="1"/>
  <c r="G124" i="7" s="1"/>
  <c r="E134" i="3"/>
  <c r="G134" i="3" s="1"/>
  <c r="E135" i="3"/>
  <c r="G135" i="3" s="1"/>
  <c r="E142" i="3"/>
  <c r="G142" i="3" s="1"/>
  <c r="G133" i="7" s="1"/>
  <c r="E145" i="3"/>
  <c r="G145" i="3" s="1"/>
  <c r="G136" i="7" s="1"/>
  <c r="E146" i="3"/>
  <c r="G146" i="3" s="1"/>
  <c r="G137" i="7" s="1"/>
  <c r="E147" i="3"/>
  <c r="G147" i="3"/>
  <c r="E148" i="3"/>
  <c r="G148" i="3" s="1"/>
  <c r="E151" i="3"/>
  <c r="G151" i="3"/>
  <c r="G142" i="7" s="1"/>
  <c r="E153" i="3"/>
  <c r="G153" i="3" s="1"/>
  <c r="G144" i="7" s="1"/>
  <c r="E154" i="3"/>
  <c r="G154" i="3" s="1"/>
  <c r="E155" i="3"/>
  <c r="G155" i="3" s="1"/>
  <c r="G146" i="7" s="1"/>
  <c r="E156" i="3"/>
  <c r="G156" i="3" s="1"/>
  <c r="G147" i="7" s="1"/>
  <c r="E158" i="3"/>
  <c r="G158" i="3" s="1"/>
  <c r="E162" i="3"/>
  <c r="G162" i="3"/>
  <c r="E163" i="3"/>
  <c r="C126" i="3" s="1"/>
  <c r="G126" i="3" s="1"/>
  <c r="G117" i="7" s="1"/>
  <c r="E169" i="3"/>
  <c r="C66" i="3" s="1"/>
  <c r="G169" i="3"/>
  <c r="G160" i="7" s="1"/>
  <c r="E171" i="3"/>
  <c r="G171" i="3" s="1"/>
  <c r="G162" i="7" s="1"/>
  <c r="E174" i="3"/>
  <c r="G174" i="3" s="1"/>
  <c r="G165" i="7" s="1"/>
  <c r="E175" i="3"/>
  <c r="G175" i="3" s="1"/>
  <c r="G166" i="7" s="1"/>
  <c r="E176" i="3"/>
  <c r="G176" i="3" s="1"/>
  <c r="G167" i="7" s="1"/>
  <c r="E178" i="3"/>
  <c r="G178" i="3" s="1"/>
  <c r="E181" i="3"/>
  <c r="G181" i="3"/>
  <c r="E183" i="3"/>
  <c r="G183" i="3" s="1"/>
  <c r="E185" i="3"/>
  <c r="G185" i="3"/>
  <c r="G176" i="7" s="1"/>
  <c r="E188" i="3"/>
  <c r="E189" i="3"/>
  <c r="G189" i="3" s="1"/>
  <c r="G180" i="7" s="1"/>
  <c r="E190" i="3"/>
  <c r="G190" i="3" s="1"/>
  <c r="E26" i="14"/>
  <c r="G26" i="14" s="1"/>
  <c r="F17" i="7" s="1"/>
  <c r="E28" i="14"/>
  <c r="G28" i="14" s="1"/>
  <c r="E42" i="14"/>
  <c r="G42" i="14"/>
  <c r="F33" i="7" s="1"/>
  <c r="E57" i="14"/>
  <c r="G57" i="14" s="1"/>
  <c r="F48" i="7" s="1"/>
  <c r="E89" i="14"/>
  <c r="G89" i="14"/>
  <c r="F80" i="7" s="1"/>
  <c r="E93" i="14"/>
  <c r="G93" i="14" s="1"/>
  <c r="F84" i="7" s="1"/>
  <c r="E94" i="14"/>
  <c r="G94" i="14" s="1"/>
  <c r="F85" i="7" s="1"/>
  <c r="E95" i="14"/>
  <c r="G95" i="14" s="1"/>
  <c r="F86" i="7" s="1"/>
  <c r="E97" i="14"/>
  <c r="G97" i="14" s="1"/>
  <c r="F88" i="7" s="1"/>
  <c r="E111" i="14"/>
  <c r="G111" i="14" s="1"/>
  <c r="F102" i="7" s="1"/>
  <c r="E112" i="14"/>
  <c r="G112" i="14"/>
  <c r="F103" i="7" s="1"/>
  <c r="E113" i="14"/>
  <c r="G113" i="14" s="1"/>
  <c r="F104" i="7" s="1"/>
  <c r="E115" i="14"/>
  <c r="G115" i="14"/>
  <c r="F106" i="7" s="1"/>
  <c r="E117" i="14"/>
  <c r="G117" i="14" s="1"/>
  <c r="F108" i="7" s="1"/>
  <c r="E128" i="14"/>
  <c r="G128" i="14" s="1"/>
  <c r="F119" i="7" s="1"/>
  <c r="E130" i="14"/>
  <c r="E131" i="14"/>
  <c r="G131" i="14" s="1"/>
  <c r="F122" i="7" s="1"/>
  <c r="E143" i="14"/>
  <c r="G143" i="14" s="1"/>
  <c r="F134" i="7" s="1"/>
  <c r="E156" i="14"/>
  <c r="G156" i="14" s="1"/>
  <c r="F147" i="7" s="1"/>
  <c r="E158" i="14"/>
  <c r="E165" i="14"/>
  <c r="G165" i="14" s="1"/>
  <c r="F156" i="7" s="1"/>
  <c r="E166" i="14"/>
  <c r="G166" i="14" s="1"/>
  <c r="F157" i="7" s="1"/>
  <c r="E171" i="14"/>
  <c r="G171" i="14" s="1"/>
  <c r="F162" i="7" s="1"/>
  <c r="E172" i="14"/>
  <c r="G172" i="14" s="1"/>
  <c r="F163" i="7" s="1"/>
  <c r="E173" i="14"/>
  <c r="G173" i="14" s="1"/>
  <c r="F164" i="7" s="1"/>
  <c r="E174" i="14"/>
  <c r="G174" i="14" s="1"/>
  <c r="F165" i="7" s="1"/>
  <c r="E175" i="14"/>
  <c r="G175" i="14" s="1"/>
  <c r="E181" i="14"/>
  <c r="G181" i="14" s="1"/>
  <c r="F172" i="7" s="1"/>
  <c r="E184" i="14"/>
  <c r="G184" i="14" s="1"/>
  <c r="F175" i="7" s="1"/>
  <c r="E185" i="14"/>
  <c r="G185" i="14" s="1"/>
  <c r="F176" i="7" s="1"/>
  <c r="E186" i="14"/>
  <c r="G186" i="14" s="1"/>
  <c r="F177" i="7" s="1"/>
  <c r="E189" i="14"/>
  <c r="G189" i="14" s="1"/>
  <c r="F180" i="7" s="1"/>
  <c r="E190" i="14"/>
  <c r="G190" i="14" s="1"/>
  <c r="F181" i="7" s="1"/>
  <c r="E18" i="14"/>
  <c r="E17" i="1"/>
  <c r="G17" i="1" s="1"/>
  <c r="C8" i="7" s="1"/>
  <c r="E18" i="1"/>
  <c r="G18" i="1" s="1"/>
  <c r="C9" i="7" s="1"/>
  <c r="E26" i="1"/>
  <c r="G26" i="1" s="1"/>
  <c r="C17" i="7" s="1"/>
  <c r="E28" i="1"/>
  <c r="E42" i="1"/>
  <c r="G42" i="1" s="1"/>
  <c r="E57" i="1"/>
  <c r="G57" i="1" s="1"/>
  <c r="C48" i="7" s="1"/>
  <c r="E89" i="1"/>
  <c r="G89" i="1" s="1"/>
  <c r="E93" i="1"/>
  <c r="G93" i="1" s="1"/>
  <c r="E94" i="1"/>
  <c r="G94" i="1" s="1"/>
  <c r="E95" i="1"/>
  <c r="G95" i="1" s="1"/>
  <c r="C86" i="7" s="1"/>
  <c r="E96" i="1"/>
  <c r="G96" i="1" s="1"/>
  <c r="C87" i="7" s="1"/>
  <c r="E97" i="1"/>
  <c r="G97" i="1" s="1"/>
  <c r="E111" i="1"/>
  <c r="G111" i="1" s="1"/>
  <c r="E112" i="1"/>
  <c r="G112" i="1" s="1"/>
  <c r="C103" i="7" s="1"/>
  <c r="E113" i="1"/>
  <c r="G113" i="1" s="1"/>
  <c r="C104" i="7" s="1"/>
  <c r="E115" i="1"/>
  <c r="E116" i="1"/>
  <c r="G116" i="1" s="1"/>
  <c r="C107" i="7" s="1"/>
  <c r="E117" i="1"/>
  <c r="G117" i="1"/>
  <c r="C108" i="7" s="1"/>
  <c r="E128" i="1"/>
  <c r="G128" i="1" s="1"/>
  <c r="C119" i="7" s="1"/>
  <c r="E130" i="1"/>
  <c r="C194" i="1" s="1"/>
  <c r="G130" i="1"/>
  <c r="C121" i="7" s="1"/>
  <c r="E131" i="1"/>
  <c r="G131" i="1" s="1"/>
  <c r="C122" i="7" s="1"/>
  <c r="E143" i="1"/>
  <c r="G143" i="1"/>
  <c r="C134" i="7" s="1"/>
  <c r="E156" i="1"/>
  <c r="G156" i="1" s="1"/>
  <c r="C147" i="7" s="1"/>
  <c r="E158" i="1"/>
  <c r="G158" i="1"/>
  <c r="C149" i="7" s="1"/>
  <c r="E165" i="1"/>
  <c r="G165" i="1" s="1"/>
  <c r="C156" i="7" s="1"/>
  <c r="E166" i="1"/>
  <c r="G166" i="1"/>
  <c r="C157" i="7" s="1"/>
  <c r="E170" i="1"/>
  <c r="G170" i="1" s="1"/>
  <c r="C161" i="7" s="1"/>
  <c r="E171" i="1"/>
  <c r="G171" i="1"/>
  <c r="E172" i="1"/>
  <c r="G172" i="1" s="1"/>
  <c r="C163" i="7" s="1"/>
  <c r="E174" i="1"/>
  <c r="G174" i="1"/>
  <c r="C165" i="7" s="1"/>
  <c r="E175" i="1"/>
  <c r="G175" i="1" s="1"/>
  <c r="C166" i="7" s="1"/>
  <c r="E181" i="1"/>
  <c r="G181" i="1"/>
  <c r="C172" i="7" s="1"/>
  <c r="E184" i="1"/>
  <c r="G184" i="1" s="1"/>
  <c r="C175" i="7" s="1"/>
  <c r="E185" i="1"/>
  <c r="G185" i="1"/>
  <c r="E186" i="1"/>
  <c r="G186" i="1" s="1"/>
  <c r="C177" i="7" s="1"/>
  <c r="E189" i="1"/>
  <c r="G189" i="1"/>
  <c r="G84" i="3"/>
  <c r="G75" i="7" s="1"/>
  <c r="G163" i="3"/>
  <c r="G154" i="7" s="1"/>
  <c r="L199" i="14"/>
  <c r="AH199" i="14"/>
  <c r="AG199" i="14"/>
  <c r="AF199" i="14"/>
  <c r="AE199" i="14"/>
  <c r="AD199" i="14"/>
  <c r="AC199" i="14"/>
  <c r="AB199" i="14"/>
  <c r="AA199" i="14"/>
  <c r="Z199" i="14"/>
  <c r="X199" i="14"/>
  <c r="U199" i="14"/>
  <c r="T199" i="14"/>
  <c r="M199" i="14"/>
  <c r="I199" i="14"/>
  <c r="H199" i="14"/>
  <c r="G192" i="14"/>
  <c r="F183" i="7" s="1"/>
  <c r="G182" i="14"/>
  <c r="F173" i="7" s="1"/>
  <c r="G178" i="14"/>
  <c r="F169" i="7" s="1"/>
  <c r="G177" i="14"/>
  <c r="F168" i="7" s="1"/>
  <c r="F166" i="7"/>
  <c r="G169" i="14"/>
  <c r="F160" i="7" s="1"/>
  <c r="G168" i="14"/>
  <c r="F159" i="7" s="1"/>
  <c r="G164" i="14"/>
  <c r="F155" i="7" s="1"/>
  <c r="G163" i="14"/>
  <c r="F154" i="7" s="1"/>
  <c r="G161" i="14"/>
  <c r="F152" i="7" s="1"/>
  <c r="G157" i="14"/>
  <c r="F148" i="7" s="1"/>
  <c r="G155" i="14"/>
  <c r="F146" i="7" s="1"/>
  <c r="G152" i="14"/>
  <c r="F143" i="7" s="1"/>
  <c r="G150" i="14"/>
  <c r="F141" i="7" s="1"/>
  <c r="G146" i="14"/>
  <c r="F137" i="7" s="1"/>
  <c r="G145" i="14"/>
  <c r="F136" i="7" s="1"/>
  <c r="G141" i="14"/>
  <c r="F132" i="7" s="1"/>
  <c r="G139" i="14"/>
  <c r="F130" i="7" s="1"/>
  <c r="G135" i="14"/>
  <c r="F126" i="7" s="1"/>
  <c r="G127" i="14"/>
  <c r="F118" i="7" s="1"/>
  <c r="G126" i="14"/>
  <c r="F117" i="7" s="1"/>
  <c r="G122" i="14"/>
  <c r="F113" i="7" s="1"/>
  <c r="G120" i="14"/>
  <c r="F111" i="7" s="1"/>
  <c r="G114" i="14"/>
  <c r="F105" i="7" s="1"/>
  <c r="G107" i="14"/>
  <c r="F98" i="7" s="1"/>
  <c r="G105" i="14"/>
  <c r="F96" i="7" s="1"/>
  <c r="G103" i="14"/>
  <c r="F94" i="7" s="1"/>
  <c r="G101" i="14"/>
  <c r="F92" i="7" s="1"/>
  <c r="G99" i="14"/>
  <c r="F90" i="7" s="1"/>
  <c r="G92" i="14"/>
  <c r="F83" i="7" s="1"/>
  <c r="G90" i="14"/>
  <c r="F81" i="7" s="1"/>
  <c r="G87" i="14"/>
  <c r="F78" i="7" s="1"/>
  <c r="G82" i="14"/>
  <c r="F73" i="7" s="1"/>
  <c r="G81" i="14"/>
  <c r="F72" i="7" s="1"/>
  <c r="G79" i="14"/>
  <c r="F70" i="7" s="1"/>
  <c r="G73" i="14"/>
  <c r="F64" i="7" s="1"/>
  <c r="G69" i="14"/>
  <c r="F60" i="7" s="1"/>
  <c r="G67" i="14"/>
  <c r="F58" i="7" s="1"/>
  <c r="G65" i="14"/>
  <c r="G63" i="14"/>
  <c r="F54" i="7" s="1"/>
  <c r="G59" i="14"/>
  <c r="F50" i="7" s="1"/>
  <c r="G56" i="14"/>
  <c r="F47" i="7" s="1"/>
  <c r="G53" i="14"/>
  <c r="F44" i="7" s="1"/>
  <c r="G51" i="14"/>
  <c r="F42" i="7" s="1"/>
  <c r="G49" i="14"/>
  <c r="F40" i="7" s="1"/>
  <c r="G47" i="14"/>
  <c r="F38" i="7" s="1"/>
  <c r="G46" i="14"/>
  <c r="F37" i="7" s="1"/>
  <c r="G44" i="14"/>
  <c r="F35" i="7" s="1"/>
  <c r="G43" i="14"/>
  <c r="F34" i="7" s="1"/>
  <c r="G39" i="14"/>
  <c r="F30" i="7" s="1"/>
  <c r="G36" i="14"/>
  <c r="F27" i="7" s="1"/>
  <c r="G35" i="14"/>
  <c r="F26" i="7" s="1"/>
  <c r="G34" i="14"/>
  <c r="F25" i="7" s="1"/>
  <c r="G32" i="14"/>
  <c r="F23" i="7" s="1"/>
  <c r="G31" i="14"/>
  <c r="F22" i="7" s="1"/>
  <c r="G30" i="14"/>
  <c r="F21" i="7" s="1"/>
  <c r="F19" i="7"/>
  <c r="G27" i="14"/>
  <c r="F18" i="7" s="1"/>
  <c r="G25" i="14"/>
  <c r="F16" i="7" s="1"/>
  <c r="R199" i="14"/>
  <c r="G21" i="14"/>
  <c r="F12" i="7" s="1"/>
  <c r="G20" i="14"/>
  <c r="F11" i="7" s="1"/>
  <c r="G19" i="14"/>
  <c r="F10" i="7" s="1"/>
  <c r="G17" i="14"/>
  <c r="F8" i="7" s="1"/>
  <c r="G14" i="14"/>
  <c r="F5" i="7" s="1"/>
  <c r="C4" i="14"/>
  <c r="AN1" i="14"/>
  <c r="K1" i="14"/>
  <c r="R1" i="14" s="1"/>
  <c r="G16" i="14"/>
  <c r="F7" i="7" s="1"/>
  <c r="G52" i="14"/>
  <c r="F43" i="7" s="1"/>
  <c r="G71" i="14"/>
  <c r="F62" i="7" s="1"/>
  <c r="G83" i="14"/>
  <c r="F74" i="7" s="1"/>
  <c r="G91" i="14"/>
  <c r="F82" i="7" s="1"/>
  <c r="G109" i="14"/>
  <c r="F100" i="7" s="1"/>
  <c r="G123" i="14"/>
  <c r="F114" i="7" s="1"/>
  <c r="G134" i="14"/>
  <c r="F125" i="7" s="1"/>
  <c r="G138" i="14"/>
  <c r="F129" i="7" s="1"/>
  <c r="G142" i="14"/>
  <c r="F133" i="7" s="1"/>
  <c r="G159" i="14"/>
  <c r="F150" i="7" s="1"/>
  <c r="G170" i="14"/>
  <c r="F161" i="7" s="1"/>
  <c r="G179" i="14"/>
  <c r="F170" i="7" s="1"/>
  <c r="G183" i="14"/>
  <c r="F174" i="7" s="1"/>
  <c r="G64" i="14"/>
  <c r="F55" i="7" s="1"/>
  <c r="G68" i="14"/>
  <c r="F59" i="7" s="1"/>
  <c r="G72" i="14"/>
  <c r="F63" i="7" s="1"/>
  <c r="G76" i="14"/>
  <c r="F67" i="7" s="1"/>
  <c r="G80" i="14"/>
  <c r="F71" i="7" s="1"/>
  <c r="G84" i="14"/>
  <c r="F75" i="7" s="1"/>
  <c r="G98" i="14"/>
  <c r="F89" i="7" s="1"/>
  <c r="G102" i="14"/>
  <c r="F93" i="7" s="1"/>
  <c r="G106" i="14"/>
  <c r="F97" i="7" s="1"/>
  <c r="G110" i="14"/>
  <c r="F101" i="7" s="1"/>
  <c r="G116" i="14"/>
  <c r="F107" i="7" s="1"/>
  <c r="G124" i="14"/>
  <c r="F115" i="7" s="1"/>
  <c r="G147" i="14"/>
  <c r="F138" i="7" s="1"/>
  <c r="G151" i="14"/>
  <c r="F142" i="7" s="1"/>
  <c r="G160" i="14"/>
  <c r="F151" i="7" s="1"/>
  <c r="G167" i="14"/>
  <c r="F158" i="7" s="1"/>
  <c r="G180" i="14"/>
  <c r="F171" i="7" s="1"/>
  <c r="G13" i="14"/>
  <c r="F4" i="7" s="1"/>
  <c r="G50" i="14"/>
  <c r="F41" i="7" s="1"/>
  <c r="F56" i="7"/>
  <c r="G85" i="14"/>
  <c r="F76" i="7" s="1"/>
  <c r="G121" i="14"/>
  <c r="F112" i="7" s="1"/>
  <c r="G125" i="14"/>
  <c r="F116" i="7" s="1"/>
  <c r="G136" i="14"/>
  <c r="F127" i="7" s="1"/>
  <c r="G140" i="14"/>
  <c r="F131" i="7" s="1"/>
  <c r="G144" i="14"/>
  <c r="F135" i="7" s="1"/>
  <c r="G148" i="14"/>
  <c r="F139" i="7" s="1"/>
  <c r="G187" i="14"/>
  <c r="F178" i="7" s="1"/>
  <c r="G33" i="14"/>
  <c r="F24" i="7" s="1"/>
  <c r="G45" i="14"/>
  <c r="F36" i="7" s="1"/>
  <c r="G54" i="14"/>
  <c r="F45" i="7" s="1"/>
  <c r="G61" i="14"/>
  <c r="F52" i="7" s="1"/>
  <c r="G15" i="14"/>
  <c r="F6" i="7" s="1"/>
  <c r="G23" i="14"/>
  <c r="F14" i="7" s="1"/>
  <c r="G55" i="14"/>
  <c r="F46" i="7" s="1"/>
  <c r="G58" i="14"/>
  <c r="F49" i="7" s="1"/>
  <c r="G62" i="14"/>
  <c r="F53" i="7" s="1"/>
  <c r="G66" i="14"/>
  <c r="F57" i="7" s="1"/>
  <c r="G70" i="14"/>
  <c r="F61" i="7" s="1"/>
  <c r="G74" i="14"/>
  <c r="F65" i="7" s="1"/>
  <c r="G78" i="14"/>
  <c r="F69" i="7" s="1"/>
  <c r="G86" i="14"/>
  <c r="F77" i="7" s="1"/>
  <c r="G100" i="14"/>
  <c r="F91" i="7" s="1"/>
  <c r="G104" i="14"/>
  <c r="G108" i="14"/>
  <c r="F99" i="7" s="1"/>
  <c r="G118" i="14"/>
  <c r="F109" i="7" s="1"/>
  <c r="G129" i="14"/>
  <c r="F120" i="7" s="1"/>
  <c r="G133" i="14"/>
  <c r="F124" i="7" s="1"/>
  <c r="G137" i="14"/>
  <c r="F128" i="7" s="1"/>
  <c r="G153" i="14"/>
  <c r="F144" i="7" s="1"/>
  <c r="G162" i="14"/>
  <c r="F153" i="7" s="1"/>
  <c r="G188" i="14"/>
  <c r="F179" i="7" s="1"/>
  <c r="G191" i="14"/>
  <c r="F182" i="7" s="1"/>
  <c r="P199" i="14"/>
  <c r="Q199" i="14"/>
  <c r="G22" i="14"/>
  <c r="F13" i="7" s="1"/>
  <c r="O199" i="14"/>
  <c r="G40" i="14"/>
  <c r="F31" i="7" s="1"/>
  <c r="G154" i="14"/>
  <c r="F145" i="7" s="1"/>
  <c r="G48" i="14"/>
  <c r="F39" i="7" s="1"/>
  <c r="G186" i="4"/>
  <c r="G201" i="3"/>
  <c r="G192" i="7" s="1"/>
  <c r="G15" i="4"/>
  <c r="H6" i="7" s="1"/>
  <c r="G18" i="4"/>
  <c r="H9" i="7" s="1"/>
  <c r="G19" i="4"/>
  <c r="H10" i="7" s="1"/>
  <c r="G16" i="4"/>
  <c r="H7" i="7" s="1"/>
  <c r="D44" i="5"/>
  <c r="E44" i="5"/>
  <c r="D45" i="5"/>
  <c r="E45" i="5" s="1"/>
  <c r="D46" i="5"/>
  <c r="E46" i="5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/>
  <c r="D53" i="5"/>
  <c r="E53" i="5" s="1"/>
  <c r="I13" i="7" s="1"/>
  <c r="D54" i="5"/>
  <c r="E54" i="5" s="1"/>
  <c r="D55" i="5"/>
  <c r="E55" i="5"/>
  <c r="D56" i="5"/>
  <c r="E56" i="5" s="1"/>
  <c r="I14" i="7" s="1"/>
  <c r="D57" i="5"/>
  <c r="E57" i="5"/>
  <c r="I36" i="7" s="1"/>
  <c r="D58" i="5"/>
  <c r="E58" i="5" s="1"/>
  <c r="I37" i="7" s="1"/>
  <c r="D59" i="5"/>
  <c r="E59" i="5" s="1"/>
  <c r="I38" i="7" s="1"/>
  <c r="D60" i="5"/>
  <c r="E60" i="5" s="1"/>
  <c r="I39" i="7" s="1"/>
  <c r="D61" i="5"/>
  <c r="E61" i="5" s="1"/>
  <c r="I40" i="7" s="1"/>
  <c r="D62" i="5"/>
  <c r="E62" i="5"/>
  <c r="I41" i="7" s="1"/>
  <c r="D15" i="5"/>
  <c r="E15" i="5" s="1"/>
  <c r="I42" i="7" s="1"/>
  <c r="D63" i="5"/>
  <c r="E63" i="5" s="1"/>
  <c r="I43" i="7" s="1"/>
  <c r="D64" i="5"/>
  <c r="E64" i="5" s="1"/>
  <c r="I44" i="7" s="1"/>
  <c r="D65" i="5"/>
  <c r="E65" i="5"/>
  <c r="I45" i="7"/>
  <c r="D66" i="5"/>
  <c r="E66" i="5" s="1"/>
  <c r="I46" i="7" s="1"/>
  <c r="D67" i="5"/>
  <c r="E67" i="5" s="1"/>
  <c r="I47" i="7" s="1"/>
  <c r="D68" i="5"/>
  <c r="E68" i="5"/>
  <c r="I48" i="7" s="1"/>
  <c r="D69" i="5"/>
  <c r="E69" i="5" s="1"/>
  <c r="I49" i="7" s="1"/>
  <c r="D70" i="5"/>
  <c r="E70" i="5" s="1"/>
  <c r="I50" i="7" s="1"/>
  <c r="D71" i="5"/>
  <c r="E71" i="5" s="1"/>
  <c r="I51" i="7" s="1"/>
  <c r="D72" i="5"/>
  <c r="E72" i="5"/>
  <c r="I52" i="7" s="1"/>
  <c r="D73" i="5"/>
  <c r="E73" i="5" s="1"/>
  <c r="I53" i="7" s="1"/>
  <c r="D74" i="5"/>
  <c r="E74" i="5" s="1"/>
  <c r="I54" i="7" s="1"/>
  <c r="D75" i="5"/>
  <c r="E75" i="5" s="1"/>
  <c r="I55" i="7" s="1"/>
  <c r="D76" i="5"/>
  <c r="E76" i="5" s="1"/>
  <c r="I56" i="7" s="1"/>
  <c r="D77" i="5"/>
  <c r="E77" i="5"/>
  <c r="I57" i="7" s="1"/>
  <c r="D78" i="5"/>
  <c r="E78" i="5" s="1"/>
  <c r="I58" i="7" s="1"/>
  <c r="D79" i="5"/>
  <c r="E79" i="5" s="1"/>
  <c r="I59" i="7" s="1"/>
  <c r="D80" i="5"/>
  <c r="E80" i="5" s="1"/>
  <c r="I60" i="7" s="1"/>
  <c r="D81" i="5"/>
  <c r="E81" i="5"/>
  <c r="I61" i="7"/>
  <c r="D82" i="5"/>
  <c r="E82" i="5" s="1"/>
  <c r="I62" i="7" s="1"/>
  <c r="D83" i="5"/>
  <c r="E83" i="5" s="1"/>
  <c r="I63" i="7" s="1"/>
  <c r="D84" i="5"/>
  <c r="E84" i="5"/>
  <c r="I64" i="7" s="1"/>
  <c r="D85" i="5"/>
  <c r="E85" i="5" s="1"/>
  <c r="I65" i="7" s="1"/>
  <c r="D86" i="5"/>
  <c r="E86" i="5" s="1"/>
  <c r="I66" i="7" s="1"/>
  <c r="D155" i="5"/>
  <c r="E155" i="5" s="1"/>
  <c r="I146" i="7" s="1"/>
  <c r="D156" i="5"/>
  <c r="E156" i="5"/>
  <c r="I147" i="7" s="1"/>
  <c r="D157" i="5"/>
  <c r="E157" i="5" s="1"/>
  <c r="I148" i="7" s="1"/>
  <c r="D158" i="5"/>
  <c r="E158" i="5" s="1"/>
  <c r="I149" i="7" s="1"/>
  <c r="D159" i="5"/>
  <c r="E159" i="5" s="1"/>
  <c r="I150" i="7" s="1"/>
  <c r="D160" i="5"/>
  <c r="E160" i="5" s="1"/>
  <c r="I151" i="7" s="1"/>
  <c r="D161" i="5"/>
  <c r="E161" i="5"/>
  <c r="I152" i="7" s="1"/>
  <c r="D162" i="5"/>
  <c r="E162" i="5" s="1"/>
  <c r="I153" i="7" s="1"/>
  <c r="D163" i="5"/>
  <c r="E163" i="5" s="1"/>
  <c r="I154" i="7" s="1"/>
  <c r="D164" i="5"/>
  <c r="E164" i="5" s="1"/>
  <c r="I155" i="7" s="1"/>
  <c r="D165" i="5"/>
  <c r="E165" i="5"/>
  <c r="I156" i="7"/>
  <c r="D166" i="5"/>
  <c r="E166" i="5" s="1"/>
  <c r="I157" i="7" s="1"/>
  <c r="D167" i="5"/>
  <c r="E167" i="5" s="1"/>
  <c r="I158" i="7" s="1"/>
  <c r="D168" i="5"/>
  <c r="E168" i="5"/>
  <c r="I159" i="7" s="1"/>
  <c r="D169" i="5"/>
  <c r="E169" i="5" s="1"/>
  <c r="I160" i="7" s="1"/>
  <c r="D170" i="5"/>
  <c r="E170" i="5" s="1"/>
  <c r="I161" i="7" s="1"/>
  <c r="D171" i="5"/>
  <c r="E171" i="5" s="1"/>
  <c r="I162" i="7" s="1"/>
  <c r="D172" i="5"/>
  <c r="E172" i="5"/>
  <c r="I163" i="7" s="1"/>
  <c r="D173" i="5"/>
  <c r="E173" i="5" s="1"/>
  <c r="I164" i="7" s="1"/>
  <c r="D174" i="5"/>
  <c r="E174" i="5" s="1"/>
  <c r="I165" i="7" s="1"/>
  <c r="D175" i="5"/>
  <c r="E175" i="5" s="1"/>
  <c r="I166" i="7" s="1"/>
  <c r="D176" i="5"/>
  <c r="E176" i="5" s="1"/>
  <c r="I167" i="7" s="1"/>
  <c r="D177" i="5"/>
  <c r="E177" i="5"/>
  <c r="I168" i="7" s="1"/>
  <c r="D178" i="5"/>
  <c r="E178" i="5" s="1"/>
  <c r="I169" i="7" s="1"/>
  <c r="D179" i="5"/>
  <c r="E179" i="5" s="1"/>
  <c r="I170" i="7" s="1"/>
  <c r="D180" i="5"/>
  <c r="E180" i="5" s="1"/>
  <c r="I171" i="7" s="1"/>
  <c r="D181" i="5"/>
  <c r="E181" i="5"/>
  <c r="I172" i="7"/>
  <c r="D182" i="5"/>
  <c r="E182" i="5" s="1"/>
  <c r="I173" i="7" s="1"/>
  <c r="D183" i="5"/>
  <c r="E183" i="5" s="1"/>
  <c r="I174" i="7" s="1"/>
  <c r="D184" i="5"/>
  <c r="E184" i="5"/>
  <c r="I175" i="7" s="1"/>
  <c r="D185" i="5"/>
  <c r="E185" i="5" s="1"/>
  <c r="I176" i="7" s="1"/>
  <c r="D186" i="5"/>
  <c r="E186" i="5" s="1"/>
  <c r="I177" i="7" s="1"/>
  <c r="D187" i="5"/>
  <c r="E187" i="5" s="1"/>
  <c r="I178" i="7" s="1"/>
  <c r="D188" i="5"/>
  <c r="E188" i="5"/>
  <c r="I179" i="7" s="1"/>
  <c r="D189" i="5"/>
  <c r="E189" i="5" s="1"/>
  <c r="I180" i="7" s="1"/>
  <c r="D190" i="5"/>
  <c r="E190" i="5" s="1"/>
  <c r="I181" i="7" s="1"/>
  <c r="D192" i="5"/>
  <c r="E192" i="5" s="1"/>
  <c r="I183" i="7" s="1"/>
  <c r="D191" i="5"/>
  <c r="E191" i="5" s="1"/>
  <c r="C4" i="5"/>
  <c r="C4" i="3"/>
  <c r="C4" i="11"/>
  <c r="C4" i="10"/>
  <c r="C4" i="8"/>
  <c r="G198" i="1"/>
  <c r="C192" i="7" s="1"/>
  <c r="G171" i="4"/>
  <c r="H174" i="7" s="1"/>
  <c r="G172" i="4"/>
  <c r="H175" i="7" s="1"/>
  <c r="G173" i="4"/>
  <c r="H176" i="7" s="1"/>
  <c r="G177" i="4"/>
  <c r="H180" i="7" s="1"/>
  <c r="G178" i="4"/>
  <c r="H181" i="7" s="1"/>
  <c r="G179" i="4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P13" i="11"/>
  <c r="O13" i="11"/>
  <c r="N13" i="11"/>
  <c r="M13" i="11"/>
  <c r="K13" i="11"/>
  <c r="J13" i="11"/>
  <c r="I13" i="11"/>
  <c r="H13" i="11"/>
  <c r="G13" i="11"/>
  <c r="F13" i="11"/>
  <c r="D11" i="11"/>
  <c r="Q13" i="11"/>
  <c r="L13" i="11"/>
  <c r="C13" i="11"/>
  <c r="G175" i="4"/>
  <c r="H178" i="7" s="1"/>
  <c r="G174" i="4"/>
  <c r="H177" i="7" s="1"/>
  <c r="H200" i="1"/>
  <c r="I200" i="1"/>
  <c r="J200" i="1"/>
  <c r="K200" i="1"/>
  <c r="M200" i="1"/>
  <c r="P200" i="1"/>
  <c r="Q200" i="1"/>
  <c r="R200" i="1"/>
  <c r="W200" i="1"/>
  <c r="Z200" i="1"/>
  <c r="AA200" i="1"/>
  <c r="AB200" i="1"/>
  <c r="AC200" i="1"/>
  <c r="AD200" i="1"/>
  <c r="AE200" i="1"/>
  <c r="AF200" i="1"/>
  <c r="AG200" i="1"/>
  <c r="AH200" i="1"/>
  <c r="D179" i="10"/>
  <c r="E179" i="10" s="1"/>
  <c r="E172" i="7" s="1"/>
  <c r="D180" i="10"/>
  <c r="E180" i="10" s="1"/>
  <c r="E173" i="7" s="1"/>
  <c r="D181" i="10"/>
  <c r="E181" i="10"/>
  <c r="E174" i="7" s="1"/>
  <c r="D182" i="10"/>
  <c r="E182" i="10" s="1"/>
  <c r="E175" i="7" s="1"/>
  <c r="D183" i="10"/>
  <c r="E183" i="10" s="1"/>
  <c r="E176" i="7" s="1"/>
  <c r="D184" i="10"/>
  <c r="E184" i="10" s="1"/>
  <c r="E177" i="7" s="1"/>
  <c r="D185" i="10"/>
  <c r="E185" i="10" s="1"/>
  <c r="E178" i="7" s="1"/>
  <c r="D186" i="10"/>
  <c r="E186" i="10"/>
  <c r="E179" i="7" s="1"/>
  <c r="D187" i="10"/>
  <c r="E187" i="10" s="1"/>
  <c r="E180" i="7" s="1"/>
  <c r="D188" i="10"/>
  <c r="E188" i="10" s="1"/>
  <c r="E181" i="7" s="1"/>
  <c r="D189" i="10"/>
  <c r="E189" i="10" s="1"/>
  <c r="E183" i="7" s="1"/>
  <c r="D190" i="10"/>
  <c r="E190" i="10"/>
  <c r="D191" i="10"/>
  <c r="E191" i="10" s="1"/>
  <c r="E184" i="7" s="1"/>
  <c r="D192" i="10"/>
  <c r="E192" i="10" s="1"/>
  <c r="E185" i="7" s="1"/>
  <c r="D193" i="10"/>
  <c r="E193" i="10" s="1"/>
  <c r="E186" i="7" s="1"/>
  <c r="D194" i="10"/>
  <c r="E194" i="10" s="1"/>
  <c r="E191" i="7" s="1"/>
  <c r="D195" i="10"/>
  <c r="E195" i="10" s="1"/>
  <c r="E192" i="7" s="1"/>
  <c r="M197" i="10"/>
  <c r="F197" i="10"/>
  <c r="G197" i="10"/>
  <c r="H197" i="10"/>
  <c r="I197" i="10"/>
  <c r="J197" i="10"/>
  <c r="K197" i="10"/>
  <c r="O197" i="10"/>
  <c r="P197" i="10"/>
  <c r="R197" i="10"/>
  <c r="S197" i="10"/>
  <c r="T197" i="10"/>
  <c r="U197" i="10"/>
  <c r="V197" i="10"/>
  <c r="W197" i="10"/>
  <c r="X197" i="10"/>
  <c r="Y197" i="10"/>
  <c r="Z197" i="10"/>
  <c r="AA197" i="10"/>
  <c r="AB197" i="10"/>
  <c r="AC197" i="10"/>
  <c r="AD197" i="10"/>
  <c r="AE197" i="10"/>
  <c r="AF197" i="10"/>
  <c r="L197" i="10"/>
  <c r="O200" i="1"/>
  <c r="E177" i="10"/>
  <c r="E170" i="7" s="1"/>
  <c r="E176" i="10"/>
  <c r="E169" i="7" s="1"/>
  <c r="E175" i="10"/>
  <c r="E168" i="7" s="1"/>
  <c r="E174" i="10"/>
  <c r="E167" i="7" s="1"/>
  <c r="E173" i="10"/>
  <c r="E166" i="7" s="1"/>
  <c r="E172" i="10"/>
  <c r="E165" i="7" s="1"/>
  <c r="E171" i="10"/>
  <c r="E164" i="7" s="1"/>
  <c r="E170" i="10"/>
  <c r="E163" i="7" s="1"/>
  <c r="E169" i="10"/>
  <c r="E162" i="7" s="1"/>
  <c r="E168" i="10"/>
  <c r="E161" i="7" s="1"/>
  <c r="E167" i="10"/>
  <c r="E160" i="7" s="1"/>
  <c r="E166" i="10"/>
  <c r="E159" i="7" s="1"/>
  <c r="E165" i="10"/>
  <c r="E158" i="7" s="1"/>
  <c r="E164" i="10"/>
  <c r="E157" i="7" s="1"/>
  <c r="E163" i="10"/>
  <c r="E156" i="7" s="1"/>
  <c r="E162" i="10"/>
  <c r="E155" i="7" s="1"/>
  <c r="E161" i="10"/>
  <c r="E154" i="7" s="1"/>
  <c r="E160" i="10"/>
  <c r="E153" i="7" s="1"/>
  <c r="E159" i="10"/>
  <c r="E152" i="7" s="1"/>
  <c r="E158" i="10"/>
  <c r="E151" i="7" s="1"/>
  <c r="E157" i="10"/>
  <c r="E150" i="7" s="1"/>
  <c r="E156" i="10"/>
  <c r="E149" i="7" s="1"/>
  <c r="E155" i="10"/>
  <c r="E148" i="7" s="1"/>
  <c r="E154" i="10"/>
  <c r="E147" i="7" s="1"/>
  <c r="E153" i="10"/>
  <c r="E146" i="7" s="1"/>
  <c r="E152" i="10"/>
  <c r="E145" i="7" s="1"/>
  <c r="E151" i="10"/>
  <c r="E144" i="7" s="1"/>
  <c r="E150" i="10"/>
  <c r="E143" i="7" s="1"/>
  <c r="E149" i="10"/>
  <c r="E142" i="7" s="1"/>
  <c r="E148" i="10"/>
  <c r="E141" i="7" s="1"/>
  <c r="E147" i="10"/>
  <c r="E140" i="7" s="1"/>
  <c r="E146" i="10"/>
  <c r="E139" i="7" s="1"/>
  <c r="E145" i="10"/>
  <c r="E138" i="7" s="1"/>
  <c r="E144" i="10"/>
  <c r="E137" i="7" s="1"/>
  <c r="E143" i="10"/>
  <c r="E136" i="7" s="1"/>
  <c r="E142" i="10"/>
  <c r="E135" i="7" s="1"/>
  <c r="E141" i="10"/>
  <c r="E134" i="7" s="1"/>
  <c r="E140" i="10"/>
  <c r="E133" i="7" s="1"/>
  <c r="E139" i="10"/>
  <c r="E132" i="7" s="1"/>
  <c r="E138" i="10"/>
  <c r="E131" i="7" s="1"/>
  <c r="E137" i="10"/>
  <c r="E130" i="7" s="1"/>
  <c r="E136" i="10"/>
  <c r="E129" i="7" s="1"/>
  <c r="E135" i="10"/>
  <c r="E128" i="7" s="1"/>
  <c r="E134" i="10"/>
  <c r="E127" i="7" s="1"/>
  <c r="E133" i="10"/>
  <c r="E126" i="7" s="1"/>
  <c r="E132" i="10"/>
  <c r="E125" i="7" s="1"/>
  <c r="E131" i="10"/>
  <c r="E124" i="7" s="1"/>
  <c r="E130" i="10"/>
  <c r="E123" i="7" s="1"/>
  <c r="E129" i="10"/>
  <c r="E122" i="7" s="1"/>
  <c r="E128" i="10"/>
  <c r="E121" i="7" s="1"/>
  <c r="E127" i="10"/>
  <c r="E120" i="7" s="1"/>
  <c r="E126" i="10"/>
  <c r="E119" i="7" s="1"/>
  <c r="E125" i="10"/>
  <c r="E118" i="7" s="1"/>
  <c r="E124" i="10"/>
  <c r="E117" i="7" s="1"/>
  <c r="E123" i="10"/>
  <c r="E116" i="7" s="1"/>
  <c r="E122" i="10"/>
  <c r="E115" i="7" s="1"/>
  <c r="E121" i="10"/>
  <c r="E114" i="7" s="1"/>
  <c r="E120" i="10"/>
  <c r="E113" i="7" s="1"/>
  <c r="E119" i="10"/>
  <c r="E112" i="7" s="1"/>
  <c r="E118" i="10"/>
  <c r="E111" i="7" s="1"/>
  <c r="E117" i="10"/>
  <c r="E110" i="7" s="1"/>
  <c r="E116" i="10"/>
  <c r="E109" i="7" s="1"/>
  <c r="E115" i="10"/>
  <c r="E108" i="7" s="1"/>
  <c r="E114" i="10"/>
  <c r="E107" i="7" s="1"/>
  <c r="E113" i="10"/>
  <c r="E106" i="7" s="1"/>
  <c r="E112" i="10"/>
  <c r="E105" i="7" s="1"/>
  <c r="E111" i="10"/>
  <c r="E104" i="7" s="1"/>
  <c r="E110" i="10"/>
  <c r="E103" i="7" s="1"/>
  <c r="E109" i="10"/>
  <c r="E102" i="7" s="1"/>
  <c r="E108" i="10"/>
  <c r="E101" i="7" s="1"/>
  <c r="E107" i="10"/>
  <c r="E100" i="7" s="1"/>
  <c r="E106" i="10"/>
  <c r="E99" i="7" s="1"/>
  <c r="E105" i="10"/>
  <c r="E98" i="7" s="1"/>
  <c r="E104" i="10"/>
  <c r="E97" i="7" s="1"/>
  <c r="E103" i="10"/>
  <c r="E96" i="7" s="1"/>
  <c r="E102" i="10"/>
  <c r="E95" i="7" s="1"/>
  <c r="E101" i="10"/>
  <c r="E94" i="7" s="1"/>
  <c r="E100" i="10"/>
  <c r="E93" i="7" s="1"/>
  <c r="E99" i="10"/>
  <c r="E92" i="7" s="1"/>
  <c r="E98" i="10"/>
  <c r="E91" i="7" s="1"/>
  <c r="E96" i="10"/>
  <c r="E89" i="7" s="1"/>
  <c r="E95" i="10"/>
  <c r="E88" i="7" s="1"/>
  <c r="E94" i="10"/>
  <c r="E87" i="7" s="1"/>
  <c r="E93" i="10"/>
  <c r="E86" i="7" s="1"/>
  <c r="E92" i="10"/>
  <c r="E85" i="7" s="1"/>
  <c r="E91" i="10"/>
  <c r="E84" i="7" s="1"/>
  <c r="E90" i="10"/>
  <c r="E83" i="7" s="1"/>
  <c r="E89" i="10"/>
  <c r="E82" i="7" s="1"/>
  <c r="E88" i="10"/>
  <c r="E81" i="7" s="1"/>
  <c r="E87" i="10"/>
  <c r="E80" i="7" s="1"/>
  <c r="E86" i="10"/>
  <c r="E79" i="7" s="1"/>
  <c r="E85" i="10"/>
  <c r="E78" i="7" s="1"/>
  <c r="E84" i="10"/>
  <c r="E77" i="7" s="1"/>
  <c r="E83" i="10"/>
  <c r="E76" i="7" s="1"/>
  <c r="E82" i="10"/>
  <c r="E75" i="7" s="1"/>
  <c r="E81" i="10"/>
  <c r="E74" i="7" s="1"/>
  <c r="E80" i="10"/>
  <c r="E73" i="7" s="1"/>
  <c r="E79" i="10"/>
  <c r="E72" i="7" s="1"/>
  <c r="E78" i="10"/>
  <c r="E71" i="7" s="1"/>
  <c r="E77" i="10"/>
  <c r="E70" i="7" s="1"/>
  <c r="E76" i="10"/>
  <c r="E69" i="7" s="1"/>
  <c r="E75" i="10"/>
  <c r="E68" i="7" s="1"/>
  <c r="E74" i="10"/>
  <c r="E67" i="7" s="1"/>
  <c r="E73" i="10"/>
  <c r="E66" i="7" s="1"/>
  <c r="E72" i="10"/>
  <c r="E65" i="7" s="1"/>
  <c r="E71" i="10"/>
  <c r="E64" i="7" s="1"/>
  <c r="E70" i="10"/>
  <c r="E63" i="7" s="1"/>
  <c r="E69" i="10"/>
  <c r="E62" i="7" s="1"/>
  <c r="E68" i="10"/>
  <c r="E61" i="7" s="1"/>
  <c r="E67" i="10"/>
  <c r="E60" i="7" s="1"/>
  <c r="E66" i="10"/>
  <c r="E59" i="7" s="1"/>
  <c r="E65" i="10"/>
  <c r="E58" i="7" s="1"/>
  <c r="E64" i="10"/>
  <c r="E57" i="7" s="1"/>
  <c r="E63" i="10"/>
  <c r="E56" i="7" s="1"/>
  <c r="E62" i="10"/>
  <c r="E55" i="7" s="1"/>
  <c r="E61" i="10"/>
  <c r="E54" i="7" s="1"/>
  <c r="E60" i="10"/>
  <c r="E53" i="7" s="1"/>
  <c r="E59" i="10"/>
  <c r="E52" i="7" s="1"/>
  <c r="E58" i="10"/>
  <c r="E51" i="7" s="1"/>
  <c r="E57" i="10"/>
  <c r="E50" i="7" s="1"/>
  <c r="E56" i="10"/>
  <c r="E49" i="7" s="1"/>
  <c r="E55" i="10"/>
  <c r="E48" i="7" s="1"/>
  <c r="E54" i="10"/>
  <c r="E47" i="7" s="1"/>
  <c r="E53" i="10"/>
  <c r="E46" i="7" s="1"/>
  <c r="E52" i="10"/>
  <c r="E45" i="7" s="1"/>
  <c r="E51" i="10"/>
  <c r="E44" i="7" s="1"/>
  <c r="E50" i="10"/>
  <c r="E43" i="7" s="1"/>
  <c r="E49" i="10"/>
  <c r="E42" i="7" s="1"/>
  <c r="E48" i="10"/>
  <c r="E41" i="7" s="1"/>
  <c r="E47" i="10"/>
  <c r="E40" i="7" s="1"/>
  <c r="E46" i="10"/>
  <c r="E39" i="7" s="1"/>
  <c r="E45" i="10"/>
  <c r="E38" i="7" s="1"/>
  <c r="E44" i="10"/>
  <c r="E37" i="7" s="1"/>
  <c r="E43" i="10"/>
  <c r="E36" i="7" s="1"/>
  <c r="E42" i="10"/>
  <c r="E35" i="7" s="1"/>
  <c r="E41" i="10"/>
  <c r="E34" i="7" s="1"/>
  <c r="E40" i="10"/>
  <c r="E33" i="7" s="1"/>
  <c r="E39" i="10"/>
  <c r="E32" i="7" s="1"/>
  <c r="E38" i="10"/>
  <c r="E31" i="7" s="1"/>
  <c r="E37" i="10"/>
  <c r="E30" i="7" s="1"/>
  <c r="E36" i="10"/>
  <c r="E29" i="7" s="1"/>
  <c r="E35" i="10"/>
  <c r="E28" i="7" s="1"/>
  <c r="E34" i="10"/>
  <c r="E27" i="7" s="1"/>
  <c r="E33" i="10"/>
  <c r="E26" i="7" s="1"/>
  <c r="E32" i="10"/>
  <c r="E25" i="7" s="1"/>
  <c r="E31" i="10"/>
  <c r="E24" i="7" s="1"/>
  <c r="E30" i="10"/>
  <c r="E23" i="7" s="1"/>
  <c r="E29" i="10"/>
  <c r="E22" i="7" s="1"/>
  <c r="E28" i="10"/>
  <c r="E21" i="7" s="1"/>
  <c r="E27" i="10"/>
  <c r="E20" i="7" s="1"/>
  <c r="E26" i="10"/>
  <c r="E19" i="7" s="1"/>
  <c r="E24" i="10"/>
  <c r="E17" i="7" s="1"/>
  <c r="E23" i="10"/>
  <c r="E16" i="7" s="1"/>
  <c r="E22" i="10"/>
  <c r="E15" i="7" s="1"/>
  <c r="E21" i="10"/>
  <c r="E14" i="7" s="1"/>
  <c r="E20" i="10"/>
  <c r="E13" i="7" s="1"/>
  <c r="E19" i="10"/>
  <c r="E12" i="7" s="1"/>
  <c r="D17" i="10"/>
  <c r="E17" i="10" s="1"/>
  <c r="E10" i="7" s="1"/>
  <c r="D16" i="10"/>
  <c r="E16" i="10" s="1"/>
  <c r="E9" i="7" s="1"/>
  <c r="D15" i="10"/>
  <c r="E15" i="10" s="1"/>
  <c r="E8" i="7" s="1"/>
  <c r="D14" i="10"/>
  <c r="E14" i="10" s="1"/>
  <c r="E7" i="7" s="1"/>
  <c r="D13" i="10"/>
  <c r="E13" i="10" s="1"/>
  <c r="E6" i="7" s="1"/>
  <c r="D12" i="10"/>
  <c r="E12" i="10" s="1"/>
  <c r="D11" i="10"/>
  <c r="E11" i="10" s="1"/>
  <c r="L200" i="1"/>
  <c r="T199" i="8"/>
  <c r="S199" i="8"/>
  <c r="R199" i="8"/>
  <c r="Q199" i="8"/>
  <c r="P199" i="8"/>
  <c r="O199" i="8"/>
  <c r="G199" i="8"/>
  <c r="F199" i="8"/>
  <c r="C199" i="8"/>
  <c r="E197" i="8"/>
  <c r="D192" i="7" s="1"/>
  <c r="E196" i="8"/>
  <c r="D191" i="7" s="1"/>
  <c r="E195" i="8"/>
  <c r="E194" i="8"/>
  <c r="D188" i="7" s="1"/>
  <c r="E193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D141" i="7" s="1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D111" i="7" s="1"/>
  <c r="E117" i="8"/>
  <c r="E116" i="8"/>
  <c r="E114" i="8"/>
  <c r="E113" i="8"/>
  <c r="E112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D18" i="7" s="1"/>
  <c r="D24" i="8"/>
  <c r="E24" i="8" s="1"/>
  <c r="D17" i="7" s="1"/>
  <c r="D23" i="8"/>
  <c r="E23" i="8" s="1"/>
  <c r="D16" i="7" s="1"/>
  <c r="D22" i="8"/>
  <c r="E22" i="8" s="1"/>
  <c r="D15" i="7" s="1"/>
  <c r="D21" i="8"/>
  <c r="E21" i="8"/>
  <c r="D14" i="7" s="1"/>
  <c r="D20" i="8"/>
  <c r="E20" i="8" s="1"/>
  <c r="D13" i="7" s="1"/>
  <c r="D19" i="8"/>
  <c r="E19" i="8" s="1"/>
  <c r="D12" i="7" s="1"/>
  <c r="D17" i="8"/>
  <c r="E17" i="8" s="1"/>
  <c r="D10" i="7" s="1"/>
  <c r="D16" i="8"/>
  <c r="E16" i="8"/>
  <c r="D9" i="7" s="1"/>
  <c r="D15" i="8"/>
  <c r="E15" i="8" s="1"/>
  <c r="D8" i="7" s="1"/>
  <c r="D14" i="8"/>
  <c r="E14" i="8" s="1"/>
  <c r="D7" i="7" s="1"/>
  <c r="D13" i="8"/>
  <c r="E13" i="8" s="1"/>
  <c r="D6" i="7" s="1"/>
  <c r="D12" i="8"/>
  <c r="E12" i="8" s="1"/>
  <c r="D11" i="8"/>
  <c r="E11" i="8"/>
  <c r="E200" i="1"/>
  <c r="E25" i="10"/>
  <c r="E18" i="7" s="1"/>
  <c r="C197" i="10"/>
  <c r="E18" i="10"/>
  <c r="E11" i="7" s="1"/>
  <c r="N199" i="8"/>
  <c r="M199" i="8"/>
  <c r="L199" i="8"/>
  <c r="K199" i="8"/>
  <c r="J199" i="8"/>
  <c r="I199" i="8"/>
  <c r="H199" i="8"/>
  <c r="D18" i="8"/>
  <c r="E18" i="8" s="1"/>
  <c r="D11" i="7" s="1"/>
  <c r="G170" i="4"/>
  <c r="H173" i="7" s="1"/>
  <c r="G169" i="4"/>
  <c r="H172" i="7" s="1"/>
  <c r="G168" i="4"/>
  <c r="H171" i="7" s="1"/>
  <c r="G167" i="4"/>
  <c r="H170" i="7" s="1"/>
  <c r="G166" i="4"/>
  <c r="H169" i="7" s="1"/>
  <c r="G165" i="4"/>
  <c r="H168" i="7" s="1"/>
  <c r="G164" i="4"/>
  <c r="H167" i="7" s="1"/>
  <c r="G163" i="4"/>
  <c r="H166" i="7" s="1"/>
  <c r="G162" i="4"/>
  <c r="H165" i="7" s="1"/>
  <c r="G161" i="4"/>
  <c r="H164" i="7" s="1"/>
  <c r="G160" i="4"/>
  <c r="H163" i="7" s="1"/>
  <c r="G159" i="4"/>
  <c r="H162" i="7" s="1"/>
  <c r="G158" i="4"/>
  <c r="H161" i="7" s="1"/>
  <c r="G157" i="4"/>
  <c r="H160" i="7" s="1"/>
  <c r="G156" i="4"/>
  <c r="H159" i="7" s="1"/>
  <c r="G155" i="4"/>
  <c r="H158" i="7" s="1"/>
  <c r="G154" i="4"/>
  <c r="H157" i="7" s="1"/>
  <c r="G153" i="4"/>
  <c r="H156" i="7" s="1"/>
  <c r="G152" i="4"/>
  <c r="H155" i="7" s="1"/>
  <c r="G151" i="4"/>
  <c r="H154" i="7" s="1"/>
  <c r="G150" i="4"/>
  <c r="H153" i="7" s="1"/>
  <c r="G149" i="4"/>
  <c r="H152" i="7" s="1"/>
  <c r="G148" i="4"/>
  <c r="H151" i="7" s="1"/>
  <c r="G147" i="4"/>
  <c r="H150" i="7" s="1"/>
  <c r="G146" i="4"/>
  <c r="H149" i="7" s="1"/>
  <c r="G145" i="4"/>
  <c r="H148" i="7" s="1"/>
  <c r="G144" i="4"/>
  <c r="H147" i="7" s="1"/>
  <c r="G143" i="4"/>
  <c r="H146" i="7" s="1"/>
  <c r="G142" i="4"/>
  <c r="H145" i="7" s="1"/>
  <c r="G141" i="4"/>
  <c r="H144" i="7" s="1"/>
  <c r="G140" i="4"/>
  <c r="H143" i="7" s="1"/>
  <c r="G176" i="4"/>
  <c r="H179" i="7" s="1"/>
  <c r="G139" i="4"/>
  <c r="H141" i="7" s="1"/>
  <c r="G138" i="4"/>
  <c r="H140" i="7" s="1"/>
  <c r="G137" i="4"/>
  <c r="H139" i="7" s="1"/>
  <c r="G136" i="4"/>
  <c r="H138" i="7" s="1"/>
  <c r="G135" i="4"/>
  <c r="H137" i="7" s="1"/>
  <c r="G134" i="4"/>
  <c r="H135" i="7" s="1"/>
  <c r="G133" i="4"/>
  <c r="H134" i="7" s="1"/>
  <c r="G132" i="4"/>
  <c r="H133" i="7" s="1"/>
  <c r="G131" i="4"/>
  <c r="H132" i="7" s="1"/>
  <c r="G130" i="4"/>
  <c r="H131" i="7" s="1"/>
  <c r="G129" i="4"/>
  <c r="H130" i="7" s="1"/>
  <c r="G128" i="4"/>
  <c r="H129" i="7" s="1"/>
  <c r="G127" i="4"/>
  <c r="H128" i="7" s="1"/>
  <c r="G126" i="4"/>
  <c r="H127" i="7" s="1"/>
  <c r="G125" i="4"/>
  <c r="H126" i="7" s="1"/>
  <c r="G124" i="4"/>
  <c r="H125" i="7" s="1"/>
  <c r="G123" i="4"/>
  <c r="H124" i="7" s="1"/>
  <c r="G122" i="4"/>
  <c r="H123" i="7" s="1"/>
  <c r="G120" i="4"/>
  <c r="H121" i="7" s="1"/>
  <c r="G118" i="4"/>
  <c r="H119" i="7" s="1"/>
  <c r="G117" i="4"/>
  <c r="H118" i="7" s="1"/>
  <c r="G114" i="4"/>
  <c r="H115" i="7" s="1"/>
  <c r="G113" i="4"/>
  <c r="H114" i="7" s="1"/>
  <c r="G112" i="4"/>
  <c r="H113" i="7" s="1"/>
  <c r="G111" i="4"/>
  <c r="H112" i="7" s="1"/>
  <c r="G110" i="4"/>
  <c r="H111" i="7" s="1"/>
  <c r="G109" i="4"/>
  <c r="H110" i="7" s="1"/>
  <c r="G108" i="4"/>
  <c r="H109" i="7" s="1"/>
  <c r="G107" i="4"/>
  <c r="H108" i="7" s="1"/>
  <c r="G106" i="4"/>
  <c r="H107" i="7" s="1"/>
  <c r="G105" i="4"/>
  <c r="H106" i="7" s="1"/>
  <c r="G104" i="4"/>
  <c r="H105" i="7" s="1"/>
  <c r="G103" i="4"/>
  <c r="H104" i="7" s="1"/>
  <c r="G102" i="4"/>
  <c r="H103" i="7" s="1"/>
  <c r="G101" i="4"/>
  <c r="H102" i="7" s="1"/>
  <c r="G100" i="4"/>
  <c r="H101" i="7" s="1"/>
  <c r="G99" i="4"/>
  <c r="H100" i="7" s="1"/>
  <c r="G98" i="4"/>
  <c r="H99" i="7" s="1"/>
  <c r="G97" i="4"/>
  <c r="H98" i="7" s="1"/>
  <c r="G96" i="4"/>
  <c r="H97" i="7" s="1"/>
  <c r="G115" i="4"/>
  <c r="H116" i="7" s="1"/>
  <c r="G95" i="4"/>
  <c r="H95" i="7" s="1"/>
  <c r="G94" i="4"/>
  <c r="H94" i="7" s="1"/>
  <c r="G93" i="4"/>
  <c r="G92" i="4"/>
  <c r="H91" i="7" s="1"/>
  <c r="G91" i="4"/>
  <c r="H90" i="7" s="1"/>
  <c r="G90" i="4"/>
  <c r="H88" i="7" s="1"/>
  <c r="G89" i="4"/>
  <c r="H87" i="7" s="1"/>
  <c r="G88" i="4"/>
  <c r="H86" i="7" s="1"/>
  <c r="G87" i="4"/>
  <c r="H85" i="7" s="1"/>
  <c r="G86" i="4"/>
  <c r="H84" i="7" s="1"/>
  <c r="G85" i="4"/>
  <c r="H83" i="7" s="1"/>
  <c r="G83" i="4"/>
  <c r="H81" i="7" s="1"/>
  <c r="G82" i="4"/>
  <c r="H80" i="7" s="1"/>
  <c r="G81" i="4"/>
  <c r="H79" i="7" s="1"/>
  <c r="G80" i="4"/>
  <c r="H78" i="7" s="1"/>
  <c r="G79" i="4"/>
  <c r="H77" i="7" s="1"/>
  <c r="G78" i="4"/>
  <c r="H76" i="7" s="1"/>
  <c r="G77" i="4"/>
  <c r="H74" i="7" s="1"/>
  <c r="G76" i="4"/>
  <c r="H73" i="7" s="1"/>
  <c r="G75" i="4"/>
  <c r="H72" i="7" s="1"/>
  <c r="G74" i="4"/>
  <c r="H71" i="7" s="1"/>
  <c r="G73" i="4"/>
  <c r="H70" i="7" s="1"/>
  <c r="G72" i="4"/>
  <c r="H69" i="7" s="1"/>
  <c r="G71" i="4"/>
  <c r="H68" i="7" s="1"/>
  <c r="G70" i="4"/>
  <c r="H67" i="7" s="1"/>
  <c r="G69" i="4"/>
  <c r="H66" i="7" s="1"/>
  <c r="G68" i="4"/>
  <c r="H65" i="7" s="1"/>
  <c r="G67" i="4"/>
  <c r="H64" i="7" s="1"/>
  <c r="G66" i="4"/>
  <c r="H63" i="7" s="1"/>
  <c r="G65" i="4"/>
  <c r="H62" i="7" s="1"/>
  <c r="G64" i="4"/>
  <c r="H61" i="7" s="1"/>
  <c r="G63" i="4"/>
  <c r="H60" i="7" s="1"/>
  <c r="G62" i="4"/>
  <c r="H59" i="7" s="1"/>
  <c r="G61" i="4"/>
  <c r="H57" i="7" s="1"/>
  <c r="G60" i="4"/>
  <c r="H55" i="7" s="1"/>
  <c r="G59" i="4"/>
  <c r="H54" i="7" s="1"/>
  <c r="G57" i="4"/>
  <c r="H52" i="7" s="1"/>
  <c r="G56" i="4"/>
  <c r="H51" i="7" s="1"/>
  <c r="G55" i="4"/>
  <c r="H50" i="7" s="1"/>
  <c r="G54" i="4"/>
  <c r="H49" i="7" s="1"/>
  <c r="G53" i="4"/>
  <c r="H48" i="7" s="1"/>
  <c r="G52" i="4"/>
  <c r="H47" i="7" s="1"/>
  <c r="G51" i="4"/>
  <c r="H46" i="7" s="1"/>
  <c r="G50" i="4"/>
  <c r="H45" i="7" s="1"/>
  <c r="G49" i="4"/>
  <c r="H44" i="7" s="1"/>
  <c r="G48" i="4"/>
  <c r="H43" i="7" s="1"/>
  <c r="G58" i="4"/>
  <c r="H53" i="7" s="1"/>
  <c r="G47" i="4"/>
  <c r="H41" i="7" s="1"/>
  <c r="G46" i="4"/>
  <c r="H40" i="7" s="1"/>
  <c r="G44" i="4"/>
  <c r="H38" i="7" s="1"/>
  <c r="G43" i="4"/>
  <c r="H37" i="7" s="1"/>
  <c r="G42" i="4"/>
  <c r="G41" i="4"/>
  <c r="H35" i="7" s="1"/>
  <c r="G40" i="4"/>
  <c r="H34" i="7" s="1"/>
  <c r="G39" i="4"/>
  <c r="H33" i="7" s="1"/>
  <c r="G38" i="4"/>
  <c r="G37" i="4"/>
  <c r="H31" i="7" s="1"/>
  <c r="G36" i="4"/>
  <c r="H30" i="7" s="1"/>
  <c r="G35" i="4"/>
  <c r="H29" i="7" s="1"/>
  <c r="G34" i="4"/>
  <c r="H28" i="7" s="1"/>
  <c r="G33" i="4"/>
  <c r="H27" i="7" s="1"/>
  <c r="G32" i="4"/>
  <c r="H26" i="7" s="1"/>
  <c r="G31" i="4"/>
  <c r="H25" i="7" s="1"/>
  <c r="G30" i="4"/>
  <c r="H24" i="7" s="1"/>
  <c r="G29" i="4"/>
  <c r="H23" i="7" s="1"/>
  <c r="G28" i="4"/>
  <c r="H22" i="7" s="1"/>
  <c r="G27" i="4"/>
  <c r="H21" i="7" s="1"/>
  <c r="G26" i="4"/>
  <c r="H20" i="7" s="1"/>
  <c r="G25" i="4"/>
  <c r="H19" i="7" s="1"/>
  <c r="G23" i="4"/>
  <c r="H14" i="7" s="1"/>
  <c r="G22" i="4"/>
  <c r="H13" i="7" s="1"/>
  <c r="G21" i="4"/>
  <c r="H12" i="7" s="1"/>
  <c r="G20" i="4"/>
  <c r="H11" i="7" s="1"/>
  <c r="D26" i="5"/>
  <c r="E26" i="5" s="1"/>
  <c r="I145" i="7" s="1"/>
  <c r="D154" i="5"/>
  <c r="E154" i="5" s="1"/>
  <c r="I144" i="7" s="1"/>
  <c r="D153" i="5"/>
  <c r="E153" i="5" s="1"/>
  <c r="I143" i="7" s="1"/>
  <c r="D152" i="5"/>
  <c r="E152" i="5" s="1"/>
  <c r="I142" i="7" s="1"/>
  <c r="D151" i="5"/>
  <c r="E151" i="5" s="1"/>
  <c r="I141" i="7" s="1"/>
  <c r="D150" i="5"/>
  <c r="E150" i="5"/>
  <c r="I140" i="7" s="1"/>
  <c r="D149" i="5"/>
  <c r="E149" i="5" s="1"/>
  <c r="I139" i="7" s="1"/>
  <c r="D148" i="5"/>
  <c r="E148" i="5" s="1"/>
  <c r="I138" i="7" s="1"/>
  <c r="D147" i="5"/>
  <c r="E147" i="5" s="1"/>
  <c r="I136" i="7" s="1"/>
  <c r="D146" i="5"/>
  <c r="E146" i="5" s="1"/>
  <c r="I135" i="7" s="1"/>
  <c r="D145" i="5"/>
  <c r="E145" i="5" s="1"/>
  <c r="I134" i="7" s="1"/>
  <c r="D144" i="5"/>
  <c r="E144" i="5" s="1"/>
  <c r="I133" i="7" s="1"/>
  <c r="D143" i="5"/>
  <c r="E143" i="5" s="1"/>
  <c r="I132" i="7" s="1"/>
  <c r="D142" i="5"/>
  <c r="E142" i="5"/>
  <c r="I131" i="7" s="1"/>
  <c r="D141" i="5"/>
  <c r="E141" i="5" s="1"/>
  <c r="I130" i="7" s="1"/>
  <c r="D140" i="5"/>
  <c r="E140" i="5" s="1"/>
  <c r="I129" i="7" s="1"/>
  <c r="D139" i="5"/>
  <c r="E139" i="5" s="1"/>
  <c r="I128" i="7" s="1"/>
  <c r="D138" i="5"/>
  <c r="E138" i="5" s="1"/>
  <c r="I127" i="7" s="1"/>
  <c r="D137" i="5"/>
  <c r="E137" i="5" s="1"/>
  <c r="I126" i="7" s="1"/>
  <c r="D136" i="5"/>
  <c r="E136" i="5"/>
  <c r="I125" i="7" s="1"/>
  <c r="D25" i="5"/>
  <c r="E25" i="5" s="1"/>
  <c r="I124" i="7" s="1"/>
  <c r="D24" i="5"/>
  <c r="E24" i="5"/>
  <c r="I123" i="7" s="1"/>
  <c r="D135" i="5"/>
  <c r="E135" i="5" s="1"/>
  <c r="I122" i="7" s="1"/>
  <c r="D134" i="5"/>
  <c r="E134" i="5" s="1"/>
  <c r="I121" i="7" s="1"/>
  <c r="D23" i="5"/>
  <c r="E23" i="5" s="1"/>
  <c r="I120" i="7" s="1"/>
  <c r="D133" i="5"/>
  <c r="E133" i="5"/>
  <c r="I119" i="7" s="1"/>
  <c r="D132" i="5"/>
  <c r="E132" i="5" s="1"/>
  <c r="I118" i="7" s="1"/>
  <c r="D22" i="5"/>
  <c r="E22" i="5" s="1"/>
  <c r="I117" i="7" s="1"/>
  <c r="D131" i="5"/>
  <c r="E131" i="5" s="1"/>
  <c r="I116" i="7" s="1"/>
  <c r="D130" i="5"/>
  <c r="E130" i="5"/>
  <c r="D20" i="5"/>
  <c r="E20" i="5"/>
  <c r="I114" i="7" s="1"/>
  <c r="D129" i="5"/>
  <c r="E129" i="5" s="1"/>
  <c r="I113" i="7" s="1"/>
  <c r="D128" i="5"/>
  <c r="E128" i="5" s="1"/>
  <c r="I112" i="7" s="1"/>
  <c r="D127" i="5"/>
  <c r="E127" i="5" s="1"/>
  <c r="I111" i="7" s="1"/>
  <c r="D126" i="5"/>
  <c r="E126" i="5"/>
  <c r="I110" i="7" s="1"/>
  <c r="D125" i="5"/>
  <c r="E125" i="5" s="1"/>
  <c r="I109" i="7" s="1"/>
  <c r="D124" i="5"/>
  <c r="E124" i="5" s="1"/>
  <c r="I108" i="7" s="1"/>
  <c r="D123" i="5"/>
  <c r="E123" i="5" s="1"/>
  <c r="I107" i="7" s="1"/>
  <c r="D122" i="5"/>
  <c r="E122" i="5" s="1"/>
  <c r="I106" i="7" s="1"/>
  <c r="D121" i="5"/>
  <c r="E121" i="5" s="1"/>
  <c r="I105" i="7" s="1"/>
  <c r="D120" i="5"/>
  <c r="E120" i="5" s="1"/>
  <c r="I104" i="7" s="1"/>
  <c r="D119" i="5"/>
  <c r="E119" i="5" s="1"/>
  <c r="I103" i="7" s="1"/>
  <c r="D118" i="5"/>
  <c r="E118" i="5"/>
  <c r="I102" i="7" s="1"/>
  <c r="D117" i="5"/>
  <c r="E117" i="5" s="1"/>
  <c r="I101" i="7" s="1"/>
  <c r="D116" i="5"/>
  <c r="E116" i="5" s="1"/>
  <c r="I100" i="7" s="1"/>
  <c r="D115" i="5"/>
  <c r="E115" i="5" s="1"/>
  <c r="I99" i="7" s="1"/>
  <c r="D114" i="5"/>
  <c r="E114" i="5" s="1"/>
  <c r="I98" i="7" s="1"/>
  <c r="D113" i="5"/>
  <c r="E113" i="5" s="1"/>
  <c r="I97" i="7" s="1"/>
  <c r="D112" i="5"/>
  <c r="E112" i="5" s="1"/>
  <c r="D111" i="5"/>
  <c r="E111" i="5" s="1"/>
  <c r="D110" i="5"/>
  <c r="E110" i="5"/>
  <c r="D109" i="5"/>
  <c r="E109" i="5" s="1"/>
  <c r="D108" i="5"/>
  <c r="E108" i="5" s="1"/>
  <c r="D107" i="5"/>
  <c r="E107" i="5" s="1"/>
  <c r="D18" i="5"/>
  <c r="E18" i="5" s="1"/>
  <c r="I89" i="7" s="1"/>
  <c r="D106" i="5"/>
  <c r="E106" i="5" s="1"/>
  <c r="I88" i="7" s="1"/>
  <c r="D105" i="5"/>
  <c r="E105" i="5"/>
  <c r="I87" i="7" s="1"/>
  <c r="D104" i="5"/>
  <c r="E104" i="5" s="1"/>
  <c r="I86" i="7" s="1"/>
  <c r="D103" i="5"/>
  <c r="E103" i="5" s="1"/>
  <c r="I85" i="7" s="1"/>
  <c r="D102" i="5"/>
  <c r="E102" i="5" s="1"/>
  <c r="I84" i="7" s="1"/>
  <c r="D101" i="5"/>
  <c r="E101" i="5" s="1"/>
  <c r="I83" i="7" s="1"/>
  <c r="D100" i="5"/>
  <c r="E100" i="5" s="1"/>
  <c r="I82" i="7" s="1"/>
  <c r="D99" i="5"/>
  <c r="E99" i="5" s="1"/>
  <c r="I81" i="7" s="1"/>
  <c r="D98" i="5"/>
  <c r="E98" i="5" s="1"/>
  <c r="I80" i="7" s="1"/>
  <c r="D97" i="5"/>
  <c r="E97" i="5"/>
  <c r="I79" i="7" s="1"/>
  <c r="D96" i="5"/>
  <c r="E96" i="5" s="1"/>
  <c r="I77" i="7" s="1"/>
  <c r="D95" i="5"/>
  <c r="E95" i="5" s="1"/>
  <c r="I76" i="7" s="1"/>
  <c r="D94" i="5"/>
  <c r="E94" i="5" s="1"/>
  <c r="I75" i="7" s="1"/>
  <c r="D93" i="5"/>
  <c r="E93" i="5" s="1"/>
  <c r="I74" i="7" s="1"/>
  <c r="D92" i="5"/>
  <c r="E92" i="5" s="1"/>
  <c r="I73" i="7" s="1"/>
  <c r="D91" i="5"/>
  <c r="E91" i="5"/>
  <c r="I72" i="7" s="1"/>
  <c r="D90" i="5"/>
  <c r="E90" i="5" s="1"/>
  <c r="I71" i="7" s="1"/>
  <c r="D89" i="5"/>
  <c r="E89" i="5"/>
  <c r="I70" i="7" s="1"/>
  <c r="D88" i="5"/>
  <c r="E88" i="5" s="1"/>
  <c r="I69" i="7" s="1"/>
  <c r="D87" i="5"/>
  <c r="D16" i="5"/>
  <c r="E16" i="5" s="1"/>
  <c r="I67" i="7" s="1"/>
  <c r="D43" i="5"/>
  <c r="E43" i="5"/>
  <c r="I12" i="7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13" i="5"/>
  <c r="G181" i="7"/>
  <c r="G175" i="7"/>
  <c r="G174" i="7"/>
  <c r="G182" i="3"/>
  <c r="G172" i="7"/>
  <c r="G169" i="7"/>
  <c r="G177" i="3"/>
  <c r="G168" i="7" s="1"/>
  <c r="G168" i="3"/>
  <c r="G159" i="7" s="1"/>
  <c r="G167" i="3"/>
  <c r="G166" i="3"/>
  <c r="G156" i="7"/>
  <c r="G153" i="7"/>
  <c r="G159" i="3"/>
  <c r="G150" i="7" s="1"/>
  <c r="G149" i="7"/>
  <c r="G145" i="7"/>
  <c r="G152" i="3"/>
  <c r="G143" i="7" s="1"/>
  <c r="G139" i="7"/>
  <c r="G138" i="7"/>
  <c r="G141" i="3"/>
  <c r="G132" i="7" s="1"/>
  <c r="G140" i="3"/>
  <c r="G131" i="7" s="1"/>
  <c r="G137" i="3"/>
  <c r="G136" i="3"/>
  <c r="G126" i="7"/>
  <c r="G125" i="7"/>
  <c r="G129" i="3"/>
  <c r="G120" i="7" s="1"/>
  <c r="G119" i="7"/>
  <c r="G122" i="3"/>
  <c r="G113" i="7" s="1"/>
  <c r="G121" i="3"/>
  <c r="G112" i="7" s="1"/>
  <c r="G120" i="3"/>
  <c r="G111" i="7" s="1"/>
  <c r="G119" i="3"/>
  <c r="G118" i="3"/>
  <c r="G117" i="3"/>
  <c r="G108" i="7" s="1"/>
  <c r="G116" i="3"/>
  <c r="G115" i="3"/>
  <c r="G105" i="7"/>
  <c r="G113" i="3"/>
  <c r="G104" i="7" s="1"/>
  <c r="G103" i="7"/>
  <c r="G111" i="3"/>
  <c r="G110" i="3"/>
  <c r="G98" i="7"/>
  <c r="G97" i="7"/>
  <c r="G103" i="3"/>
  <c r="G94" i="7" s="1"/>
  <c r="G102" i="3"/>
  <c r="G93" i="7" s="1"/>
  <c r="G88" i="7"/>
  <c r="G87" i="7"/>
  <c r="G86" i="7"/>
  <c r="G82" i="7"/>
  <c r="G90" i="3"/>
  <c r="G81" i="7" s="1"/>
  <c r="G85" i="3"/>
  <c r="G82" i="3"/>
  <c r="G81" i="3"/>
  <c r="G72" i="7" s="1"/>
  <c r="G80" i="3"/>
  <c r="G71" i="7" s="1"/>
  <c r="G79" i="3"/>
  <c r="G70" i="7" s="1"/>
  <c r="G78" i="3"/>
  <c r="G68" i="7"/>
  <c r="G75" i="3"/>
  <c r="G66" i="7" s="1"/>
  <c r="G73" i="3"/>
  <c r="G61" i="7"/>
  <c r="G60" i="7"/>
  <c r="G66" i="3"/>
  <c r="G57" i="7" s="1"/>
  <c r="G64" i="3"/>
  <c r="G40" i="7"/>
  <c r="G39" i="7"/>
  <c r="G37" i="7"/>
  <c r="G36" i="7"/>
  <c r="G44" i="3"/>
  <c r="G43" i="3"/>
  <c r="G34" i="7" s="1"/>
  <c r="G31" i="7"/>
  <c r="G34" i="3"/>
  <c r="G31" i="3"/>
  <c r="G19" i="7"/>
  <c r="G27" i="3"/>
  <c r="G25" i="3"/>
  <c r="G16" i="7" s="1"/>
  <c r="G23" i="3"/>
  <c r="G14" i="7" s="1"/>
  <c r="G8" i="7"/>
  <c r="G16" i="3"/>
  <c r="G192" i="1"/>
  <c r="C183" i="7" s="1"/>
  <c r="C180" i="7"/>
  <c r="G188" i="1"/>
  <c r="C179" i="7" s="1"/>
  <c r="C176" i="7"/>
  <c r="G183" i="1"/>
  <c r="C174" i="7" s="1"/>
  <c r="G180" i="1"/>
  <c r="C171" i="7" s="1"/>
  <c r="G178" i="1"/>
  <c r="C169" i="7" s="1"/>
  <c r="G177" i="1"/>
  <c r="C168" i="7" s="1"/>
  <c r="C162" i="7"/>
  <c r="G169" i="1"/>
  <c r="C160" i="7" s="1"/>
  <c r="G168" i="1"/>
  <c r="C159" i="7" s="1"/>
  <c r="G162" i="1"/>
  <c r="C153" i="7" s="1"/>
  <c r="G161" i="1"/>
  <c r="C152" i="7" s="1"/>
  <c r="G160" i="1"/>
  <c r="C151" i="7" s="1"/>
  <c r="G157" i="1"/>
  <c r="C148" i="7" s="1"/>
  <c r="G155" i="1"/>
  <c r="C146" i="7" s="1"/>
  <c r="G154" i="1"/>
  <c r="C145" i="7" s="1"/>
  <c r="G153" i="1"/>
  <c r="C144" i="7" s="1"/>
  <c r="G152" i="1"/>
  <c r="C143" i="7" s="1"/>
  <c r="G151" i="1"/>
  <c r="C142" i="7" s="1"/>
  <c r="G150" i="1"/>
  <c r="C141" i="7" s="1"/>
  <c r="G149" i="1"/>
  <c r="C140" i="7" s="1"/>
  <c r="G148" i="1"/>
  <c r="G146" i="1"/>
  <c r="G145" i="1"/>
  <c r="C136" i="7" s="1"/>
  <c r="G142" i="1"/>
  <c r="C133" i="7" s="1"/>
  <c r="G141" i="1"/>
  <c r="C132" i="7" s="1"/>
  <c r="G140" i="1"/>
  <c r="C131" i="7" s="1"/>
  <c r="G139" i="1"/>
  <c r="C130" i="7" s="1"/>
  <c r="G138" i="1"/>
  <c r="C129" i="7" s="1"/>
  <c r="G137" i="1"/>
  <c r="C128" i="7" s="1"/>
  <c r="G136" i="1"/>
  <c r="C127" i="7" s="1"/>
  <c r="G133" i="1"/>
  <c r="C124" i="7" s="1"/>
  <c r="G129" i="1"/>
  <c r="C120" i="7" s="1"/>
  <c r="G127" i="1"/>
  <c r="C118" i="7" s="1"/>
  <c r="G126" i="1"/>
  <c r="C117" i="7" s="1"/>
  <c r="G125" i="1"/>
  <c r="C116" i="7" s="1"/>
  <c r="G123" i="1"/>
  <c r="C114" i="7" s="1"/>
  <c r="G122" i="1"/>
  <c r="C113" i="7" s="1"/>
  <c r="G121" i="1"/>
  <c r="C112" i="7" s="1"/>
  <c r="G120" i="1"/>
  <c r="G114" i="1"/>
  <c r="C105" i="7" s="1"/>
  <c r="C102" i="7"/>
  <c r="G108" i="1"/>
  <c r="G106" i="1"/>
  <c r="C97" i="7" s="1"/>
  <c r="G104" i="1"/>
  <c r="C95" i="7" s="1"/>
  <c r="G103" i="1"/>
  <c r="G102" i="1"/>
  <c r="G99" i="1"/>
  <c r="C90" i="7" s="1"/>
  <c r="G98" i="1"/>
  <c r="C89" i="7" s="1"/>
  <c r="C88" i="7"/>
  <c r="C85" i="7"/>
  <c r="C84" i="7"/>
  <c r="G91" i="1"/>
  <c r="C82" i="7" s="1"/>
  <c r="G90" i="1"/>
  <c r="C80" i="7"/>
  <c r="G88" i="1"/>
  <c r="G84" i="1"/>
  <c r="C75" i="7" s="1"/>
  <c r="G80" i="1"/>
  <c r="C71" i="7" s="1"/>
  <c r="G77" i="1"/>
  <c r="G73" i="1"/>
  <c r="C64" i="7" s="1"/>
  <c r="G69" i="1"/>
  <c r="C60" i="7" s="1"/>
  <c r="G66" i="1"/>
  <c r="C57" i="7" s="1"/>
  <c r="G65" i="1"/>
  <c r="G64" i="1"/>
  <c r="G63" i="1"/>
  <c r="C54" i="7" s="1"/>
  <c r="G62" i="1"/>
  <c r="C51" i="7"/>
  <c r="G59" i="1"/>
  <c r="C50" i="7" s="1"/>
  <c r="G58" i="1"/>
  <c r="C49" i="7" s="1"/>
  <c r="G55" i="1"/>
  <c r="C46" i="7" s="1"/>
  <c r="G53" i="1"/>
  <c r="G51" i="1"/>
  <c r="C42" i="7" s="1"/>
  <c r="G50" i="1"/>
  <c r="C41" i="7" s="1"/>
  <c r="G49" i="1"/>
  <c r="C40" i="7" s="1"/>
  <c r="G48" i="1"/>
  <c r="C39" i="7" s="1"/>
  <c r="G47" i="1"/>
  <c r="C38" i="7" s="1"/>
  <c r="G46" i="1"/>
  <c r="G45" i="1"/>
  <c r="C33" i="7"/>
  <c r="G40" i="1"/>
  <c r="C31" i="7" s="1"/>
  <c r="G39" i="1"/>
  <c r="C30" i="7" s="1"/>
  <c r="G38" i="1"/>
  <c r="G37" i="1"/>
  <c r="C28" i="7" s="1"/>
  <c r="G35" i="1"/>
  <c r="C26" i="7" s="1"/>
  <c r="G30" i="1"/>
  <c r="C21" i="7" s="1"/>
  <c r="G29" i="1"/>
  <c r="G27" i="1"/>
  <c r="C18" i="7" s="1"/>
  <c r="G21" i="1"/>
  <c r="C12" i="7" s="1"/>
  <c r="G20" i="1"/>
  <c r="C11" i="7" s="1"/>
  <c r="G19" i="1"/>
  <c r="C10" i="7" s="1"/>
  <c r="G16" i="1"/>
  <c r="G15" i="1"/>
  <c r="C6" i="7" s="1"/>
  <c r="G13" i="1"/>
  <c r="J1" i="1"/>
  <c r="G79" i="1"/>
  <c r="C70" i="7" s="1"/>
  <c r="G83" i="1"/>
  <c r="C74" i="7" s="1"/>
  <c r="G147" i="1"/>
  <c r="C138" i="7" s="1"/>
  <c r="G163" i="1"/>
  <c r="C154" i="7" s="1"/>
  <c r="G14" i="1"/>
  <c r="C5" i="7" s="1"/>
  <c r="G25" i="1"/>
  <c r="C16" i="7" s="1"/>
  <c r="G33" i="1"/>
  <c r="C24" i="7" s="1"/>
  <c r="G41" i="1"/>
  <c r="C32" i="7" s="1"/>
  <c r="G61" i="1"/>
  <c r="C52" i="7" s="1"/>
  <c r="G81" i="1"/>
  <c r="C72" i="7" s="1"/>
  <c r="G85" i="1"/>
  <c r="C76" i="7" s="1"/>
  <c r="G101" i="1"/>
  <c r="C92" i="7" s="1"/>
  <c r="G15" i="3"/>
  <c r="G6" i="7" s="1"/>
  <c r="G19" i="3"/>
  <c r="G10" i="7" s="1"/>
  <c r="G22" i="7"/>
  <c r="G39" i="3"/>
  <c r="G30" i="7" s="1"/>
  <c r="G51" i="3"/>
  <c r="G42" i="7" s="1"/>
  <c r="G55" i="3"/>
  <c r="G46" i="7" s="1"/>
  <c r="G59" i="3"/>
  <c r="G50" i="7" s="1"/>
  <c r="G63" i="3"/>
  <c r="G54" i="7" s="1"/>
  <c r="G67" i="3"/>
  <c r="G58" i="7" s="1"/>
  <c r="G139" i="3"/>
  <c r="G130" i="7" s="1"/>
  <c r="G143" i="3"/>
  <c r="G134" i="7" s="1"/>
  <c r="G179" i="3"/>
  <c r="G170" i="7" s="1"/>
  <c r="G183" i="7"/>
  <c r="G192" i="3"/>
  <c r="G196" i="3"/>
  <c r="G187" i="7" s="1"/>
  <c r="G34" i="1"/>
  <c r="C25" i="7" s="1"/>
  <c r="C37" i="7"/>
  <c r="G54" i="1"/>
  <c r="C45" i="7" s="1"/>
  <c r="G70" i="1"/>
  <c r="C61" i="7" s="1"/>
  <c r="G74" i="1"/>
  <c r="C65" i="7" s="1"/>
  <c r="G82" i="1"/>
  <c r="C73" i="7" s="1"/>
  <c r="G86" i="1"/>
  <c r="C77" i="7" s="1"/>
  <c r="G110" i="1"/>
  <c r="C101" i="7" s="1"/>
  <c r="G118" i="1"/>
  <c r="C109" i="7" s="1"/>
  <c r="G134" i="1"/>
  <c r="C125" i="7" s="1"/>
  <c r="G182" i="1"/>
  <c r="C173" i="7" s="1"/>
  <c r="G190" i="1"/>
  <c r="C181" i="7" s="1"/>
  <c r="G7" i="7"/>
  <c r="G20" i="3"/>
  <c r="G11" i="7" s="1"/>
  <c r="G60" i="3"/>
  <c r="G51" i="7" s="1"/>
  <c r="G55" i="7"/>
  <c r="G68" i="3"/>
  <c r="G59" i="7" s="1"/>
  <c r="G72" i="3"/>
  <c r="G63" i="7" s="1"/>
  <c r="G92" i="3"/>
  <c r="G83" i="7" s="1"/>
  <c r="G144" i="3"/>
  <c r="G135" i="7" s="1"/>
  <c r="G160" i="3"/>
  <c r="G151" i="7" s="1"/>
  <c r="G172" i="3"/>
  <c r="G163" i="7" s="1"/>
  <c r="G180" i="3"/>
  <c r="G171" i="7" s="1"/>
  <c r="G119" i="4"/>
  <c r="H120" i="7" s="1"/>
  <c r="G67" i="1"/>
  <c r="C58" i="7" s="1"/>
  <c r="G75" i="1"/>
  <c r="C66" i="7" s="1"/>
  <c r="G179" i="1"/>
  <c r="C170" i="7" s="1"/>
  <c r="G37" i="3"/>
  <c r="G28" i="7" s="1"/>
  <c r="G41" i="3"/>
  <c r="G32" i="7" s="1"/>
  <c r="G53" i="3"/>
  <c r="G44" i="7" s="1"/>
  <c r="G61" i="3"/>
  <c r="G52" i="7" s="1"/>
  <c r="G65" i="3"/>
  <c r="G56" i="7" s="1"/>
  <c r="G64" i="7"/>
  <c r="G93" i="3"/>
  <c r="G84" i="7" s="1"/>
  <c r="G149" i="3"/>
  <c r="G140" i="7" s="1"/>
  <c r="G157" i="3"/>
  <c r="G148" i="7" s="1"/>
  <c r="G161" i="3"/>
  <c r="G152" i="7" s="1"/>
  <c r="G173" i="3"/>
  <c r="G164" i="7" s="1"/>
  <c r="G23" i="1"/>
  <c r="C14" i="7" s="1"/>
  <c r="G31" i="1"/>
  <c r="C22" i="7" s="1"/>
  <c r="G43" i="1"/>
  <c r="C34" i="7" s="1"/>
  <c r="G107" i="1"/>
  <c r="C98" i="7" s="1"/>
  <c r="G135" i="1"/>
  <c r="C126" i="7" s="1"/>
  <c r="G159" i="1"/>
  <c r="C150" i="7" s="1"/>
  <c r="G167" i="1"/>
  <c r="C158" i="7" s="1"/>
  <c r="G32" i="1"/>
  <c r="C23" i="7" s="1"/>
  <c r="G36" i="1"/>
  <c r="C27" i="7" s="1"/>
  <c r="G44" i="1"/>
  <c r="C35" i="7" s="1"/>
  <c r="G52" i="1"/>
  <c r="C43" i="7" s="1"/>
  <c r="G56" i="1"/>
  <c r="C47" i="7" s="1"/>
  <c r="G68" i="1"/>
  <c r="C59" i="7" s="1"/>
  <c r="G72" i="1"/>
  <c r="C63" i="7" s="1"/>
  <c r="G76" i="1"/>
  <c r="C67" i="7" s="1"/>
  <c r="G92" i="1"/>
  <c r="C83" i="7" s="1"/>
  <c r="G100" i="1"/>
  <c r="C91" i="7" s="1"/>
  <c r="G124" i="1"/>
  <c r="C115" i="7" s="1"/>
  <c r="G144" i="1"/>
  <c r="C135" i="7" s="1"/>
  <c r="C139" i="7"/>
  <c r="G164" i="1"/>
  <c r="C155" i="7" s="1"/>
  <c r="G176" i="1"/>
  <c r="C167" i="7" s="1"/>
  <c r="G14" i="3"/>
  <c r="G5" i="7" s="1"/>
  <c r="G22" i="3"/>
  <c r="G13" i="7" s="1"/>
  <c r="G38" i="3"/>
  <c r="G29" i="7" s="1"/>
  <c r="G50" i="3"/>
  <c r="G41" i="7" s="1"/>
  <c r="G58" i="3"/>
  <c r="G49" i="7" s="1"/>
  <c r="G74" i="3"/>
  <c r="G65" i="7" s="1"/>
  <c r="G98" i="3"/>
  <c r="G89" i="7" s="1"/>
  <c r="G138" i="3"/>
  <c r="G129" i="7" s="1"/>
  <c r="G150" i="3"/>
  <c r="G141" i="7" s="1"/>
  <c r="G170" i="3"/>
  <c r="G161" i="7" s="1"/>
  <c r="G186" i="3"/>
  <c r="G177" i="7" s="1"/>
  <c r="H92" i="7"/>
  <c r="H32" i="7"/>
  <c r="H36" i="7"/>
  <c r="E13" i="5"/>
  <c r="I11" i="7" s="1"/>
  <c r="G25" i="7"/>
  <c r="G74" i="7"/>
  <c r="G76" i="7"/>
  <c r="G100" i="7"/>
  <c r="G102" i="7"/>
  <c r="G107" i="7"/>
  <c r="G109" i="7"/>
  <c r="G127" i="7"/>
  <c r="G17" i="7"/>
  <c r="G26" i="7"/>
  <c r="G35" i="7"/>
  <c r="G69" i="7"/>
  <c r="G73" i="7"/>
  <c r="G77" i="7"/>
  <c r="G101" i="7"/>
  <c r="G106" i="7"/>
  <c r="G110" i="7"/>
  <c r="G128" i="7"/>
  <c r="G157" i="7"/>
  <c r="G173" i="7"/>
  <c r="G158" i="7"/>
  <c r="G15" i="7"/>
  <c r="C99" i="7"/>
  <c r="C81" i="7"/>
  <c r="C44" i="7"/>
  <c r="C36" i="7"/>
  <c r="E87" i="5"/>
  <c r="G114" i="7"/>
  <c r="G95" i="7"/>
  <c r="G18" i="7"/>
  <c r="C137" i="7"/>
  <c r="C111" i="7"/>
  <c r="C94" i="7"/>
  <c r="C93" i="7"/>
  <c r="C79" i="7"/>
  <c r="C68" i="7"/>
  <c r="C56" i="7"/>
  <c r="C55" i="7"/>
  <c r="C53" i="7"/>
  <c r="C29" i="7"/>
  <c r="C20" i="7"/>
  <c r="C7" i="7"/>
  <c r="C4" i="7"/>
  <c r="E199" i="14" l="1"/>
  <c r="F38" i="14"/>
  <c r="G38" i="14" s="1"/>
  <c r="F29" i="7" s="1"/>
  <c r="J199" i="14"/>
  <c r="F119" i="14"/>
  <c r="G119" i="14" s="1"/>
  <c r="F110" i="7" s="1"/>
  <c r="Y200" i="1"/>
  <c r="F105" i="1"/>
  <c r="G105" i="1" s="1"/>
  <c r="C96" i="7" s="1"/>
  <c r="F187" i="3"/>
  <c r="G187" i="3" s="1"/>
  <c r="G178" i="7" s="1"/>
  <c r="L203" i="3"/>
  <c r="F37" i="14"/>
  <c r="G37" i="14" s="1"/>
  <c r="F28" i="7" s="1"/>
  <c r="N199" i="14"/>
  <c r="F78" i="1"/>
  <c r="G78" i="1" s="1"/>
  <c r="C69" i="7" s="1"/>
  <c r="N200" i="1"/>
  <c r="F22" i="1"/>
  <c r="G22" i="1" s="1"/>
  <c r="C13" i="7" s="1"/>
  <c r="S200" i="1"/>
  <c r="F176" i="14"/>
  <c r="G176" i="14" s="1"/>
  <c r="F167" i="7" s="1"/>
  <c r="S199" i="14"/>
  <c r="T200" i="1"/>
  <c r="F87" i="1"/>
  <c r="G87" i="1" s="1"/>
  <c r="C78" i="7" s="1"/>
  <c r="F194" i="1"/>
  <c r="V200" i="1"/>
  <c r="V203" i="3"/>
  <c r="F62" i="3"/>
  <c r="G62" i="3" s="1"/>
  <c r="G53" i="7" s="1"/>
  <c r="X203" i="3"/>
  <c r="F52" i="3"/>
  <c r="G52" i="3" s="1"/>
  <c r="G43" i="7" s="1"/>
  <c r="N197" i="10"/>
  <c r="G127" i="3"/>
  <c r="G118" i="7" s="1"/>
  <c r="G194" i="1"/>
  <c r="C185" i="7" s="1"/>
  <c r="F187" i="1"/>
  <c r="G187" i="1" s="1"/>
  <c r="C178" i="7" s="1"/>
  <c r="F24" i="14"/>
  <c r="G24" i="14" s="1"/>
  <c r="F15" i="7" s="1"/>
  <c r="F132" i="14"/>
  <c r="G132" i="14" s="1"/>
  <c r="F123" i="7" s="1"/>
  <c r="F77" i="14"/>
  <c r="E192" i="8"/>
  <c r="D185" i="7" s="1"/>
  <c r="D192" i="8"/>
  <c r="D199" i="8" s="1"/>
  <c r="F71" i="1"/>
  <c r="G71" i="1" s="1"/>
  <c r="C62" i="7" s="1"/>
  <c r="C197" i="1"/>
  <c r="G197" i="1" s="1"/>
  <c r="C191" i="7" s="1"/>
  <c r="C99" i="3"/>
  <c r="Y203" i="3"/>
  <c r="S203" i="3"/>
  <c r="F119" i="1"/>
  <c r="G119" i="1" s="1"/>
  <c r="C110" i="7" s="1"/>
  <c r="M203" i="3"/>
  <c r="F13" i="3"/>
  <c r="G13" i="3" s="1"/>
  <c r="G4" i="7" s="1"/>
  <c r="G75" i="14"/>
  <c r="F66" i="7" s="1"/>
  <c r="F75" i="14"/>
  <c r="F24" i="1"/>
  <c r="G24" i="1" s="1"/>
  <c r="C15" i="7" s="1"/>
  <c r="F88" i="14"/>
  <c r="G88" i="14" s="1"/>
  <c r="F79" i="7" s="1"/>
  <c r="F191" i="3"/>
  <c r="G191" i="3" s="1"/>
  <c r="G182" i="7" s="1"/>
  <c r="C184" i="4"/>
  <c r="G184" i="4" s="1"/>
  <c r="G45" i="4"/>
  <c r="H39" i="7" s="1"/>
  <c r="G149" i="14"/>
  <c r="F140" i="7" s="1"/>
  <c r="V199" i="14"/>
  <c r="Y199" i="14"/>
  <c r="D197" i="10"/>
  <c r="AJ2" i="10"/>
  <c r="V2" i="10"/>
  <c r="H2" i="10"/>
  <c r="AC2" i="10"/>
  <c r="O2" i="10"/>
  <c r="G77" i="14"/>
  <c r="F68" i="7" s="1"/>
  <c r="C195" i="1"/>
  <c r="G195" i="1" s="1"/>
  <c r="C186" i="7" s="1"/>
  <c r="G115" i="1"/>
  <c r="C106" i="7" s="1"/>
  <c r="G28" i="1"/>
  <c r="C19" i="7" s="1"/>
  <c r="C193" i="1"/>
  <c r="C193" i="14"/>
  <c r="G18" i="14"/>
  <c r="F9" i="7" s="1"/>
  <c r="C195" i="3"/>
  <c r="G195" i="3" s="1"/>
  <c r="G186" i="7" s="1"/>
  <c r="G188" i="3"/>
  <c r="G179" i="7" s="1"/>
  <c r="E199" i="8"/>
  <c r="U2" i="8"/>
  <c r="H2" i="8"/>
  <c r="AD2" i="8"/>
  <c r="O2" i="8"/>
  <c r="AD2" i="5"/>
  <c r="P2" i="5"/>
  <c r="H2" i="5"/>
  <c r="X2" i="5"/>
  <c r="G29" i="14"/>
  <c r="F20" i="7" s="1"/>
  <c r="K199" i="14"/>
  <c r="Q2" i="11"/>
  <c r="H2" i="11"/>
  <c r="Z2" i="11"/>
  <c r="G24" i="4"/>
  <c r="H15" i="7" s="1"/>
  <c r="S190" i="4"/>
  <c r="V2" i="3"/>
  <c r="J2" i="3"/>
  <c r="P2" i="3"/>
  <c r="AC2" i="3"/>
  <c r="G158" i="14"/>
  <c r="F149" i="7" s="1"/>
  <c r="C196" i="14"/>
  <c r="G196" i="14" s="1"/>
  <c r="F191" i="7" s="1"/>
  <c r="C194" i="14"/>
  <c r="G194" i="14" s="1"/>
  <c r="F185" i="7" s="1"/>
  <c r="G130" i="14"/>
  <c r="F121" i="7" s="1"/>
  <c r="C54" i="3"/>
  <c r="G54" i="3" s="1"/>
  <c r="G56" i="3"/>
  <c r="G47" i="7" s="1"/>
  <c r="G99" i="3"/>
  <c r="G90" i="7" s="1"/>
  <c r="G29" i="3"/>
  <c r="G20" i="7" s="1"/>
  <c r="G18" i="3"/>
  <c r="G9" i="7" s="1"/>
  <c r="E203" i="3"/>
  <c r="X2" i="14"/>
  <c r="J2" i="14"/>
  <c r="R2" i="14"/>
  <c r="AD2" i="14"/>
  <c r="G193" i="14"/>
  <c r="F184" i="7" s="1"/>
  <c r="C194" i="3"/>
  <c r="G194" i="3" s="1"/>
  <c r="G185" i="7" s="1"/>
  <c r="C195" i="14"/>
  <c r="G195" i="14" s="1"/>
  <c r="C200" i="3"/>
  <c r="G200" i="3" s="1"/>
  <c r="G191" i="7" s="1"/>
  <c r="C198" i="3"/>
  <c r="G198" i="3" s="1"/>
  <c r="G189" i="7" s="1"/>
  <c r="C199" i="3"/>
  <c r="G199" i="3" s="1"/>
  <c r="G190" i="7" s="1"/>
  <c r="C197" i="3"/>
  <c r="G197" i="3" s="1"/>
  <c r="G188" i="7" s="1"/>
  <c r="C193" i="3"/>
  <c r="G193" i="3" s="1"/>
  <c r="G184" i="7" s="1"/>
  <c r="D13" i="11"/>
  <c r="E11" i="11"/>
  <c r="E13" i="11" s="1"/>
  <c r="D194" i="7"/>
  <c r="I194" i="7"/>
  <c r="E194" i="5"/>
  <c r="D194" i="5"/>
  <c r="F200" i="1"/>
  <c r="G84" i="4"/>
  <c r="H82" i="7" s="1"/>
  <c r="G185" i="4"/>
  <c r="G121" i="4"/>
  <c r="H122" i="7" s="1"/>
  <c r="G180" i="4"/>
  <c r="H184" i="7" s="1"/>
  <c r="E190" i="4"/>
  <c r="F190" i="4"/>
  <c r="H4" i="7"/>
  <c r="G17" i="4"/>
  <c r="H8" i="7" s="1"/>
  <c r="F95" i="7"/>
  <c r="E178" i="10"/>
  <c r="C199" i="14" l="1"/>
  <c r="F203" i="3"/>
  <c r="F199" i="14"/>
  <c r="F186" i="7"/>
  <c r="F194" i="7" s="1"/>
  <c r="G199" i="14"/>
  <c r="G45" i="7"/>
  <c r="G194" i="7" s="1"/>
  <c r="G203" i="3"/>
  <c r="G193" i="1"/>
  <c r="C200" i="1"/>
  <c r="C203" i="3"/>
  <c r="C190" i="4"/>
  <c r="G190" i="4"/>
  <c r="H194" i="7"/>
  <c r="E171" i="7"/>
  <c r="E194" i="7" s="1"/>
  <c r="E197" i="10"/>
  <c r="C184" i="7" l="1"/>
  <c r="C194" i="7" s="1"/>
  <c r="G200" i="1"/>
</calcChain>
</file>

<file path=xl/comments1.xml><?xml version="1.0" encoding="utf-8"?>
<comments xmlns="http://schemas.openxmlformats.org/spreadsheetml/2006/main">
  <authors>
    <author>Mosness, Ron</author>
    <author>Tim Kahle</author>
    <author>Gines, Kristen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Feb &amp; Mar payments</t>
        </r>
      </text>
    </comment>
    <comment ref="Q71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April's Payments. Not duplicates.</t>
        </r>
      </text>
    </comment>
    <comment ref="O78" authorId="1" shape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Returned duplicate payment. Did not get entered on spreadsheet until 7/6/15.</t>
        </r>
      </text>
    </comment>
    <comment ref="X87" authorId="1" shape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Adjustment for 14-15 overpayment of allocation. Draw moved against 15-16 funds.</t>
        </r>
      </text>
    </comment>
    <comment ref="AB150" authorId="2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FORFEITURE OF EXCESS CARRYOVER OF $419,749
</t>
        </r>
      </text>
    </comment>
    <comment ref="S191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Allegra from CSI over requested. </t>
        </r>
      </text>
    </comment>
  </commentList>
</comments>
</file>

<file path=xl/comments2.xml><?xml version="1.0" encoding="utf-8"?>
<comments xmlns="http://schemas.openxmlformats.org/spreadsheetml/2006/main">
  <authors>
    <author>Gines, Kristen</author>
  </authors>
  <commentList>
    <comment ref="AI148" authorId="0" shapeId="0">
      <text>
        <r>
          <rPr>
            <b/>
            <sz val="9"/>
            <color indexed="81"/>
            <rFont val="Tahoma"/>
            <charset val="1"/>
          </rPr>
          <t>Gines, Kristen:</t>
        </r>
        <r>
          <rPr>
            <sz val="9"/>
            <color indexed="81"/>
            <rFont val="Tahoma"/>
            <charset val="1"/>
          </rPr>
          <t xml:space="preserve">
RETURN OF UNOBLIGATED FUNDS
</t>
        </r>
      </text>
    </comment>
  </commentList>
</comments>
</file>

<file path=xl/comments3.xml><?xml version="1.0" encoding="utf-8"?>
<comments xmlns="http://schemas.openxmlformats.org/spreadsheetml/2006/main">
  <authors>
    <author>Mosness, Ron</author>
  </authors>
  <commentList>
    <comment ref="R50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Returned duplicate payment of $141,923</t>
        </r>
      </text>
    </comment>
  </commentList>
</comments>
</file>

<file path=xl/comments4.xml><?xml version="1.0" encoding="utf-8"?>
<comments xmlns="http://schemas.openxmlformats.org/spreadsheetml/2006/main">
  <authors>
    <author>Hawkins, Robert</author>
  </authors>
  <commentList>
    <comment ref="AF11" authorId="0" shapeId="0">
      <text>
        <r>
          <rPr>
            <b/>
            <sz val="9"/>
            <color indexed="81"/>
            <rFont val="Tahoma"/>
            <family val="2"/>
          </rPr>
          <t>Hawkins, Robert:</t>
        </r>
        <r>
          <rPr>
            <sz val="9"/>
            <color indexed="81"/>
            <rFont val="Tahoma"/>
            <family val="2"/>
          </rPr>
          <t xml:space="preserve">
Balance moved to FY 17-18 due to previous processing error.</t>
        </r>
      </text>
    </comment>
  </commentList>
</comments>
</file>

<file path=xl/comments5.xml><?xml version="1.0" encoding="utf-8"?>
<comments xmlns="http://schemas.openxmlformats.org/spreadsheetml/2006/main">
  <authors>
    <author>Mosness, Ron</author>
    <author>Tim Kahle</author>
    <author>Kahle, Tim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Feb &amp; March Payment</t>
        </r>
      </text>
    </comment>
    <comment ref="K90" authorId="1" shapeId="0">
      <text>
        <r>
          <rPr>
            <b/>
            <sz val="9"/>
            <color indexed="81"/>
            <rFont val="Tahoma"/>
            <charset val="1"/>
          </rPr>
          <t>Moved $171,364 to FY113-14 to correct issue caused in carryover from $323,288 refund of cash on hand in FY1213. TK</t>
        </r>
      </text>
    </comment>
    <comment ref="L90" authorId="1" shapeId="0">
      <text>
        <r>
          <rPr>
            <b/>
            <sz val="9"/>
            <color indexed="81"/>
            <rFont val="Tahoma"/>
            <family val="2"/>
          </rPr>
          <t>Moved $151,924 to FY13-14 to correct issue caused in carryover from $323,288 refund of cash on hand in FY1213. TK</t>
        </r>
      </text>
    </comment>
    <comment ref="M90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Duplicate payment of $203,518 </t>
        </r>
      </text>
    </comment>
    <comment ref="W90" authorId="1" shapeId="0">
      <text>
        <r>
          <rPr>
            <b/>
            <sz val="9"/>
            <color indexed="81"/>
            <rFont val="Tahoma"/>
            <charset val="1"/>
          </rPr>
          <t>Includes refund from district of $6768.39 in cash on hand. TK
Moved $180,512 from FY15-16 to correct issue caused in carryover from $323,288 refund of cash on hand in FY1213. TK</t>
        </r>
      </text>
    </comment>
    <comment ref="X90" authorId="1" shapeId="0">
      <text>
        <r>
          <rPr>
            <b/>
            <sz val="9"/>
            <color indexed="81"/>
            <rFont val="Tahoma"/>
            <charset val="1"/>
          </rPr>
          <t>Moved $149,544 from FY15-16 to correct issue caused in carryover from $323,288 refund of cash on hand in FY1213. TK</t>
        </r>
      </text>
    </comment>
    <comment ref="X104" authorId="2" shapeId="0">
      <text>
        <r>
          <rPr>
            <b/>
            <sz val="9"/>
            <color indexed="81"/>
            <rFont val="Tahoma"/>
            <family val="2"/>
          </rPr>
          <t>Accounting adjustment for 14-15 overpayment of allocation.</t>
        </r>
      </text>
    </comment>
  </commentList>
</comments>
</file>

<file path=xl/comments6.xml><?xml version="1.0" encoding="utf-8"?>
<comments xmlns="http://schemas.openxmlformats.org/spreadsheetml/2006/main">
  <authors>
    <author>Mosness, Ron</author>
    <author>Kahle, Tim</author>
    <author>Gines, Kristen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Feb &amp; Mar Payment</t>
        </r>
      </text>
    </comment>
    <comment ref="M90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Duplicate payment of $121,339 refund check 12/30</t>
        </r>
      </text>
    </comment>
    <comment ref="G99" authorId="1" shapeId="0">
      <text>
        <r>
          <rPr>
            <b/>
            <sz val="9"/>
            <color indexed="81"/>
            <rFont val="Tahoma"/>
            <family val="2"/>
          </rPr>
          <t>See note from Dec 2015 entry.</t>
        </r>
      </text>
    </comment>
    <comment ref="Y99" authorId="1" shapeId="0">
      <text>
        <r>
          <rPr>
            <b/>
            <sz val="9"/>
            <color indexed="81"/>
            <rFont val="Tahoma"/>
            <family val="2"/>
          </rPr>
          <t>Dake, Nicole:
$18,984 from consortium districts was not spent, due to member districts declining funds for FY1516.</t>
        </r>
      </text>
    </comment>
    <comment ref="P187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$2298 was Dec RFF and was sent in January with same amount and date.</t>
        </r>
      </text>
    </comment>
    <comment ref="U191" authorId="0" shapeId="0">
      <text>
        <r>
          <rPr>
            <sz val="9"/>
            <color indexed="81"/>
            <rFont val="Tahoma"/>
            <family val="2"/>
          </rPr>
          <t>Requested from Title III FY15 intended for SAI FY14 per Allegra M.
Includes $2,320 returned by CSI due to overdraw.</t>
        </r>
      </text>
    </comment>
    <comment ref="AB191" authorId="2" shapeId="0">
      <text>
        <r>
          <rPr>
            <b/>
            <sz val="9"/>
            <color indexed="81"/>
            <rFont val="Tahoma"/>
            <family val="2"/>
          </rPr>
          <t xml:space="preserve">Gines, Kristen:
</t>
        </r>
        <r>
          <rPr>
            <sz val="9"/>
            <color indexed="81"/>
            <rFont val="Tahoma"/>
            <family val="2"/>
          </rPr>
          <t xml:space="preserve">TRANSFERRED EXPENSES FROM REQUEST OF MARCH 2016 $23,347
TO UTILIZE REMAINING BALANCE </t>
        </r>
      </text>
    </comment>
  </commentList>
</comments>
</file>

<file path=xl/comments7.xml><?xml version="1.0" encoding="utf-8"?>
<comments xmlns="http://schemas.openxmlformats.org/spreadsheetml/2006/main">
  <authors>
    <author>Moreno, Sharon</author>
    <author>Gines, Kristen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Allocs agree with Adb. @ 4-2-13</t>
        </r>
      </text>
    </comment>
    <comment ref="W17" authorId="1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 CASH ON HAND 
</t>
        </r>
      </text>
    </comment>
  </commentList>
</comments>
</file>

<file path=xl/sharedStrings.xml><?xml version="1.0" encoding="utf-8"?>
<sst xmlns="http://schemas.openxmlformats.org/spreadsheetml/2006/main" count="3270" uniqueCount="546">
  <si>
    <t>Grant:</t>
  </si>
  <si>
    <t>CFDA #</t>
  </si>
  <si>
    <t>FISCAL YEAR:</t>
  </si>
  <si>
    <t>2011-12</t>
  </si>
  <si>
    <t>GRANT NUMBER: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</si>
  <si>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</si>
  <si>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</si>
  <si>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</si>
  <si>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</si>
  <si>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</si>
  <si>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</si>
  <si>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</si>
  <si>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</si>
  <si>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</si>
  <si>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</si>
  <si>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</si>
  <si>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</si>
  <si>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</si>
  <si>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</si>
  <si>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</si>
  <si>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</si>
  <si>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</si>
  <si>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</si>
  <si>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</si>
  <si>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</si>
  <si>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</si>
  <si>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</si>
  <si>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</si>
  <si>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</si>
  <si>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</si>
  <si>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</si>
  <si>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</si>
  <si>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</si>
  <si>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</si>
  <si>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</si>
  <si>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</si>
  <si>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</si>
  <si>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</si>
  <si>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</si>
  <si>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</si>
  <si>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</si>
  <si>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</si>
  <si>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</si>
  <si>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</si>
  <si>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</si>
  <si>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</si>
  <si>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</si>
  <si>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</si>
  <si>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</si>
  <si>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</si>
  <si>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</si>
  <si>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</si>
  <si>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</si>
  <si>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</si>
  <si>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</si>
  <si>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</si>
  <si>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</si>
  <si>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</si>
  <si>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</si>
  <si>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</si>
  <si>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</si>
  <si>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</si>
  <si>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</si>
  <si>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</si>
  <si>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</si>
  <si>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</si>
  <si>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</si>
  <si>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</si>
  <si>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</si>
  <si>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</si>
  <si>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</si>
  <si>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</si>
  <si>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</si>
  <si>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</si>
  <si>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</si>
  <si>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</si>
  <si>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</si>
  <si>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</si>
  <si>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</si>
  <si>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</si>
  <si>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</si>
  <si>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</si>
  <si>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</si>
  <si>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</si>
  <si>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</si>
  <si>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</si>
  <si>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</si>
  <si>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</si>
  <si>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</si>
  <si>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</si>
  <si>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</si>
  <si>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</si>
  <si>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</si>
  <si>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</si>
  <si>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</si>
  <si>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</si>
  <si>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</si>
  <si>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</si>
  <si>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</si>
  <si>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</si>
  <si>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</si>
  <si>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</si>
  <si>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</si>
  <si>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</si>
  <si>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</si>
  <si>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</si>
  <si>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</si>
  <si>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</si>
  <si>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</si>
  <si>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</si>
  <si>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</si>
  <si>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</si>
  <si>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</si>
  <si>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</si>
  <si>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</si>
  <si>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</si>
  <si>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</si>
  <si>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</si>
  <si>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</si>
  <si>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</si>
  <si>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</si>
  <si>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</si>
  <si>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</si>
  <si>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</si>
  <si>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</si>
  <si>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</si>
  <si>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</si>
  <si>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</si>
  <si>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</si>
  <si>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</si>
  <si>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</si>
  <si>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</si>
  <si>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</si>
  <si>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</si>
  <si>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</si>
  <si>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</si>
  <si>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</si>
  <si>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</si>
  <si>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</si>
  <si>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</si>
  <si>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</si>
  <si>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</si>
  <si>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</si>
  <si>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</si>
  <si>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</si>
  <si>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</si>
  <si>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</si>
  <si>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</si>
  <si>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</si>
  <si>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</si>
  <si>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</si>
  <si>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</si>
  <si>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</si>
  <si>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</si>
  <si>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</si>
  <si>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</si>
  <si>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</si>
  <si>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</si>
  <si>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</si>
  <si>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</si>
  <si>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</si>
  <si>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</si>
  <si>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</si>
  <si>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</si>
  <si>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</si>
  <si>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</si>
  <si>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</si>
  <si>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</si>
  <si>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</si>
  <si>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</si>
  <si>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</si>
  <si>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</si>
  <si>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</si>
  <si>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</si>
  <si>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</si>
  <si>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</si>
  <si>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</si>
  <si>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</si>
  <si>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</si>
  <si>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</si>
  <si>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</si>
  <si>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</si>
  <si>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</si>
  <si>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</si>
  <si>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</si>
  <si>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</si>
  <si>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</si>
  <si>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</si>
  <si>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</si>
  <si>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</si>
  <si>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</si>
  <si>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</si>
  <si>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</si>
  <si>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</si>
  <si>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</si>
  <si>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</si>
  <si>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</si>
  <si>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</si>
  <si>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</si>
  <si>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</si>
  <si>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</si>
  <si>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</si>
  <si>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</si>
  <si>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</si>
  <si>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</si>
  <si>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</si>
  <si>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</si>
  <si>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</si>
  <si>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</si>
  <si>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</si>
  <si>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</si>
  <si>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</si>
  <si>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</si>
  <si>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</si>
  <si>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</si>
  <si>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</si>
  <si>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</si>
  <si>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</si>
  <si>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</si>
  <si>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</si>
  <si>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</si>
  <si>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</si>
  <si>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</si>
  <si>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</si>
  <si>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</si>
  <si>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</si>
  <si>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</si>
  <si>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</si>
  <si>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</si>
  <si>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</si>
  <si>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</si>
  <si>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</si>
  <si>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</si>
  <si>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</si>
  <si>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</si>
  <si>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</si>
  <si>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</si>
  <si>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</si>
  <si>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</si>
  <si>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</si>
  <si>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</si>
  <si>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</si>
  <si>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</si>
  <si>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</si>
  <si>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</si>
  <si>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</si>
  <si>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</si>
  <si>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</si>
  <si>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</si>
  <si>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</si>
  <si>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</si>
  <si>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</si>
  <si>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</si>
  <si>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</si>
  <si>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</si>
  <si>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</si>
  <si>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</si>
  <si>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</si>
  <si>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</si>
  <si>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</si>
  <si>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</si>
  <si>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</si>
  <si>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</si>
  <si>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</si>
  <si>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</si>
  <si>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</si>
  <si>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</si>
  <si>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</si>
  <si>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</si>
  <si>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</si>
  <si>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</si>
  <si>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</si>
  <si>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</si>
  <si>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</si>
  <si>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</si>
  <si>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</si>
  <si>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</si>
  <si>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</si>
  <si>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</si>
  <si>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</si>
  <si>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</si>
  <si>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</si>
  <si>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</si>
  <si>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</si>
  <si>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</si>
  <si>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</si>
  <si>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</si>
  <si>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</si>
  <si>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</si>
  <si>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</si>
  <si>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</si>
  <si>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</si>
  <si>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</si>
  <si>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</si>
  <si>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</si>
  <si>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</si>
  <si>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</si>
  <si>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</si>
  <si>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</si>
  <si>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</si>
  <si>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</si>
  <si>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</si>
  <si>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</si>
  <si>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</si>
  <si>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</si>
  <si>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</si>
  <si>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</si>
  <si>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</si>
  <si>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</si>
  <si>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</si>
  <si>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</si>
  <si>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</si>
  <si>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</si>
  <si>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</si>
  <si>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</si>
  <si>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</si>
  <si>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</si>
  <si>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</si>
  <si>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</si>
  <si>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</si>
  <si>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</si>
  <si>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</si>
  <si>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</si>
  <si>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</si>
  <si>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</si>
  <si>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</si>
  <si>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</si>
  <si>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</si>
  <si>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</si>
  <si>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</si>
  <si>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</si>
  <si>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</si>
  <si>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</si>
  <si>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</si>
  <si>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</si>
  <si>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</si>
  <si>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</si>
  <si>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</si>
  <si>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</si>
  <si>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</si>
  <si>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</si>
  <si>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</si>
  <si>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</si>
  <si>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</si>
  <si>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</si>
  <si>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</si>
  <si>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</si>
  <si>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</si>
  <si>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</si>
  <si>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</si>
  <si>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</si>
  <si>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</si>
  <si>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</si>
  <si>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</si>
  <si>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</si>
  <si>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</si>
  <si>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</si>
  <si>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</si>
  <si>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</si>
  <si>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</si>
  <si>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</si>
  <si>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</si>
  <si>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</si>
  <si>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*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</si>
  <si>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</si>
  <si>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</si>
  <si>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</si>
  <si>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</si>
  <si>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</si>
  <si>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</si>
  <si>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</si>
  <si>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</si>
  <si>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</si>
  <si>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</si>
  <si>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</si>
  <si>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</si>
  <si>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</si>
  <si>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</si>
  <si>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9125</t>
  </si>
  <si>
    <t>East Central BOCES</t>
  </si>
  <si>
    <t xml:space="preserve">Centennial BOCES </t>
  </si>
  <si>
    <t>Northeast BOCES</t>
  </si>
  <si>
    <t>Northwest BOCES</t>
  </si>
  <si>
    <t>Rio Blanco BOCES</t>
  </si>
  <si>
    <t>GBL/ORG</t>
  </si>
  <si>
    <t>PAYMENTS PROCESSED:</t>
  </si>
  <si>
    <t>1ST OF EACH MONTH</t>
  </si>
  <si>
    <t>Title I-D Delinquent</t>
  </si>
  <si>
    <t xml:space="preserve">7010 for LEA   </t>
  </si>
  <si>
    <t>Title I-C Migrant</t>
  </si>
  <si>
    <t>Signed Over to BOCES</t>
  </si>
  <si>
    <t>Kit Carson R-1*</t>
  </si>
  <si>
    <t xml:space="preserve"> </t>
  </si>
  <si>
    <t>SCBOCES</t>
  </si>
  <si>
    <t>Aspen 1*</t>
  </si>
  <si>
    <t>Declined Funds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</si>
  <si>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</si>
  <si>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</si>
  <si>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</si>
  <si>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</si>
  <si>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</si>
  <si>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</si>
  <si>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</t>
  </si>
  <si>
    <t>Title III-SAI</t>
  </si>
  <si>
    <t>Title VI</t>
  </si>
  <si>
    <t>Branson Reorganized 82*</t>
  </si>
  <si>
    <t>Title VI Rural Low Income Formula</t>
  </si>
  <si>
    <t>Julesburg Re-1*</t>
  </si>
  <si>
    <t>San Juan BOCES</t>
  </si>
  <si>
    <t>San Luis Valley BOCES</t>
  </si>
  <si>
    <t>South Central BOCES</t>
  </si>
  <si>
    <t>Southeastern Colorado BOCES</t>
  </si>
  <si>
    <t>Buena Vista R-31*</t>
  </si>
  <si>
    <t>Clear Creek Re-1*</t>
  </si>
  <si>
    <t>Calhan RJ-1*</t>
  </si>
  <si>
    <t>Ellicott 22*</t>
  </si>
  <si>
    <t>Peyton 23 Jt*</t>
  </si>
  <si>
    <t>Hanover 28*</t>
  </si>
  <si>
    <t>Manitou Springs 14*</t>
  </si>
  <si>
    <t>Edison 54 Jt*</t>
  </si>
  <si>
    <t>Gilpin County Re-1*</t>
  </si>
  <si>
    <t>Hinsdale County Re 1*</t>
  </si>
  <si>
    <t>Buffalo Re-4*</t>
  </si>
  <si>
    <t>Plateau Re-5*</t>
  </si>
  <si>
    <t>De Beque 49Jt*</t>
  </si>
  <si>
    <t>Plateau Valley 50*</t>
  </si>
  <si>
    <t>East Otero R-1*</t>
  </si>
  <si>
    <t>Park County Re-2*</t>
  </si>
  <si>
    <t>Mountain Valley Re 1*</t>
  </si>
  <si>
    <t>Cripple Creek-Victor Re-1*</t>
  </si>
  <si>
    <t>Woodland Park Re-2*</t>
  </si>
  <si>
    <t>Signed Over to BOCES/Consortiums</t>
  </si>
  <si>
    <t>BOCES Allocation</t>
  </si>
  <si>
    <t>BOCES/Consortium Allocation</t>
  </si>
  <si>
    <t>Southeastern BOCES</t>
  </si>
  <si>
    <t>Questions regarding payments:</t>
  </si>
  <si>
    <t>GRANT PERIOD:</t>
  </si>
  <si>
    <t>District Name</t>
  </si>
  <si>
    <t>Moffat County Re-1</t>
  </si>
  <si>
    <t>X010</t>
  </si>
  <si>
    <t>Division of Youth Corrections</t>
  </si>
  <si>
    <t>84.031A</t>
  </si>
  <si>
    <t>July 2014</t>
  </si>
  <si>
    <t>August 2014</t>
  </si>
  <si>
    <t>September 2014</t>
  </si>
  <si>
    <t>7/1/13 THROUGH 9/30/15-This grant does have carryover restrictions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</si>
  <si>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</si>
  <si>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</si>
  <si>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</si>
  <si>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</si>
  <si>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</si>
  <si>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</si>
  <si>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</si>
  <si>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</si>
  <si>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</si>
  <si>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</si>
  <si>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</si>
  <si>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</si>
  <si>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Jacqueline Mains  303-866-6911  or mains_j@cde.state.co.us</t>
  </si>
  <si>
    <t>Jacqueline Mains  303-866-6911 or mains_j@cde.state.co.us</t>
  </si>
  <si>
    <t>School District 27J</t>
  </si>
  <si>
    <t>2014-15</t>
  </si>
  <si>
    <t>705A-7000</t>
  </si>
  <si>
    <t>7/1/14 THROUGH 9/30/16-This grant does have carryover restrictions</t>
  </si>
  <si>
    <t>October 2015</t>
  </si>
  <si>
    <t>November 2015</t>
  </si>
  <si>
    <t>December 2015</t>
  </si>
  <si>
    <t>7/1/14 THROUGH 6/30/15-GRANT DOES NOT ALLOW CARRYOVER</t>
  </si>
  <si>
    <t>324G-7000</t>
  </si>
  <si>
    <t>705B-7000</t>
  </si>
  <si>
    <t>7/1/14 THROUGH 9/30/16</t>
  </si>
  <si>
    <t>315F-7000</t>
  </si>
  <si>
    <t>785A/7000</t>
  </si>
  <si>
    <t>725D-7000</t>
  </si>
  <si>
    <t>315G/7000</t>
  </si>
  <si>
    <t>355C/7000</t>
  </si>
  <si>
    <t>Revere School District</t>
  </si>
  <si>
    <t>Weld County School District RE-3J</t>
  </si>
  <si>
    <t>Southcentral BOCES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</si>
  <si>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</si>
  <si>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</si>
  <si>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</si>
  <si>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</si>
  <si>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</si>
  <si>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</si>
  <si>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</si>
  <si>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</si>
  <si>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</si>
  <si>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</si>
  <si>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</si>
  <si>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</si>
  <si>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</si>
  <si>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</si>
  <si>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</si>
  <si>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</si>
  <si>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</si>
  <si>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</si>
  <si>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0121</t>
  </si>
  <si>
    <t>0122</t>
  </si>
  <si>
    <t>1511</t>
  </si>
  <si>
    <t>1512</t>
  </si>
  <si>
    <t>1513</t>
  </si>
  <si>
    <t>1514</t>
  </si>
  <si>
    <t>1515</t>
  </si>
  <si>
    <t>1516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</si>
  <si>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2014-15</t>
    </r>
  </si>
  <si>
    <t>Liberty J-4 *</t>
  </si>
  <si>
    <t>Elbert 200 *</t>
  </si>
  <si>
    <t>Miami/Yoder 60 Jt *</t>
  </si>
  <si>
    <t>Frenchman Re-3 *</t>
  </si>
  <si>
    <t>Swink 33 *</t>
  </si>
  <si>
    <t>Ouray R-1 *</t>
  </si>
  <si>
    <t>Ridgway R-2 *</t>
  </si>
  <si>
    <t>Platte Canyon 1 *</t>
  </si>
  <si>
    <t>Haxtun Re-2J *</t>
  </si>
  <si>
    <t>Aspen 1 *</t>
  </si>
  <si>
    <t>Rangely Re-4 *</t>
  </si>
  <si>
    <t>Moffat 2 *</t>
  </si>
  <si>
    <t>Akron R-1 *</t>
  </si>
  <si>
    <t>Lone Star 101 *</t>
  </si>
  <si>
    <t>Wray RD-2 *</t>
  </si>
  <si>
    <t>Holyoke Re-1J *</t>
  </si>
  <si>
    <t>8001</t>
  </si>
  <si>
    <t>9060</t>
  </si>
  <si>
    <t>9050</t>
  </si>
  <si>
    <t>9055</t>
  </si>
  <si>
    <t>9075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</si>
  <si>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</si>
  <si>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</si>
  <si>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</si>
  <si>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</si>
  <si>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</si>
  <si>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</si>
  <si>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</si>
  <si>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</si>
  <si>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</si>
  <si>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Kristen Gines 303-866-6905 or gines_k@cde.state.co.us</t>
  </si>
  <si>
    <t>Totals</t>
  </si>
  <si>
    <t>Title I-D Delinquent -- State Agencies</t>
  </si>
  <si>
    <t>Total</t>
  </si>
  <si>
    <t>**</t>
  </si>
  <si>
    <t>Aug 2016</t>
  </si>
  <si>
    <t>Sept 2016</t>
  </si>
  <si>
    <t>October 2016</t>
  </si>
  <si>
    <t>November 2016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</si>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</sst>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000"/>
    <numFmt numFmtId="168" formatCode="_(* #,##0.0_);_(* \(#,##0.0\);_(* &quot;-&quot;??_);_(@_)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2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indexed="64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3743705557422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66CCFF"/>
      </right>
      <top/>
      <bottom/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/>
      <top/>
      <bottom style="medium">
        <color rgb="FF66CCFF"/>
      </bottom>
      <diagonal/>
    </border>
    <border>
      <left/>
      <right/>
      <top/>
      <bottom style="medium">
        <color rgb="FF66CCFF"/>
      </bottom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6795556505021"/>
      </bottom>
      <diagonal/>
    </border>
    <border>
      <left/>
      <right style="medium">
        <color rgb="FF66CCFF"/>
      </right>
      <top/>
      <bottom style="medium">
        <color rgb="FF66CCFF"/>
      </bottom>
      <diagonal/>
    </border>
  </borders>
  <cellStyleXfs count="27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40" fontId="30" fillId="0" borderId="0"/>
    <xf numFmtId="0" fontId="2" fillId="0" borderId="0"/>
    <xf numFmtId="0" fontId="2" fillId="0" borderId="0"/>
  </cellStyleXfs>
  <cellXfs count="298">
    <xf numFmtId="0" fontId="0" fillId="0" borderId="0" xfId="0"/>
    <xf numFmtId="0" fontId="0" fillId="0" borderId="0" xfId="0" applyFont="1"/>
    <xf numFmtId="0" fontId="0" fillId="0" borderId="0" xfId="0"/>
    <xf numFmtId="0" fontId="4" fillId="0" borderId="0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0" fillId="2" borderId="0" xfId="0" applyFill="1" applyAlignment="1">
      <alignment wrapText="1"/>
    </xf>
    <xf numFmtId="0" fontId="10" fillId="2" borderId="0" xfId="0" applyFont="1" applyFill="1"/>
    <xf numFmtId="0" fontId="10" fillId="2" borderId="0" xfId="0" quotePrefix="1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0" xfId="0" quotePrefix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9" fontId="12" fillId="2" borderId="6" xfId="0" applyNumberFormat="1" applyFont="1" applyFill="1" applyBorder="1"/>
    <xf numFmtId="0" fontId="12" fillId="2" borderId="10" xfId="0" applyFont="1" applyFill="1" applyBorder="1"/>
    <xf numFmtId="0" fontId="0" fillId="2" borderId="0" xfId="0" applyFont="1" applyFill="1"/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3" fillId="2" borderId="0" xfId="0" quotePrefix="1" applyFont="1" applyFill="1" applyAlignment="1">
      <alignment horizontal="center"/>
    </xf>
    <xf numFmtId="0" fontId="10" fillId="2" borderId="0" xfId="0" quotePrefix="1" applyFont="1" applyFill="1" applyAlignment="1">
      <alignment horizontal="right"/>
    </xf>
    <xf numFmtId="0" fontId="12" fillId="2" borderId="12" xfId="0" applyFont="1" applyFill="1" applyBorder="1"/>
    <xf numFmtId="49" fontId="12" fillId="2" borderId="14" xfId="0" applyNumberFormat="1" applyFont="1" applyFill="1" applyBorder="1"/>
    <xf numFmtId="0" fontId="12" fillId="2" borderId="15" xfId="0" applyFont="1" applyFill="1" applyBorder="1"/>
    <xf numFmtId="3" fontId="7" fillId="2" borderId="15" xfId="0" applyNumberFormat="1" applyFont="1" applyFill="1" applyBorder="1" applyAlignment="1">
      <alignment horizontal="right"/>
    </xf>
    <xf numFmtId="0" fontId="14" fillId="2" borderId="15" xfId="0" applyFont="1" applyFill="1" applyBorder="1"/>
    <xf numFmtId="3" fontId="12" fillId="2" borderId="15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left"/>
    </xf>
    <xf numFmtId="0" fontId="14" fillId="2" borderId="15" xfId="0" applyFont="1" applyFill="1" applyBorder="1" applyAlignment="1" applyProtection="1">
      <alignment horizontal="left"/>
    </xf>
    <xf numFmtId="3" fontId="14" fillId="2" borderId="15" xfId="0" applyNumberFormat="1" applyFont="1" applyFill="1" applyBorder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49" fontId="12" fillId="2" borderId="20" xfId="0" applyNumberFormat="1" applyFont="1" applyFill="1" applyBorder="1"/>
    <xf numFmtId="0" fontId="12" fillId="2" borderId="7" xfId="0" applyFont="1" applyFill="1" applyBorder="1"/>
    <xf numFmtId="49" fontId="12" fillId="2" borderId="21" xfId="0" applyNumberFormat="1" applyFont="1" applyFill="1" applyBorder="1"/>
    <xf numFmtId="0" fontId="12" fillId="2" borderId="8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0" fillId="0" borderId="0" xfId="0" applyFill="1" applyAlignment="1">
      <alignment wrapText="1"/>
    </xf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12" fillId="2" borderId="24" xfId="0" applyNumberFormat="1" applyFont="1" applyFill="1" applyBorder="1"/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6" fillId="2" borderId="15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49" fontId="12" fillId="2" borderId="26" xfId="0" applyNumberFormat="1" applyFont="1" applyFill="1" applyBorder="1"/>
    <xf numFmtId="0" fontId="12" fillId="2" borderId="27" xfId="0" applyFont="1" applyFill="1" applyBorder="1"/>
    <xf numFmtId="0" fontId="7" fillId="2" borderId="24" xfId="0" applyFont="1" applyFill="1" applyBorder="1" applyAlignment="1">
      <alignment horizontal="left"/>
    </xf>
    <xf numFmtId="3" fontId="7" fillId="0" borderId="0" xfId="0" applyNumberFormat="1" applyFont="1" applyBorder="1"/>
    <xf numFmtId="0" fontId="16" fillId="0" borderId="0" xfId="0" applyFont="1" applyFill="1" applyBorder="1" applyAlignment="1">
      <alignment horizontal="center"/>
    </xf>
    <xf numFmtId="3" fontId="7" fillId="2" borderId="15" xfId="0" applyNumberFormat="1" applyFont="1" applyFill="1" applyBorder="1"/>
    <xf numFmtId="165" fontId="12" fillId="2" borderId="15" xfId="1" applyNumberFormat="1" applyFont="1" applyFill="1" applyBorder="1"/>
    <xf numFmtId="3" fontId="7" fillId="2" borderId="12" xfId="0" applyNumberFormat="1" applyFont="1" applyFill="1" applyBorder="1"/>
    <xf numFmtId="3" fontId="7" fillId="2" borderId="29" xfId="0" applyNumberFormat="1" applyFont="1" applyFill="1" applyBorder="1"/>
    <xf numFmtId="3" fontId="7" fillId="2" borderId="33" xfId="0" applyNumberFormat="1" applyFont="1" applyFill="1" applyBorder="1"/>
    <xf numFmtId="3" fontId="7" fillId="2" borderId="35" xfId="0" applyNumberFormat="1" applyFont="1" applyFill="1" applyBorder="1"/>
    <xf numFmtId="3" fontId="7" fillId="2" borderId="37" xfId="0" applyNumberFormat="1" applyFont="1" applyFill="1" applyBorder="1"/>
    <xf numFmtId="165" fontId="3" fillId="3" borderId="2" xfId="1" applyNumberFormat="1" applyFont="1" applyFill="1" applyBorder="1" applyAlignment="1">
      <alignment horizontal="center" vertical="center"/>
    </xf>
    <xf numFmtId="165" fontId="7" fillId="2" borderId="34" xfId="1" applyNumberFormat="1" applyFont="1" applyFill="1" applyBorder="1"/>
    <xf numFmtId="165" fontId="7" fillId="2" borderId="23" xfId="1" applyNumberFormat="1" applyFont="1" applyFill="1" applyBorder="1"/>
    <xf numFmtId="165" fontId="7" fillId="2" borderId="36" xfId="1" applyNumberFormat="1" applyFont="1" applyFill="1" applyBorder="1"/>
    <xf numFmtId="165" fontId="7" fillId="2" borderId="30" xfId="1" applyNumberFormat="1" applyFont="1" applyFill="1" applyBorder="1"/>
    <xf numFmtId="3" fontId="7" fillId="2" borderId="13" xfId="0" applyNumberFormat="1" applyFont="1" applyFill="1" applyBorder="1"/>
    <xf numFmtId="3" fontId="7" fillId="2" borderId="16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7" fillId="0" borderId="0" xfId="0" applyNumberFormat="1" applyFont="1" applyFill="1"/>
    <xf numFmtId="3" fontId="12" fillId="2" borderId="12" xfId="0" applyNumberFormat="1" applyFont="1" applyFill="1" applyBorder="1" applyAlignment="1">
      <alignment horizontal="right"/>
    </xf>
    <xf numFmtId="3" fontId="12" fillId="0" borderId="25" xfId="0" applyNumberFormat="1" applyFont="1" applyFill="1" applyBorder="1"/>
    <xf numFmtId="49" fontId="12" fillId="2" borderId="39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0" fontId="14" fillId="2" borderId="15" xfId="0" quotePrefix="1" applyFont="1" applyFill="1" applyBorder="1" applyAlignment="1" applyProtection="1">
      <alignment horizontal="left"/>
    </xf>
    <xf numFmtId="0" fontId="12" fillId="2" borderId="28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3" fillId="0" borderId="53" xfId="0" applyFont="1" applyFill="1" applyBorder="1"/>
    <xf numFmtId="0" fontId="0" fillId="0" borderId="53" xfId="0" applyFill="1" applyBorder="1"/>
    <xf numFmtId="0" fontId="0" fillId="0" borderId="54" xfId="0" applyFill="1" applyBorder="1"/>
    <xf numFmtId="49" fontId="12" fillId="2" borderId="29" xfId="0" applyNumberFormat="1" applyFont="1" applyFill="1" applyBorder="1"/>
    <xf numFmtId="0" fontId="12" fillId="2" borderId="29" xfId="0" applyFont="1" applyFill="1" applyBorder="1"/>
    <xf numFmtId="0" fontId="14" fillId="2" borderId="29" xfId="0" applyFont="1" applyFill="1" applyBorder="1"/>
    <xf numFmtId="164" fontId="1" fillId="2" borderId="29" xfId="0" applyNumberFormat="1" applyFont="1" applyFill="1" applyBorder="1" applyAlignment="1"/>
    <xf numFmtId="0" fontId="7" fillId="2" borderId="29" xfId="0" applyFont="1" applyFill="1" applyBorder="1" applyAlignment="1">
      <alignment horizontal="left"/>
    </xf>
    <xf numFmtId="0" fontId="14" fillId="2" borderId="29" xfId="0" applyFont="1" applyFill="1" applyBorder="1" applyAlignment="1" applyProtection="1">
      <alignment horizontal="left"/>
    </xf>
    <xf numFmtId="3" fontId="14" fillId="2" borderId="29" xfId="0" applyNumberFormat="1" applyFont="1" applyFill="1" applyBorder="1" applyAlignment="1" applyProtection="1">
      <alignment horizontal="left"/>
    </xf>
    <xf numFmtId="0" fontId="7" fillId="2" borderId="29" xfId="0" applyFont="1" applyFill="1" applyBorder="1" applyAlignment="1" applyProtection="1">
      <alignment horizontal="left"/>
    </xf>
    <xf numFmtId="0" fontId="14" fillId="2" borderId="29" xfId="0" quotePrefix="1" applyFont="1" applyFill="1" applyBorder="1" applyAlignment="1" applyProtection="1">
      <alignment horizontal="left"/>
    </xf>
    <xf numFmtId="0" fontId="14" fillId="2" borderId="17" xfId="0" quotePrefix="1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/>
    </xf>
    <xf numFmtId="164" fontId="10" fillId="2" borderId="18" xfId="0" applyNumberFormat="1" applyFont="1" applyFill="1" applyBorder="1"/>
    <xf numFmtId="164" fontId="3" fillId="0" borderId="0" xfId="0" applyNumberFormat="1" applyFont="1"/>
    <xf numFmtId="0" fontId="10" fillId="2" borderId="15" xfId="0" applyFont="1" applyFill="1" applyBorder="1"/>
    <xf numFmtId="164" fontId="10" fillId="2" borderId="29" xfId="0" applyNumberFormat="1" applyFont="1" applyFill="1" applyBorder="1"/>
    <xf numFmtId="0" fontId="10" fillId="0" borderId="0" xfId="0" applyFont="1" applyFill="1" applyAlignment="1">
      <alignment horizontal="right"/>
    </xf>
    <xf numFmtId="0" fontId="3" fillId="0" borderId="0" xfId="0" applyFont="1" applyFill="1"/>
    <xf numFmtId="165" fontId="7" fillId="2" borderId="57" xfId="1" applyNumberFormat="1" applyFont="1" applyFill="1" applyBorder="1"/>
    <xf numFmtId="49" fontId="12" fillId="2" borderId="22" xfId="0" applyNumberFormat="1" applyFont="1" applyFill="1" applyBorder="1"/>
    <xf numFmtId="0" fontId="12" fillId="2" borderId="9" xfId="0" applyFont="1" applyFill="1" applyBorder="1"/>
    <xf numFmtId="164" fontId="3" fillId="0" borderId="0" xfId="0" applyNumberFormat="1" applyFont="1" applyBorder="1"/>
    <xf numFmtId="0" fontId="6" fillId="2" borderId="18" xfId="0" applyFont="1" applyFill="1" applyBorder="1" applyAlignment="1">
      <alignment horizontal="center"/>
    </xf>
    <xf numFmtId="0" fontId="10" fillId="2" borderId="29" xfId="0" applyFont="1" applyFill="1" applyBorder="1"/>
    <xf numFmtId="0" fontId="3" fillId="0" borderId="0" xfId="0" applyFont="1"/>
    <xf numFmtId="0" fontId="10" fillId="2" borderId="14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7" fillId="0" borderId="0" xfId="2" applyNumberFormat="1" applyFont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164" fontId="7" fillId="0" borderId="0" xfId="0" applyNumberFormat="1" applyFont="1"/>
    <xf numFmtId="0" fontId="22" fillId="0" borderId="0" xfId="0" applyFont="1"/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38" fontId="22" fillId="0" borderId="0" xfId="0" applyNumberFormat="1" applyFont="1"/>
    <xf numFmtId="49" fontId="5" fillId="0" borderId="47" xfId="0" applyNumberFormat="1" applyFont="1" applyFill="1" applyBorder="1"/>
    <xf numFmtId="0" fontId="5" fillId="0" borderId="6" xfId="0" applyFont="1" applyFill="1" applyBorder="1"/>
    <xf numFmtId="38" fontId="5" fillId="0" borderId="0" xfId="0" applyNumberFormat="1" applyFont="1" applyFill="1" applyBorder="1"/>
    <xf numFmtId="38" fontId="5" fillId="0" borderId="43" xfId="0" applyNumberFormat="1" applyFont="1" applyFill="1" applyBorder="1"/>
    <xf numFmtId="49" fontId="5" fillId="0" borderId="42" xfId="0" applyNumberFormat="1" applyFont="1" applyFill="1" applyBorder="1"/>
    <xf numFmtId="0" fontId="5" fillId="0" borderId="5" xfId="0" applyFont="1" applyFill="1" applyBorder="1"/>
    <xf numFmtId="0" fontId="5" fillId="0" borderId="44" xfId="0" quotePrefix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5" fillId="0" borderId="45" xfId="0" quotePrefix="1" applyFont="1" applyFill="1" applyBorder="1" applyAlignment="1" applyProtection="1">
      <alignment horizontal="left"/>
    </xf>
    <xf numFmtId="0" fontId="5" fillId="0" borderId="46" xfId="0" applyFont="1" applyFill="1" applyBorder="1" applyAlignment="1" applyProtection="1">
      <alignment horizontal="left"/>
    </xf>
    <xf numFmtId="38" fontId="5" fillId="0" borderId="46" xfId="0" applyNumberFormat="1" applyFont="1" applyFill="1" applyBorder="1"/>
    <xf numFmtId="0" fontId="5" fillId="0" borderId="0" xfId="0" applyFont="1" applyFill="1"/>
    <xf numFmtId="38" fontId="5" fillId="0" borderId="0" xfId="0" applyNumberFormat="1" applyFont="1" applyFill="1"/>
    <xf numFmtId="0" fontId="22" fillId="0" borderId="0" xfId="0" applyFont="1" applyFill="1"/>
    <xf numFmtId="38" fontId="22" fillId="0" borderId="0" xfId="0" applyNumberFormat="1" applyFont="1" applyFill="1"/>
    <xf numFmtId="0" fontId="24" fillId="4" borderId="0" xfId="0" applyFont="1" applyFill="1"/>
    <xf numFmtId="0" fontId="25" fillId="2" borderId="0" xfId="0" applyFont="1" applyFill="1"/>
    <xf numFmtId="0" fontId="24" fillId="2" borderId="0" xfId="0" applyFont="1" applyFill="1"/>
    <xf numFmtId="0" fontId="25" fillId="2" borderId="0" xfId="0" applyFont="1" applyFill="1" applyAlignment="1">
      <alignment horizontal="left"/>
    </xf>
    <xf numFmtId="0" fontId="24" fillId="2" borderId="0" xfId="0" applyFont="1" applyFill="1" applyAlignment="1">
      <alignment wrapText="1"/>
    </xf>
    <xf numFmtId="0" fontId="15" fillId="2" borderId="0" xfId="0" applyFont="1" applyFill="1"/>
    <xf numFmtId="0" fontId="15" fillId="2" borderId="0" xfId="0" quotePrefix="1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 wrapText="1"/>
    </xf>
    <xf numFmtId="38" fontId="4" fillId="0" borderId="0" xfId="0" applyNumberFormat="1" applyFont="1" applyFill="1"/>
    <xf numFmtId="38" fontId="0" fillId="0" borderId="0" xfId="0" applyNumberFormat="1" applyFill="1"/>
    <xf numFmtId="165" fontId="12" fillId="2" borderId="63" xfId="1" applyNumberFormat="1" applyFont="1" applyFill="1" applyBorder="1"/>
    <xf numFmtId="165" fontId="0" fillId="0" borderId="0" xfId="0" applyNumberFormat="1" applyFill="1"/>
    <xf numFmtId="164" fontId="0" fillId="0" borderId="0" xfId="0" applyNumberFormat="1" applyBorder="1"/>
    <xf numFmtId="167" fontId="14" fillId="2" borderId="14" xfId="0" quotePrefix="1" applyNumberFormat="1" applyFont="1" applyFill="1" applyBorder="1" applyAlignment="1" applyProtection="1">
      <alignment horizontal="left"/>
    </xf>
    <xf numFmtId="167" fontId="14" fillId="2" borderId="17" xfId="0" quotePrefix="1" applyNumberFormat="1" applyFont="1" applyFill="1" applyBorder="1" applyAlignment="1" applyProtection="1">
      <alignment horizontal="left"/>
    </xf>
    <xf numFmtId="167" fontId="10" fillId="2" borderId="17" xfId="0" applyNumberFormat="1" applyFont="1" applyFill="1" applyBorder="1" applyAlignment="1">
      <alignment horizontal="left"/>
    </xf>
    <xf numFmtId="164" fontId="0" fillId="0" borderId="0" xfId="0" applyNumberFormat="1"/>
    <xf numFmtId="0" fontId="8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0" fillId="2" borderId="0" xfId="0" applyFill="1" applyAlignment="1">
      <alignment wrapText="1"/>
    </xf>
    <xf numFmtId="0" fontId="10" fillId="2" borderId="0" xfId="0" applyFont="1" applyFill="1"/>
    <xf numFmtId="0" fontId="10" fillId="2" borderId="0" xfId="0" quotePrefix="1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2" fillId="2" borderId="15" xfId="0" applyFont="1" applyFill="1" applyBorder="1"/>
    <xf numFmtId="0" fontId="14" fillId="2" borderId="15" xfId="0" applyFont="1" applyFill="1" applyBorder="1" applyAlignment="1" applyProtection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0" fillId="2" borderId="15" xfId="0" applyNumberFormat="1" applyFont="1" applyFill="1" applyBorder="1"/>
    <xf numFmtId="49" fontId="12" fillId="2" borderId="28" xfId="0" applyNumberFormat="1" applyFont="1" applyFill="1" applyBorder="1" applyAlignment="1">
      <alignment horizontal="center"/>
    </xf>
    <xf numFmtId="49" fontId="12" fillId="2" borderId="15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167" fontId="14" fillId="2" borderId="12" xfId="0" applyNumberFormat="1" applyFont="1" applyFill="1" applyBorder="1" applyAlignment="1">
      <alignment horizontal="center"/>
    </xf>
    <xf numFmtId="167" fontId="14" fillId="2" borderId="15" xfId="0" applyNumberFormat="1" applyFont="1" applyFill="1" applyBorder="1" applyAlignment="1">
      <alignment horizontal="center"/>
    </xf>
    <xf numFmtId="167" fontId="11" fillId="2" borderId="15" xfId="0" applyNumberFormat="1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7" fontId="3" fillId="0" borderId="1" xfId="0" quotePrefix="1" applyNumberFormat="1" applyFont="1" applyFill="1" applyBorder="1" applyAlignment="1">
      <alignment horizontal="center" vertical="center"/>
    </xf>
    <xf numFmtId="49" fontId="3" fillId="0" borderId="2" xfId="0" quotePrefix="1" applyNumberFormat="1" applyFont="1" applyFill="1" applyBorder="1" applyAlignment="1">
      <alignment horizontal="center" vertical="center"/>
    </xf>
    <xf numFmtId="165" fontId="7" fillId="0" borderId="0" xfId="0" applyNumberFormat="1" applyFont="1"/>
    <xf numFmtId="0" fontId="10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center" wrapText="1"/>
    </xf>
    <xf numFmtId="166" fontId="0" fillId="0" borderId="0" xfId="2" applyNumberFormat="1" applyFont="1"/>
    <xf numFmtId="166" fontId="7" fillId="0" borderId="0" xfId="2" applyNumberFormat="1" applyFont="1" applyAlignment="1">
      <alignment horizontal="right"/>
    </xf>
    <xf numFmtId="49" fontId="12" fillId="2" borderId="28" xfId="0" quotePrefix="1" applyNumberFormat="1" applyFont="1" applyFill="1" applyBorder="1" applyAlignment="1">
      <alignment horizontal="left"/>
    </xf>
    <xf numFmtId="49" fontId="12" fillId="2" borderId="15" xfId="0" quotePrefix="1" applyNumberFormat="1" applyFont="1" applyFill="1" applyBorder="1" applyAlignment="1">
      <alignment horizontal="left"/>
    </xf>
    <xf numFmtId="49" fontId="12" fillId="2" borderId="15" xfId="0" applyNumberFormat="1" applyFont="1" applyFill="1" applyBorder="1" applyAlignment="1">
      <alignment horizontal="left"/>
    </xf>
    <xf numFmtId="49" fontId="7" fillId="2" borderId="15" xfId="0" applyNumberFormat="1" applyFont="1" applyFill="1" applyBorder="1" applyAlignment="1">
      <alignment horizontal="left"/>
    </xf>
    <xf numFmtId="49" fontId="14" fillId="2" borderId="15" xfId="0" quotePrefix="1" applyNumberFormat="1" applyFont="1" applyFill="1" applyBorder="1" applyAlignment="1" applyProtection="1">
      <alignment horizontal="left"/>
    </xf>
    <xf numFmtId="49" fontId="12" fillId="2" borderId="28" xfId="0" applyNumberFormat="1" applyFont="1" applyFill="1" applyBorder="1" applyAlignment="1">
      <alignment horizontal="left"/>
    </xf>
    <xf numFmtId="49" fontId="12" fillId="2" borderId="11" xfId="0" applyNumberFormat="1" applyFont="1" applyFill="1" applyBorder="1" applyAlignment="1">
      <alignment horizontal="left"/>
    </xf>
    <xf numFmtId="49" fontId="12" fillId="2" borderId="14" xfId="0" applyNumberFormat="1" applyFont="1" applyFill="1" applyBorder="1" applyAlignment="1">
      <alignment horizontal="left"/>
    </xf>
    <xf numFmtId="49" fontId="7" fillId="2" borderId="14" xfId="0" applyNumberFormat="1" applyFont="1" applyFill="1" applyBorder="1" applyAlignment="1">
      <alignment horizontal="left"/>
    </xf>
    <xf numFmtId="49" fontId="14" fillId="2" borderId="14" xfId="0" quotePrefix="1" applyNumberFormat="1" applyFont="1" applyFill="1" applyBorder="1" applyAlignment="1" applyProtection="1">
      <alignment horizontal="left"/>
    </xf>
    <xf numFmtId="49" fontId="14" fillId="2" borderId="17" xfId="0" quotePrefix="1" applyNumberFormat="1" applyFont="1" applyFill="1" applyBorder="1" applyAlignment="1" applyProtection="1">
      <alignment horizontal="left"/>
    </xf>
    <xf numFmtId="0" fontId="5" fillId="0" borderId="42" xfId="0" quotePrefix="1" applyFont="1" applyFill="1" applyBorder="1" applyAlignment="1">
      <alignment horizontal="left"/>
    </xf>
    <xf numFmtId="38" fontId="5" fillId="0" borderId="65" xfId="0" applyNumberFormat="1" applyFont="1" applyFill="1" applyBorder="1"/>
    <xf numFmtId="42" fontId="12" fillId="2" borderId="15" xfId="1" applyNumberFormat="1" applyFont="1" applyFill="1" applyBorder="1"/>
    <xf numFmtId="17" fontId="3" fillId="0" borderId="2" xfId="0" quotePrefix="1" applyNumberFormat="1" applyFont="1" applyFill="1" applyBorder="1" applyAlignment="1">
      <alignment horizontal="center" vertical="center"/>
    </xf>
    <xf numFmtId="0" fontId="0" fillId="0" borderId="15" xfId="0" applyBorder="1"/>
    <xf numFmtId="168" fontId="10" fillId="2" borderId="15" xfId="2" applyNumberFormat="1" applyFont="1" applyFill="1" applyBorder="1"/>
    <xf numFmtId="166" fontId="12" fillId="2" borderId="15" xfId="2" applyNumberFormat="1" applyFont="1" applyFill="1" applyBorder="1"/>
    <xf numFmtId="166" fontId="14" fillId="2" borderId="28" xfId="2" applyNumberFormat="1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right"/>
    </xf>
    <xf numFmtId="166" fontId="14" fillId="2" borderId="15" xfId="2" applyNumberFormat="1" applyFont="1" applyFill="1" applyBorder="1" applyAlignment="1">
      <alignment horizontal="center"/>
    </xf>
    <xf numFmtId="166" fontId="4" fillId="0" borderId="0" xfId="2" applyNumberFormat="1" applyFont="1" applyFill="1" applyBorder="1"/>
    <xf numFmtId="166" fontId="12" fillId="2" borderId="15" xfId="2" applyNumberFormat="1" applyFont="1" applyFill="1" applyBorder="1" applyAlignment="1">
      <alignment horizontal="center"/>
    </xf>
    <xf numFmtId="166" fontId="7" fillId="2" borderId="15" xfId="2" applyNumberFormat="1" applyFont="1" applyFill="1" applyBorder="1" applyAlignment="1">
      <alignment horizontal="center"/>
    </xf>
    <xf numFmtId="166" fontId="7" fillId="0" borderId="0" xfId="2" applyNumberFormat="1" applyFont="1" applyFill="1" applyAlignment="1">
      <alignment horizontal="right"/>
    </xf>
    <xf numFmtId="166" fontId="7" fillId="2" borderId="62" xfId="2" applyNumberFormat="1" applyFont="1" applyFill="1" applyBorder="1"/>
    <xf numFmtId="166" fontId="18" fillId="2" borderId="15" xfId="2" applyNumberFormat="1" applyFont="1" applyFill="1" applyBorder="1"/>
    <xf numFmtId="166" fontId="10" fillId="2" borderId="15" xfId="2" applyNumberFormat="1" applyFont="1" applyFill="1" applyBorder="1"/>
    <xf numFmtId="166" fontId="7" fillId="2" borderId="15" xfId="2" applyNumberFormat="1" applyFont="1" applyFill="1" applyBorder="1" applyAlignment="1">
      <alignment horizontal="right"/>
    </xf>
    <xf numFmtId="166" fontId="7" fillId="2" borderId="15" xfId="2" applyNumberFormat="1" applyFont="1" applyFill="1" applyBorder="1"/>
    <xf numFmtId="166" fontId="7" fillId="2" borderId="16" xfId="2" applyNumberFormat="1" applyFont="1" applyFill="1" applyBorder="1"/>
    <xf numFmtId="166" fontId="7" fillId="0" borderId="0" xfId="2" applyNumberFormat="1" applyFont="1" applyFill="1"/>
    <xf numFmtId="166" fontId="7" fillId="0" borderId="0" xfId="2" applyNumberFormat="1" applyFont="1" applyBorder="1"/>
    <xf numFmtId="166" fontId="0" fillId="0" borderId="0" xfId="2" applyNumberFormat="1" applyFont="1" applyFill="1"/>
    <xf numFmtId="166" fontId="7" fillId="2" borderId="18" xfId="2" applyNumberFormat="1" applyFont="1" applyFill="1" applyBorder="1"/>
    <xf numFmtId="166" fontId="7" fillId="2" borderId="19" xfId="2" applyNumberFormat="1" applyFont="1" applyFill="1" applyBorder="1"/>
    <xf numFmtId="166" fontId="10" fillId="2" borderId="18" xfId="2" applyNumberFormat="1" applyFont="1" applyFill="1" applyBorder="1"/>
    <xf numFmtId="166" fontId="7" fillId="2" borderId="57" xfId="2" applyNumberFormat="1" applyFont="1" applyFill="1" applyBorder="1"/>
    <xf numFmtId="166" fontId="7" fillId="2" borderId="29" xfId="2" applyNumberFormat="1" applyFont="1" applyFill="1" applyBorder="1"/>
    <xf numFmtId="166" fontId="7" fillId="2" borderId="30" xfId="2" applyNumberFormat="1" applyFont="1" applyFill="1" applyBorder="1"/>
    <xf numFmtId="166" fontId="7" fillId="2" borderId="58" xfId="2" applyNumberFormat="1" applyFont="1" applyFill="1" applyBorder="1"/>
    <xf numFmtId="166" fontId="7" fillId="2" borderId="31" xfId="2" applyNumberFormat="1" applyFont="1" applyFill="1" applyBorder="1"/>
    <xf numFmtId="166" fontId="7" fillId="2" borderId="32" xfId="2" applyNumberFormat="1" applyFont="1" applyFill="1" applyBorder="1"/>
    <xf numFmtId="166" fontId="7" fillId="2" borderId="55" xfId="2" applyNumberFormat="1" applyFont="1" applyFill="1" applyBorder="1"/>
    <xf numFmtId="166" fontId="7" fillId="2" borderId="56" xfId="2" applyNumberFormat="1" applyFont="1" applyFill="1" applyBorder="1"/>
    <xf numFmtId="166" fontId="10" fillId="2" borderId="57" xfId="2" applyNumberFormat="1" applyFont="1" applyFill="1" applyBorder="1"/>
    <xf numFmtId="166" fontId="7" fillId="0" borderId="0" xfId="2" applyNumberFormat="1" applyFont="1" applyBorder="1" applyAlignment="1">
      <alignment horizontal="right"/>
    </xf>
    <xf numFmtId="166" fontId="0" fillId="0" borderId="0" xfId="2" applyNumberFormat="1" applyFont="1" applyBorder="1"/>
    <xf numFmtId="166" fontId="10" fillId="2" borderId="29" xfId="2" applyNumberFormat="1" applyFont="1" applyFill="1" applyBorder="1"/>
    <xf numFmtId="166" fontId="4" fillId="0" borderId="0" xfId="2" applyNumberFormat="1" applyFont="1" applyBorder="1"/>
    <xf numFmtId="164" fontId="3" fillId="0" borderId="0" xfId="0" applyNumberFormat="1" applyFont="1" applyFill="1"/>
    <xf numFmtId="166" fontId="12" fillId="2" borderId="63" xfId="2" applyNumberFormat="1" applyFont="1" applyFill="1" applyBorder="1"/>
    <xf numFmtId="166" fontId="14" fillId="2" borderId="63" xfId="2" applyNumberFormat="1" applyFont="1" applyFill="1" applyBorder="1" applyAlignment="1"/>
    <xf numFmtId="166" fontId="18" fillId="2" borderId="64" xfId="2" applyNumberFormat="1" applyFont="1" applyFill="1" applyBorder="1"/>
    <xf numFmtId="166" fontId="12" fillId="0" borderId="0" xfId="2" applyNumberFormat="1" applyFont="1" applyFill="1" applyBorder="1"/>
    <xf numFmtId="166" fontId="12" fillId="2" borderId="0" xfId="2" applyNumberFormat="1" applyFont="1" applyFill="1" applyBorder="1"/>
    <xf numFmtId="166" fontId="7" fillId="2" borderId="28" xfId="2" applyNumberFormat="1" applyFont="1" applyFill="1" applyBorder="1"/>
    <xf numFmtId="166" fontId="12" fillId="2" borderId="28" xfId="2" applyNumberFormat="1" applyFont="1" applyFill="1" applyBorder="1"/>
    <xf numFmtId="166" fontId="4" fillId="0" borderId="0" xfId="2" applyNumberFormat="1" applyFont="1"/>
    <xf numFmtId="166" fontId="10" fillId="2" borderId="19" xfId="2" applyNumberFormat="1" applyFont="1" applyFill="1" applyBorder="1" applyAlignment="1">
      <alignment horizontal="right"/>
    </xf>
    <xf numFmtId="49" fontId="14" fillId="2" borderId="15" xfId="2" applyNumberFormat="1" applyFont="1" applyFill="1" applyBorder="1" applyAlignment="1">
      <alignment horizontal="center"/>
    </xf>
    <xf numFmtId="49" fontId="12" fillId="2" borderId="15" xfId="2" applyNumberFormat="1" applyFont="1" applyFill="1" applyBorder="1" applyAlignment="1">
      <alignment horizontal="center"/>
    </xf>
    <xf numFmtId="49" fontId="7" fillId="2" borderId="15" xfId="2" applyNumberFormat="1" applyFont="1" applyFill="1" applyBorder="1" applyAlignment="1">
      <alignment horizontal="center"/>
    </xf>
    <xf numFmtId="43" fontId="7" fillId="2" borderId="30" xfId="2" applyNumberFormat="1" applyFont="1" applyFill="1" applyBorder="1"/>
    <xf numFmtId="166" fontId="0" fillId="0" borderId="0" xfId="0" applyNumberFormat="1" applyFill="1"/>
    <xf numFmtId="0" fontId="20" fillId="2" borderId="40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166" fontId="36" fillId="0" borderId="0" xfId="2" applyNumberFormat="1" applyFont="1"/>
  </cellXfs>
  <cellStyles count="27">
    <cellStyle name="Comma" xfId="2" builtinId="3"/>
    <cellStyle name="Comma 2" xfId="3"/>
    <cellStyle name="Comma 2 2" xfId="6"/>
    <cellStyle name="Comma 3" xfId="14"/>
    <cellStyle name="Comma 4" xfId="21"/>
    <cellStyle name="Comma 5" xfId="5"/>
    <cellStyle name="Currency" xfId="1" builtinId="4"/>
    <cellStyle name="Currency 2" xfId="8"/>
    <cellStyle name="Currency 3" xfId="7"/>
    <cellStyle name="Hyperlink 2" xfId="20"/>
    <cellStyle name="Normal" xfId="0" builtinId="0"/>
    <cellStyle name="Normal 10" xfId="25"/>
    <cellStyle name="Normal 10 2" xfId="26"/>
    <cellStyle name="Normal 11" xfId="4"/>
    <cellStyle name="Normal 2" xfId="9"/>
    <cellStyle name="Normal 2 2" xfId="24"/>
    <cellStyle name="Normal 3" xfId="10"/>
    <cellStyle name="Normal 3 2" xfId="11"/>
    <cellStyle name="Normal 4" xfId="16"/>
    <cellStyle name="Normal 5" xfId="17"/>
    <cellStyle name="Normal 6" xfId="18"/>
    <cellStyle name="Normal 7" xfId="19"/>
    <cellStyle name="Normal 8" xfId="22"/>
    <cellStyle name="Normal 9" xfId="23"/>
    <cellStyle name="Percent 2" xfId="13"/>
    <cellStyle name="Percent 3" xfId="15"/>
    <cellStyle name="Percent 4" xfId="12"/>
  </cellStyles>
  <dxfs count="0"/>
  <tableStyles count="0" defaultTableStyle="TableStyleMedium2" defaultPivotStyle="PivotStyleLight16"/>
  <colors>
    <mruColors>
      <color rgb="FF99CCFF"/>
      <color rgb="FF00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66FF"/>
  </sheetPr>
  <dimension ref="A1:I225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.109375" defaultRowHeight="14.4" x14ac:dyDescent="0.3"/>
  <cols>
    <col min="1" max="1" width="9.109375" style="154"/>
    <col min="2" max="2" width="30.88671875" style="154" bestFit="1" customWidth="1"/>
    <col min="3" max="3" width="20.44140625" style="154" bestFit="1" customWidth="1"/>
    <col min="4" max="4" width="20.44140625" style="154" customWidth="1"/>
    <col min="5" max="5" width="21.6640625" style="154" bestFit="1" customWidth="1"/>
    <col min="6" max="6" width="17.6640625" style="154" customWidth="1"/>
    <col min="7" max="7" width="15" style="154" customWidth="1"/>
    <col min="8" max="8" width="15.88671875" style="154" customWidth="1"/>
    <col min="9" max="9" width="19.88671875" style="154" customWidth="1"/>
    <col min="10" max="16384" width="9.109375" style="154"/>
  </cols>
  <sheetData>
    <row r="1" spans="1:9" ht="15.75" customHeight="1" x14ac:dyDescent="0.3">
      <c r="A1" s="291" t="s">
        <v>505</v>
      </c>
      <c r="B1" s="292"/>
      <c r="C1" s="292"/>
      <c r="D1" s="292"/>
      <c r="E1" s="292"/>
      <c r="F1" s="292"/>
      <c r="G1" s="292"/>
      <c r="H1" s="292"/>
      <c r="I1" s="293"/>
    </row>
    <row r="2" spans="1:9" ht="15.75" customHeight="1" thickBot="1" x14ac:dyDescent="0.35">
      <c r="A2" s="294"/>
      <c r="B2" s="295"/>
      <c r="C2" s="295"/>
      <c r="D2" s="295"/>
      <c r="E2" s="295"/>
      <c r="F2" s="295"/>
      <c r="G2" s="295"/>
      <c r="H2" s="295"/>
      <c r="I2" s="296"/>
    </row>
    <row r="3" spans="1:9" ht="19.2" thickTop="1" thickBot="1" x14ac:dyDescent="0.4">
      <c r="A3" s="155" t="s">
        <v>369</v>
      </c>
      <c r="B3" s="156" t="s">
        <v>437</v>
      </c>
      <c r="C3" s="157" t="s">
        <v>7</v>
      </c>
      <c r="D3" s="157" t="s">
        <v>389</v>
      </c>
      <c r="E3" s="156" t="s">
        <v>400</v>
      </c>
      <c r="F3" s="156" t="s">
        <v>401</v>
      </c>
      <c r="G3" s="157" t="s">
        <v>402</v>
      </c>
      <c r="H3" s="156" t="s">
        <v>403</v>
      </c>
      <c r="I3" s="158" t="s">
        <v>404</v>
      </c>
    </row>
    <row r="4" spans="1:9" ht="18.600000000000001" thickTop="1" x14ac:dyDescent="0.35">
      <c r="A4" s="160" t="s">
        <v>8</v>
      </c>
      <c r="B4" s="161" t="s">
        <v>186</v>
      </c>
      <c r="C4" s="162">
        <f>ROUND(IFERROR(VLOOKUP(A4,'NCLB Title I-A Formula'!$A$13:$G$201,7,FALSE),0),0)</f>
        <v>0</v>
      </c>
      <c r="D4" s="162">
        <f>ROUND(IFERROR(VLOOKUP(A4,'NCLB Title I-C Migrant'!$A$13:$G$201,5,FALSE),0),0)</f>
        <v>0</v>
      </c>
      <c r="E4" s="162">
        <f>ROUND(IFERROR(VLOOKUP(A4,'NCLB Title I-Delinquent'!$A$13:$G$201,5,FALSE),0),0)</f>
        <v>0</v>
      </c>
      <c r="F4" s="162">
        <f>ROUND(IFERROR(VLOOKUP(A4,'NCLB Title II-A Formula'!$A$13:$G$201,7,FALSE),0),0)</f>
        <v>0</v>
      </c>
      <c r="G4" s="162">
        <f>ROUND(IFERROR(VLOOKUP(A4,'NCLB Title III-A '!$A$13:$G$201,7,FALSE),0),0)</f>
        <v>0</v>
      </c>
      <c r="H4" s="162">
        <f>ROUND(IFERROR(VLOOKUP(A4,'NCLB Title III SAI'!$A$13:$G$189,7,FALSE),0),0)</f>
        <v>0</v>
      </c>
      <c r="I4" s="163">
        <f>ROUND(IFERROR(VLOOKUP(A4,'TITLE VI RURAL LI'!$A$13:$G$193,5,FALSE),0),0)</f>
        <v>0</v>
      </c>
    </row>
    <row r="5" spans="1:9" ht="18" x14ac:dyDescent="0.35">
      <c r="A5" s="164" t="s">
        <v>9</v>
      </c>
      <c r="B5" s="165" t="s">
        <v>187</v>
      </c>
      <c r="C5" s="162">
        <f>ROUND(IFERROR(VLOOKUP(A5,'NCLB Title I-A Formula'!$A$13:$G$201,7,FALSE),0),0)</f>
        <v>0</v>
      </c>
      <c r="D5" s="162">
        <f>ROUND(IFERROR(VLOOKUP(A5,'NCLB Title I-C Migrant'!$A$13:$G$201,5,FALSE),0),0)</f>
        <v>0</v>
      </c>
      <c r="E5" s="162">
        <f>ROUND(IFERROR(VLOOKUP(A5,'NCLB Title I-Delinquent'!$A$13:$G$201,5,FALSE),0),0)</f>
        <v>0</v>
      </c>
      <c r="F5" s="162">
        <f>ROUND(IFERROR(VLOOKUP(A5,'NCLB Title II-A Formula'!$A$13:$G$201,7,FALSE),0),0)</f>
        <v>0</v>
      </c>
      <c r="G5" s="162">
        <f>ROUND(IFERROR(VLOOKUP(A5,'NCLB Title III-A '!$A$13:$G$201,7,FALSE),0),0)</f>
        <v>0</v>
      </c>
      <c r="H5" s="162">
        <f>ROUND(IFERROR(VLOOKUP(A5,'NCLB Title III SAI'!$A$13:$G$189,7,FALSE),0),0)</f>
        <v>0</v>
      </c>
      <c r="I5" s="163">
        <f>ROUND(IFERROR(VLOOKUP(A5,'TITLE VI RURAL LI'!$A$13:$G$193,5,FALSE),0),0)</f>
        <v>0</v>
      </c>
    </row>
    <row r="6" spans="1:9" ht="18" x14ac:dyDescent="0.35">
      <c r="A6" s="164" t="s">
        <v>10</v>
      </c>
      <c r="B6" s="165" t="s">
        <v>188</v>
      </c>
      <c r="C6" s="162">
        <f>ROUND(IFERROR(VLOOKUP(A6,'NCLB Title I-A Formula'!$A$13:$G$201,7,FALSE),0),0)</f>
        <v>0</v>
      </c>
      <c r="D6" s="162">
        <f>ROUND(IFERROR(VLOOKUP(A6,'NCLB Title I-C Migrant'!$A$13:$G$201,5,FALSE),0),0)</f>
        <v>0</v>
      </c>
      <c r="E6" s="162">
        <f>ROUND(IFERROR(VLOOKUP(A6,'NCLB Title I-Delinquent'!$A$13:$G$201,5,FALSE),0),0)</f>
        <v>0</v>
      </c>
      <c r="F6" s="162">
        <f>ROUND(IFERROR(VLOOKUP(A6,'NCLB Title II-A Formula'!$A$13:$G$201,7,FALSE),0),0)</f>
        <v>0</v>
      </c>
      <c r="G6" s="162">
        <f>ROUND(IFERROR(VLOOKUP(A6,'NCLB Title III-A '!$A$13:$G$201,7,FALSE),0),0)</f>
        <v>0</v>
      </c>
      <c r="H6" s="162">
        <f>ROUND(IFERROR(VLOOKUP(A6,'NCLB Title III SAI'!$A$13:$G$189,7,FALSE),0),0)</f>
        <v>0</v>
      </c>
      <c r="I6" s="163">
        <f>ROUND(IFERROR(VLOOKUP(A6,'TITLE VI RURAL LI'!$A$13:$G$193,5,FALSE),0),0)</f>
        <v>0</v>
      </c>
    </row>
    <row r="7" spans="1:9" ht="18" x14ac:dyDescent="0.35">
      <c r="A7" s="164" t="s">
        <v>11</v>
      </c>
      <c r="B7" s="165" t="s">
        <v>189</v>
      </c>
      <c r="C7" s="162">
        <f>ROUND(IFERROR(VLOOKUP(A7,'NCLB Title I-A Formula'!$A$13:$G$201,7,FALSE),0),0)</f>
        <v>0</v>
      </c>
      <c r="D7" s="162">
        <f>ROUND(IFERROR(VLOOKUP(A7,'NCLB Title I-C Migrant'!$A$13:$G$201,5,FALSE),0),0)</f>
        <v>0</v>
      </c>
      <c r="E7" s="162">
        <f>ROUND(IFERROR(VLOOKUP(A7,'NCLB Title I-Delinquent'!$A$13:$G$201,5,FALSE),0),0)</f>
        <v>0</v>
      </c>
      <c r="F7" s="162">
        <f>ROUND(IFERROR(VLOOKUP(A7,'NCLB Title II-A Formula'!$A$13:$G$201,7,FALSE),0),0)</f>
        <v>0</v>
      </c>
      <c r="G7" s="162">
        <f>ROUND(IFERROR(VLOOKUP(A7,'NCLB Title III-A '!$A$13:$G$201,7,FALSE),0),0)</f>
        <v>0</v>
      </c>
      <c r="H7" s="162">
        <f>ROUND(IFERROR(VLOOKUP(A7,'NCLB Title III SAI'!$A$13:$G$189,7,FALSE),0),0)</f>
        <v>382</v>
      </c>
      <c r="I7" s="163">
        <f>ROUND(IFERROR(VLOOKUP(A7,'TITLE VI RURAL LI'!$A$13:$G$193,5,FALSE),0),0)</f>
        <v>0</v>
      </c>
    </row>
    <row r="8" spans="1:9" ht="18" x14ac:dyDescent="0.35">
      <c r="A8" s="164" t="s">
        <v>12</v>
      </c>
      <c r="B8" s="165" t="s">
        <v>190</v>
      </c>
      <c r="C8" s="162">
        <f>ROUND(IFERROR(VLOOKUP(A8,'NCLB Title I-A Formula'!$A$13:$G$201,7,FALSE),0),0)</f>
        <v>0</v>
      </c>
      <c r="D8" s="162">
        <f>ROUND(IFERROR(VLOOKUP(A8,'NCLB Title I-C Migrant'!$A$13:$G$201,5,FALSE),0),0)</f>
        <v>0</v>
      </c>
      <c r="E8" s="162">
        <f>ROUND(IFERROR(VLOOKUP(A8,'NCLB Title I-Delinquent'!$A$13:$G$201,5,FALSE),0),0)</f>
        <v>0</v>
      </c>
      <c r="F8" s="162">
        <f>ROUND(IFERROR(VLOOKUP(A8,'NCLB Title II-A Formula'!$A$13:$G$201,7,FALSE),0),0)</f>
        <v>0</v>
      </c>
      <c r="G8" s="162">
        <f>ROUND(IFERROR(VLOOKUP(A8,'NCLB Title III-A '!$A$13:$G$201,7,FALSE),0),0)</f>
        <v>0</v>
      </c>
      <c r="H8" s="162">
        <f>ROUND(IFERROR(VLOOKUP(A8,'NCLB Title III SAI'!$A$13:$G$189,7,FALSE),0),0)</f>
        <v>0</v>
      </c>
      <c r="I8" s="163">
        <f>ROUND(IFERROR(VLOOKUP(A8,'TITLE VI RURAL LI'!$A$13:$G$193,5,FALSE),0),0)</f>
        <v>0</v>
      </c>
    </row>
    <row r="9" spans="1:9" ht="18" x14ac:dyDescent="0.35">
      <c r="A9" s="164" t="s">
        <v>13</v>
      </c>
      <c r="B9" s="165" t="s">
        <v>191</v>
      </c>
      <c r="C9" s="162">
        <f>ROUND(IFERROR(VLOOKUP(A9,'NCLB Title I-A Formula'!$A$13:$G$201,7,FALSE),0),0)</f>
        <v>0</v>
      </c>
      <c r="D9" s="162">
        <f>ROUND(IFERROR(VLOOKUP(A9,'NCLB Title I-C Migrant'!$A$13:$G$201,5,FALSE),0),0)</f>
        <v>0</v>
      </c>
      <c r="E9" s="162">
        <f>ROUND(IFERROR(VLOOKUP(A9,'NCLB Title I-Delinquent'!$A$13:$G$201,5,FALSE),0),0)</f>
        <v>0</v>
      </c>
      <c r="F9" s="162">
        <f>ROUND(IFERROR(VLOOKUP(A9,'NCLB Title II-A Formula'!$A$13:$G$201,7,FALSE),0),0)</f>
        <v>0</v>
      </c>
      <c r="G9" s="162">
        <f>ROUND(IFERROR(VLOOKUP(A9,'NCLB Title III-A '!$A$13:$G$201,7,FALSE),0),0)</f>
        <v>0</v>
      </c>
      <c r="H9" s="162">
        <f>ROUND(IFERROR(VLOOKUP(A9,'NCLB Title III SAI'!$A$13:$G$189,7,FALSE),0),0)</f>
        <v>0</v>
      </c>
      <c r="I9" s="163">
        <f>ROUND(IFERROR(VLOOKUP(A9,'TITLE VI RURAL LI'!$A$13:$G$193,5,FALSE),0),0)</f>
        <v>0</v>
      </c>
    </row>
    <row r="10" spans="1:9" ht="18" x14ac:dyDescent="0.35">
      <c r="A10" s="164" t="s">
        <v>14</v>
      </c>
      <c r="B10" s="165" t="s">
        <v>192</v>
      </c>
      <c r="C10" s="162">
        <f>ROUND(IFERROR(VLOOKUP(A10,'NCLB Title I-A Formula'!$A$13:$G$201,7,FALSE),0),0)</f>
        <v>0</v>
      </c>
      <c r="D10" s="162">
        <f>ROUND(IFERROR(VLOOKUP(A10,'NCLB Title I-C Migrant'!$A$13:$G$201,5,FALSE),0),0)</f>
        <v>0</v>
      </c>
      <c r="E10" s="162">
        <f>ROUND(IFERROR(VLOOKUP(A10,'NCLB Title I-Delinquent'!$A$13:$G$201,5,FALSE),0),0)</f>
        <v>0</v>
      </c>
      <c r="F10" s="162">
        <f>ROUND(IFERROR(VLOOKUP(A10,'NCLB Title II-A Formula'!$A$13:$G$201,7,FALSE),0),0)</f>
        <v>0</v>
      </c>
      <c r="G10" s="162">
        <f>ROUND(IFERROR(VLOOKUP(A10,'NCLB Title III-A '!$A$13:$G$201,7,FALSE),0),0)</f>
        <v>0</v>
      </c>
      <c r="H10" s="162">
        <f>ROUND(IFERROR(VLOOKUP(A10,'NCLB Title III SAI'!$A$13:$G$189,7,FALSE),0),0)</f>
        <v>0</v>
      </c>
      <c r="I10" s="163">
        <f>ROUND(IFERROR(VLOOKUP(A10,'TITLE VI RURAL LI'!$A$13:$G$193,5,FALSE),0),0)</f>
        <v>0</v>
      </c>
    </row>
    <row r="11" spans="1:9" ht="18" x14ac:dyDescent="0.35">
      <c r="A11" s="164" t="s">
        <v>15</v>
      </c>
      <c r="B11" s="165" t="s">
        <v>193</v>
      </c>
      <c r="C11" s="162">
        <f>ROUND(IFERROR(VLOOKUP(A11,'NCLB Title I-A Formula'!$A$13:$G$201,7,FALSE),0),0)</f>
        <v>0</v>
      </c>
      <c r="D11" s="162">
        <f>ROUND(IFERROR(VLOOKUP(A11,'NCLB Title I-C Migrant'!$A$13:$G$201,5,FALSE),0),0)</f>
        <v>0</v>
      </c>
      <c r="E11" s="162">
        <f>ROUND(IFERROR(VLOOKUP(A11,'NCLB Title I-Delinquent'!$A$13:$G$201,5,FALSE),0),0)</f>
        <v>0</v>
      </c>
      <c r="F11" s="162">
        <f>ROUND(IFERROR(VLOOKUP(A11,'NCLB Title II-A Formula'!$A$13:$G$201,7,FALSE),0),0)</f>
        <v>0</v>
      </c>
      <c r="G11" s="162">
        <f>ROUND(IFERROR(VLOOKUP(A11,'NCLB Title III-A '!$A$13:$G$201,7,FALSE),0),0)</f>
        <v>0</v>
      </c>
      <c r="H11" s="162">
        <f>ROUND(IFERROR(VLOOKUP(A11,'NCLB Title III SAI'!$A$13:$G$189,7,FALSE),0),0)</f>
        <v>0</v>
      </c>
      <c r="I11" s="163">
        <f>ROUND(IFERROR(VLOOKUP(A11,'TITLE VI RURAL LI'!$A$13:$G$193,5,FALSE),0),0)</f>
        <v>0</v>
      </c>
    </row>
    <row r="12" spans="1:9" ht="18" x14ac:dyDescent="0.35">
      <c r="A12" s="164" t="s">
        <v>16</v>
      </c>
      <c r="B12" s="165" t="s">
        <v>194</v>
      </c>
      <c r="C12" s="162">
        <f>ROUND(IFERROR(VLOOKUP(A12,'NCLB Title I-A Formula'!$A$13:$G$201,7,FALSE),0),0)</f>
        <v>0</v>
      </c>
      <c r="D12" s="162">
        <f>ROUND(IFERROR(VLOOKUP(A12,'NCLB Title I-C Migrant'!$A$13:$G$201,5,FALSE),0),0)</f>
        <v>0</v>
      </c>
      <c r="E12" s="162">
        <f>ROUND(IFERROR(VLOOKUP(A12,'NCLB Title I-Delinquent'!$A$13:$G$201,5,FALSE),0),0)</f>
        <v>0</v>
      </c>
      <c r="F12" s="162">
        <f>ROUND(IFERROR(VLOOKUP(A12,'NCLB Title II-A Formula'!$A$13:$G$201,7,FALSE),0),0)</f>
        <v>0</v>
      </c>
      <c r="G12" s="162">
        <f>ROUND(IFERROR(VLOOKUP(A12,'NCLB Title III-A '!$A$13:$G$201,7,FALSE),0),0)</f>
        <v>0</v>
      </c>
      <c r="H12" s="162">
        <f>ROUND(IFERROR(VLOOKUP(A12,'NCLB Title III SAI'!$A$13:$G$189,7,FALSE),0),0)</f>
        <v>0</v>
      </c>
      <c r="I12" s="163">
        <f>ROUND(IFERROR(VLOOKUP(A12,'TITLE VI RURAL LI'!$A$13:$G$193,5,FALSE),0),0)</f>
        <v>0</v>
      </c>
    </row>
    <row r="13" spans="1:9" ht="18" x14ac:dyDescent="0.35">
      <c r="A13" s="164" t="s">
        <v>17</v>
      </c>
      <c r="B13" s="165" t="s">
        <v>195</v>
      </c>
      <c r="C13" s="162">
        <f>ROUND(IFERROR(VLOOKUP(A13,'NCLB Title I-A Formula'!$A$13:$G$201,7,FALSE),0),0)</f>
        <v>0</v>
      </c>
      <c r="D13" s="162">
        <f>ROUND(IFERROR(VLOOKUP(A13,'NCLB Title I-C Migrant'!$A$13:$G$201,5,FALSE),0),0)</f>
        <v>0</v>
      </c>
      <c r="E13" s="162">
        <f>ROUND(IFERROR(VLOOKUP(A13,'NCLB Title I-Delinquent'!$A$13:$G$201,5,FALSE),0),0)</f>
        <v>0</v>
      </c>
      <c r="F13" s="162">
        <f>ROUND(IFERROR(VLOOKUP(A13,'NCLB Title II-A Formula'!$A$13:$G$201,7,FALSE),0),0)</f>
        <v>0</v>
      </c>
      <c r="G13" s="162">
        <f>ROUND(IFERROR(VLOOKUP(A13,'NCLB Title III-A '!$A$13:$G$201,7,FALSE),0),0)</f>
        <v>0</v>
      </c>
      <c r="H13" s="162">
        <f>ROUND(IFERROR(VLOOKUP(A13,'NCLB Title III SAI'!$A$13:$G$189,7,FALSE),0),0)</f>
        <v>0</v>
      </c>
      <c r="I13" s="163">
        <f>ROUND(IFERROR(VLOOKUP(A13,'TITLE VI RURAL LI'!$A$13:$G$193,5,FALSE),0),0)</f>
        <v>0</v>
      </c>
    </row>
    <row r="14" spans="1:9" ht="18" x14ac:dyDescent="0.35">
      <c r="A14" s="164" t="s">
        <v>18</v>
      </c>
      <c r="B14" s="165" t="s">
        <v>196</v>
      </c>
      <c r="C14" s="162">
        <f>ROUND(IFERROR(VLOOKUP(A14,'NCLB Title I-A Formula'!$A$13:$G$201,7,FALSE),0),0)</f>
        <v>0</v>
      </c>
      <c r="D14" s="162">
        <f>ROUND(IFERROR(VLOOKUP(A14,'NCLB Title I-C Migrant'!$A$13:$G$201,5,FALSE),0),0)</f>
        <v>0</v>
      </c>
      <c r="E14" s="162">
        <f>ROUND(IFERROR(VLOOKUP(A14,'NCLB Title I-Delinquent'!$A$13:$G$201,5,FALSE),0),0)</f>
        <v>0</v>
      </c>
      <c r="F14" s="162">
        <f>ROUND(IFERROR(VLOOKUP(A14,'NCLB Title II-A Formula'!$A$13:$G$201,7,FALSE),0),0)</f>
        <v>0</v>
      </c>
      <c r="G14" s="162">
        <f>ROUND(IFERROR(VLOOKUP(A14,'NCLB Title III-A '!$A$13:$G$201,7,FALSE),0),0)</f>
        <v>0</v>
      </c>
      <c r="H14" s="162">
        <f>ROUND(IFERROR(VLOOKUP(A14,'NCLB Title III SAI'!$A$13:$G$189,7,FALSE),0),0)</f>
        <v>0</v>
      </c>
      <c r="I14" s="163">
        <f>ROUND(IFERROR(VLOOKUP(A14,'TITLE VI RURAL LI'!$A$13:$G$193,5,FALSE),0),0)</f>
        <v>0</v>
      </c>
    </row>
    <row r="15" spans="1:9" ht="18" x14ac:dyDescent="0.35">
      <c r="A15" s="164" t="s">
        <v>19</v>
      </c>
      <c r="B15" s="165" t="s">
        <v>197</v>
      </c>
      <c r="C15" s="162">
        <f>ROUND(IFERROR(VLOOKUP(A15,'NCLB Title I-A Formula'!$A$13:$G$201,7,FALSE),0),0)</f>
        <v>0</v>
      </c>
      <c r="D15" s="162">
        <f>ROUND(IFERROR(VLOOKUP(A15,'NCLB Title I-C Migrant'!$A$13:$G$201,5,FALSE),0),0)</f>
        <v>0</v>
      </c>
      <c r="E15" s="162">
        <f>ROUND(IFERROR(VLOOKUP(A15,'NCLB Title I-Delinquent'!$A$13:$G$201,5,FALSE),0),0)</f>
        <v>0</v>
      </c>
      <c r="F15" s="162">
        <f>ROUND(IFERROR(VLOOKUP(A15,'NCLB Title II-A Formula'!$A$13:$G$201,7,FALSE),0),0)</f>
        <v>0</v>
      </c>
      <c r="G15" s="162">
        <f>ROUND(IFERROR(VLOOKUP(A15,'NCLB Title III-A '!$A$13:$G$201,7,FALSE),0),0)</f>
        <v>0</v>
      </c>
      <c r="H15" s="162">
        <f>ROUND(IFERROR(VLOOKUP(A15,'NCLB Title III SAI'!$A$13:$G$189,7,FALSE),0),0)</f>
        <v>262232</v>
      </c>
      <c r="I15" s="163">
        <f>ROUND(IFERROR(VLOOKUP(A15,'TITLE VI RURAL LI'!$A$13:$G$193,5,FALSE),0),0)</f>
        <v>0</v>
      </c>
    </row>
    <row r="16" spans="1:9" ht="18" x14ac:dyDescent="0.35">
      <c r="A16" s="164" t="s">
        <v>20</v>
      </c>
      <c r="B16" s="165" t="s">
        <v>198</v>
      </c>
      <c r="C16" s="162">
        <f>ROUND(IFERROR(VLOOKUP(A16,'NCLB Title I-A Formula'!$A$13:$G$201,7,FALSE),0),0)</f>
        <v>0</v>
      </c>
      <c r="D16" s="162">
        <f>ROUND(IFERROR(VLOOKUP(A16,'NCLB Title I-C Migrant'!$A$13:$G$201,5,FALSE),0),0)</f>
        <v>0</v>
      </c>
      <c r="E16" s="162">
        <f>ROUND(IFERROR(VLOOKUP(A16,'NCLB Title I-Delinquent'!$A$13:$G$201,5,FALSE),0),0)</f>
        <v>0</v>
      </c>
      <c r="F16" s="162">
        <f>ROUND(IFERROR(VLOOKUP(A16,'NCLB Title II-A Formula'!$A$13:$G$201,7,FALSE),0),0)</f>
        <v>0</v>
      </c>
      <c r="G16" s="162">
        <f>ROUND(IFERROR(VLOOKUP(A16,'NCLB Title III-A '!$A$13:$G$201,7,FALSE),0),0)</f>
        <v>0</v>
      </c>
      <c r="H16" s="162">
        <f>ROUND(IFERROR(VLOOKUP(A16,'NCLB Title III SAI'!$A$13:$G$189,7,FALSE),0),0)</f>
        <v>0</v>
      </c>
      <c r="I16" s="163">
        <f>ROUND(IFERROR(VLOOKUP(A16,'TITLE VI RURAL LI'!$A$13:$G$193,5,FALSE),0),0)</f>
        <v>0</v>
      </c>
    </row>
    <row r="17" spans="1:9" ht="18" x14ac:dyDescent="0.35">
      <c r="A17" s="164" t="s">
        <v>21</v>
      </c>
      <c r="B17" s="165" t="s">
        <v>199</v>
      </c>
      <c r="C17" s="162">
        <f>ROUND(IFERROR(VLOOKUP(A17,'NCLB Title I-A Formula'!$A$13:$G$201,7,FALSE),0),0)</f>
        <v>0</v>
      </c>
      <c r="D17" s="162">
        <f>ROUND(IFERROR(VLOOKUP(A17,'NCLB Title I-C Migrant'!$A$13:$G$201,5,FALSE),0),0)</f>
        <v>0</v>
      </c>
      <c r="E17" s="162">
        <f>ROUND(IFERROR(VLOOKUP(A17,'NCLB Title I-Delinquent'!$A$13:$G$201,5,FALSE),0),0)</f>
        <v>0</v>
      </c>
      <c r="F17" s="162">
        <f>ROUND(IFERROR(VLOOKUP(A17,'NCLB Title II-A Formula'!$A$13:$G$201,7,FALSE),0),0)</f>
        <v>0</v>
      </c>
      <c r="G17" s="162">
        <f>ROUND(IFERROR(VLOOKUP(A17,'NCLB Title III-A '!$A$13:$G$201,7,FALSE),0),0)</f>
        <v>0</v>
      </c>
      <c r="H17" s="162">
        <f>ROUND(IFERROR(VLOOKUP(A17,'NCLB Title III SAI'!$A$13:$G$189,7,FALSE),0),0)</f>
        <v>0</v>
      </c>
      <c r="I17" s="163">
        <f>ROUND(IFERROR(VLOOKUP(A17,'TITLE VI RURAL LI'!$A$13:$G$193,5,FALSE),0),0)</f>
        <v>0</v>
      </c>
    </row>
    <row r="18" spans="1:9" ht="18" x14ac:dyDescent="0.35">
      <c r="A18" s="164" t="s">
        <v>22</v>
      </c>
      <c r="B18" s="165" t="s">
        <v>200</v>
      </c>
      <c r="C18" s="162">
        <f>ROUND(IFERROR(VLOOKUP(A18,'NCLB Title I-A Formula'!$A$13:$G$201,7,FALSE),0),0)</f>
        <v>0</v>
      </c>
      <c r="D18" s="162">
        <f>ROUND(IFERROR(VLOOKUP(A18,'NCLB Title I-C Migrant'!$A$13:$G$201,5,FALSE),0),0)</f>
        <v>20917</v>
      </c>
      <c r="E18" s="162">
        <f>ROUND(IFERROR(VLOOKUP(A18,'NCLB Title I-Delinquent'!$A$13:$G$201,5,FALSE),0),0)</f>
        <v>0</v>
      </c>
      <c r="F18" s="162">
        <f>ROUND(IFERROR(VLOOKUP(A18,'NCLB Title II-A Formula'!$A$13:$G$201,7,FALSE),0),0)</f>
        <v>0</v>
      </c>
      <c r="G18" s="162">
        <f>ROUND(IFERROR(VLOOKUP(A18,'NCLB Title III-A '!$A$13:$G$201,7,FALSE),0),0)</f>
        <v>0</v>
      </c>
      <c r="H18" s="162">
        <f>ROUND(IFERROR(VLOOKUP(A18,'NCLB Title III SAI'!$A$13:$G$189,7,FALSE),0),0)</f>
        <v>0</v>
      </c>
      <c r="I18" s="163">
        <f>ROUND(IFERROR(VLOOKUP(A18,'TITLE VI RURAL LI'!$A$13:$G$193,5,FALSE),0),0)</f>
        <v>0</v>
      </c>
    </row>
    <row r="19" spans="1:9" ht="18" x14ac:dyDescent="0.35">
      <c r="A19" s="164" t="s">
        <v>23</v>
      </c>
      <c r="B19" s="165" t="s">
        <v>201</v>
      </c>
      <c r="C19" s="162">
        <f>ROUND(IFERROR(VLOOKUP(A19,'NCLB Title I-A Formula'!$A$13:$G$201,7,FALSE),0),0)</f>
        <v>0</v>
      </c>
      <c r="D19" s="162">
        <f>ROUND(IFERROR(VLOOKUP(A19,'NCLB Title I-C Migrant'!$A$13:$G$201,5,FALSE),0),0)</f>
        <v>0</v>
      </c>
      <c r="E19" s="162">
        <f>ROUND(IFERROR(VLOOKUP(A19,'NCLB Title I-Delinquent'!$A$13:$G$201,5,FALSE),0),0)</f>
        <v>0</v>
      </c>
      <c r="F19" s="162">
        <f>ROUND(IFERROR(VLOOKUP(A19,'NCLB Title II-A Formula'!$A$13:$G$201,7,FALSE),0),0)</f>
        <v>0</v>
      </c>
      <c r="G19" s="162">
        <f>ROUND(IFERROR(VLOOKUP(A19,'NCLB Title III-A '!$A$13:$G$201,7,FALSE),0),0)</f>
        <v>0</v>
      </c>
      <c r="H19" s="162">
        <f>ROUND(IFERROR(VLOOKUP(A19,'NCLB Title III SAI'!$A$13:$G$189,7,FALSE),0),0)</f>
        <v>0</v>
      </c>
      <c r="I19" s="163">
        <f>ROUND(IFERROR(VLOOKUP(A19,'TITLE VI RURAL LI'!$A$13:$G$193,5,FALSE),0),0)</f>
        <v>0</v>
      </c>
    </row>
    <row r="20" spans="1:9" ht="18" x14ac:dyDescent="0.35">
      <c r="A20" s="164" t="s">
        <v>24</v>
      </c>
      <c r="B20" s="165" t="s">
        <v>202</v>
      </c>
      <c r="C20" s="162">
        <f>ROUND(IFERROR(VLOOKUP(A20,'NCLB Title I-A Formula'!$A$13:$G$201,7,FALSE),0),0)</f>
        <v>0</v>
      </c>
      <c r="D20" s="162">
        <f>ROUND(IFERROR(VLOOKUP(A20,'NCLB Title I-C Migrant'!$A$13:$G$201,5,FALSE),0),0)</f>
        <v>0</v>
      </c>
      <c r="E20" s="162">
        <f>ROUND(IFERROR(VLOOKUP(A20,'NCLB Title I-Delinquent'!$A$13:$G$201,5,FALSE),0),0)</f>
        <v>0</v>
      </c>
      <c r="F20" s="162">
        <f>ROUND(IFERROR(VLOOKUP(A20,'NCLB Title II-A Formula'!$A$13:$G$201,7,FALSE),0),0)</f>
        <v>0</v>
      </c>
      <c r="G20" s="162">
        <f>ROUND(IFERROR(VLOOKUP(A20,'NCLB Title III-A '!$A$13:$G$201,7,FALSE),0),0)</f>
        <v>0</v>
      </c>
      <c r="H20" s="162">
        <f>ROUND(IFERROR(VLOOKUP(A20,'NCLB Title III SAI'!$A$13:$G$189,7,FALSE),0),0)</f>
        <v>0</v>
      </c>
      <c r="I20" s="163">
        <f>ROUND(IFERROR(VLOOKUP(A20,'TITLE VI RURAL LI'!$A$13:$G$193,5,FALSE),0),0)</f>
        <v>0</v>
      </c>
    </row>
    <row r="21" spans="1:9" ht="18" x14ac:dyDescent="0.35">
      <c r="A21" s="164" t="s">
        <v>25</v>
      </c>
      <c r="B21" s="165" t="s">
        <v>203</v>
      </c>
      <c r="C21" s="162">
        <f>ROUND(IFERROR(VLOOKUP(A21,'NCLB Title I-A Formula'!$A$13:$G$201,7,FALSE),0),0)</f>
        <v>0</v>
      </c>
      <c r="D21" s="162">
        <f>ROUND(IFERROR(VLOOKUP(A21,'NCLB Title I-C Migrant'!$A$13:$G$201,5,FALSE),0),0)</f>
        <v>0</v>
      </c>
      <c r="E21" s="162">
        <f>ROUND(IFERROR(VLOOKUP(A21,'NCLB Title I-Delinquent'!$A$13:$G$201,5,FALSE),0),0)</f>
        <v>0</v>
      </c>
      <c r="F21" s="162">
        <f>ROUND(IFERROR(VLOOKUP(A21,'NCLB Title II-A Formula'!$A$13:$G$201,7,FALSE),0),0)</f>
        <v>0</v>
      </c>
      <c r="G21" s="162">
        <f>ROUND(IFERROR(VLOOKUP(A21,'NCLB Title III-A '!$A$13:$G$201,7,FALSE),0),0)</f>
        <v>0</v>
      </c>
      <c r="H21" s="162">
        <f>ROUND(IFERROR(VLOOKUP(A21,'NCLB Title III SAI'!$A$13:$G$189,7,FALSE),0),0)</f>
        <v>0</v>
      </c>
      <c r="I21" s="163">
        <f>ROUND(IFERROR(VLOOKUP(A21,'TITLE VI RURAL LI'!$A$13:$G$193,5,FALSE),0),0)</f>
        <v>0</v>
      </c>
    </row>
    <row r="22" spans="1:9" ht="18" x14ac:dyDescent="0.35">
      <c r="A22" s="164" t="s">
        <v>26</v>
      </c>
      <c r="B22" s="165" t="s">
        <v>204</v>
      </c>
      <c r="C22" s="162">
        <f>ROUND(IFERROR(VLOOKUP(A22,'NCLB Title I-A Formula'!$A$13:$G$201,7,FALSE),0),0)</f>
        <v>0</v>
      </c>
      <c r="D22" s="162">
        <f>ROUND(IFERROR(VLOOKUP(A22,'NCLB Title I-C Migrant'!$A$13:$G$201,5,FALSE),0),0)</f>
        <v>0</v>
      </c>
      <c r="E22" s="162">
        <f>ROUND(IFERROR(VLOOKUP(A22,'NCLB Title I-Delinquent'!$A$13:$G$201,5,FALSE),0),0)</f>
        <v>0</v>
      </c>
      <c r="F22" s="162">
        <f>ROUND(IFERROR(VLOOKUP(A22,'NCLB Title II-A Formula'!$A$13:$G$201,7,FALSE),0),0)</f>
        <v>0</v>
      </c>
      <c r="G22" s="162">
        <f>ROUND(IFERROR(VLOOKUP(A22,'NCLB Title III-A '!$A$13:$G$201,7,FALSE),0),0)</f>
        <v>0</v>
      </c>
      <c r="H22" s="162">
        <f>ROUND(IFERROR(VLOOKUP(A22,'NCLB Title III SAI'!$A$13:$G$189,7,FALSE),0),0)</f>
        <v>0</v>
      </c>
      <c r="I22" s="163">
        <f>ROUND(IFERROR(VLOOKUP(A22,'TITLE VI RURAL LI'!$A$13:$G$193,5,FALSE),0),0)</f>
        <v>0</v>
      </c>
    </row>
    <row r="23" spans="1:9" ht="18" x14ac:dyDescent="0.35">
      <c r="A23" s="164" t="s">
        <v>27</v>
      </c>
      <c r="B23" s="165" t="s">
        <v>205</v>
      </c>
      <c r="C23" s="162">
        <f>ROUND(IFERROR(VLOOKUP(A23,'NCLB Title I-A Formula'!$A$13:$G$201,7,FALSE),0),0)</f>
        <v>0</v>
      </c>
      <c r="D23" s="162">
        <f>ROUND(IFERROR(VLOOKUP(A23,'NCLB Title I-C Migrant'!$A$13:$G$201,5,FALSE),0),0)</f>
        <v>0</v>
      </c>
      <c r="E23" s="162">
        <f>ROUND(IFERROR(VLOOKUP(A23,'NCLB Title I-Delinquent'!$A$13:$G$201,5,FALSE),0),0)</f>
        <v>0</v>
      </c>
      <c r="F23" s="162">
        <f>ROUND(IFERROR(VLOOKUP(A23,'NCLB Title II-A Formula'!$A$13:$G$201,7,FALSE),0),0)</f>
        <v>0</v>
      </c>
      <c r="G23" s="162">
        <f>ROUND(IFERROR(VLOOKUP(A23,'NCLB Title III-A '!$A$13:$G$201,7,FALSE),0),0)</f>
        <v>0</v>
      </c>
      <c r="H23" s="162">
        <f>ROUND(IFERROR(VLOOKUP(A23,'NCLB Title III SAI'!$A$13:$G$189,7,FALSE),0),0)</f>
        <v>0</v>
      </c>
      <c r="I23" s="163">
        <f>ROUND(IFERROR(VLOOKUP(A23,'TITLE VI RURAL LI'!$A$13:$G$193,5,FALSE),0),0)</f>
        <v>0</v>
      </c>
    </row>
    <row r="24" spans="1:9" ht="18" x14ac:dyDescent="0.35">
      <c r="A24" s="164" t="s">
        <v>28</v>
      </c>
      <c r="B24" s="165" t="s">
        <v>206</v>
      </c>
      <c r="C24" s="162">
        <f>ROUND(IFERROR(VLOOKUP(A24,'NCLB Title I-A Formula'!$A$13:$G$201,7,FALSE),0),0)</f>
        <v>0</v>
      </c>
      <c r="D24" s="162">
        <f>ROUND(IFERROR(VLOOKUP(A24,'NCLB Title I-C Migrant'!$A$13:$G$201,5,FALSE),0),0)</f>
        <v>0</v>
      </c>
      <c r="E24" s="162">
        <f>ROUND(IFERROR(VLOOKUP(A24,'NCLB Title I-Delinquent'!$A$13:$G$201,5,FALSE),0),0)</f>
        <v>0</v>
      </c>
      <c r="F24" s="162">
        <f>ROUND(IFERROR(VLOOKUP(A24,'NCLB Title II-A Formula'!$A$13:$G$201,7,FALSE),0),0)</f>
        <v>0</v>
      </c>
      <c r="G24" s="162">
        <f>ROUND(IFERROR(VLOOKUP(A24,'NCLB Title III-A '!$A$13:$G$201,7,FALSE),0),0)</f>
        <v>0</v>
      </c>
      <c r="H24" s="162">
        <f>ROUND(IFERROR(VLOOKUP(A24,'NCLB Title III SAI'!$A$13:$G$189,7,FALSE),0),0)</f>
        <v>0</v>
      </c>
      <c r="I24" s="163">
        <f>ROUND(IFERROR(VLOOKUP(A24,'TITLE VI RURAL LI'!$A$13:$G$193,5,FALSE),0),0)</f>
        <v>0</v>
      </c>
    </row>
    <row r="25" spans="1:9" ht="18" x14ac:dyDescent="0.35">
      <c r="A25" s="164" t="s">
        <v>29</v>
      </c>
      <c r="B25" s="165" t="s">
        <v>207</v>
      </c>
      <c r="C25" s="162">
        <f>ROUND(IFERROR(VLOOKUP(A25,'NCLB Title I-A Formula'!$A$13:$G$201,7,FALSE),0),0)</f>
        <v>-2</v>
      </c>
      <c r="D25" s="162">
        <f>ROUND(IFERROR(VLOOKUP(A25,'NCLB Title I-C Migrant'!$A$13:$G$201,5,FALSE),0),0)</f>
        <v>0</v>
      </c>
      <c r="E25" s="162">
        <f>ROUND(IFERROR(VLOOKUP(A25,'NCLB Title I-Delinquent'!$A$13:$G$201,5,FALSE),0),0)</f>
        <v>0</v>
      </c>
      <c r="F25" s="162">
        <f>ROUND(IFERROR(VLOOKUP(A25,'NCLB Title II-A Formula'!$A$13:$G$201,7,FALSE),0),0)</f>
        <v>0</v>
      </c>
      <c r="G25" s="162">
        <f>ROUND(IFERROR(VLOOKUP(A25,'NCLB Title III-A '!$A$13:$G$201,7,FALSE),0),0)</f>
        <v>0</v>
      </c>
      <c r="H25" s="162">
        <f>ROUND(IFERROR(VLOOKUP(A25,'NCLB Title III SAI'!$A$13:$G$189,7,FALSE),0),0)</f>
        <v>0</v>
      </c>
      <c r="I25" s="163">
        <f>ROUND(IFERROR(VLOOKUP(A25,'TITLE VI RURAL LI'!$A$13:$G$193,5,FALSE),0),0)</f>
        <v>0</v>
      </c>
    </row>
    <row r="26" spans="1:9" ht="18" x14ac:dyDescent="0.35">
      <c r="A26" s="164" t="s">
        <v>30</v>
      </c>
      <c r="B26" s="165" t="s">
        <v>208</v>
      </c>
      <c r="C26" s="162">
        <f>ROUND(IFERROR(VLOOKUP(A26,'NCLB Title I-A Formula'!$A$13:$G$201,7,FALSE),0),0)</f>
        <v>0</v>
      </c>
      <c r="D26" s="162">
        <f>ROUND(IFERROR(VLOOKUP(A26,'NCLB Title I-C Migrant'!$A$13:$G$201,5,FALSE),0),0)</f>
        <v>0</v>
      </c>
      <c r="E26" s="162">
        <f>ROUND(IFERROR(VLOOKUP(A26,'NCLB Title I-Delinquent'!$A$13:$G$201,5,FALSE),0),0)</f>
        <v>0</v>
      </c>
      <c r="F26" s="162">
        <f>ROUND(IFERROR(VLOOKUP(A26,'NCLB Title II-A Formula'!$A$13:$G$201,7,FALSE),0),0)</f>
        <v>0</v>
      </c>
      <c r="G26" s="162">
        <f>ROUND(IFERROR(VLOOKUP(A26,'NCLB Title III-A '!$A$13:$G$201,7,FALSE),0),0)</f>
        <v>0</v>
      </c>
      <c r="H26" s="162">
        <f>ROUND(IFERROR(VLOOKUP(A26,'NCLB Title III SAI'!$A$13:$G$189,7,FALSE),0),0)</f>
        <v>0</v>
      </c>
      <c r="I26" s="163">
        <f>ROUND(IFERROR(VLOOKUP(A26,'TITLE VI RURAL LI'!$A$13:$G$193,5,FALSE),0),0)</f>
        <v>0</v>
      </c>
    </row>
    <row r="27" spans="1:9" ht="18" x14ac:dyDescent="0.35">
      <c r="A27" s="164" t="s">
        <v>31</v>
      </c>
      <c r="B27" s="165" t="s">
        <v>209</v>
      </c>
      <c r="C27" s="162">
        <f>ROUND(IFERROR(VLOOKUP(A27,'NCLB Title I-A Formula'!$A$13:$G$201,7,FALSE),0),0)</f>
        <v>0</v>
      </c>
      <c r="D27" s="162">
        <f>ROUND(IFERROR(VLOOKUP(A27,'NCLB Title I-C Migrant'!$A$13:$G$201,5,FALSE),0),0)</f>
        <v>0</v>
      </c>
      <c r="E27" s="162">
        <f>ROUND(IFERROR(VLOOKUP(A27,'NCLB Title I-Delinquent'!$A$13:$G$201,5,FALSE),0),0)</f>
        <v>0</v>
      </c>
      <c r="F27" s="162">
        <f>ROUND(IFERROR(VLOOKUP(A27,'NCLB Title II-A Formula'!$A$13:$G$201,7,FALSE),0),0)</f>
        <v>0</v>
      </c>
      <c r="G27" s="162">
        <f>ROUND(IFERROR(VLOOKUP(A27,'NCLB Title III-A '!$A$13:$G$201,7,FALSE),0),0)</f>
        <v>0</v>
      </c>
      <c r="H27" s="162">
        <f>ROUND(IFERROR(VLOOKUP(A27,'NCLB Title III SAI'!$A$13:$G$189,7,FALSE),0),0)</f>
        <v>0</v>
      </c>
      <c r="I27" s="163">
        <f>ROUND(IFERROR(VLOOKUP(A27,'TITLE VI RURAL LI'!$A$13:$G$193,5,FALSE),0),0)</f>
        <v>0</v>
      </c>
    </row>
    <row r="28" spans="1:9" ht="18" x14ac:dyDescent="0.35">
      <c r="A28" s="164" t="s">
        <v>32</v>
      </c>
      <c r="B28" s="165" t="s">
        <v>210</v>
      </c>
      <c r="C28" s="162">
        <f>ROUND(IFERROR(VLOOKUP(A28,'NCLB Title I-A Formula'!$A$13:$G$201,7,FALSE),0),0)</f>
        <v>0</v>
      </c>
      <c r="D28" s="162">
        <f>ROUND(IFERROR(VLOOKUP(A28,'NCLB Title I-C Migrant'!$A$13:$G$201,5,FALSE),0),0)</f>
        <v>0</v>
      </c>
      <c r="E28" s="162">
        <f>ROUND(IFERROR(VLOOKUP(A28,'NCLB Title I-Delinquent'!$A$13:$G$201,5,FALSE),0),0)</f>
        <v>0</v>
      </c>
      <c r="F28" s="162">
        <f>ROUND(IFERROR(VLOOKUP(A28,'NCLB Title II-A Formula'!$A$13:$G$201,7,FALSE),0),0)</f>
        <v>0</v>
      </c>
      <c r="G28" s="162">
        <f>ROUND(IFERROR(VLOOKUP(A28,'NCLB Title III-A '!$A$13:$G$201,7,FALSE),0),0)</f>
        <v>0</v>
      </c>
      <c r="H28" s="162">
        <f>ROUND(IFERROR(VLOOKUP(A28,'NCLB Title III SAI'!$A$13:$G$189,7,FALSE),0),0)</f>
        <v>0</v>
      </c>
      <c r="I28" s="163">
        <f>ROUND(IFERROR(VLOOKUP(A28,'TITLE VI RURAL LI'!$A$13:$G$193,5,FALSE),0),0)</f>
        <v>0</v>
      </c>
    </row>
    <row r="29" spans="1:9" ht="18" x14ac:dyDescent="0.35">
      <c r="A29" s="164" t="s">
        <v>33</v>
      </c>
      <c r="B29" s="165" t="s">
        <v>211</v>
      </c>
      <c r="C29" s="162">
        <f>ROUND(IFERROR(VLOOKUP(A29,'NCLB Title I-A Formula'!$A$13:$G$201,7,FALSE),0),0)</f>
        <v>0</v>
      </c>
      <c r="D29" s="162">
        <f>ROUND(IFERROR(VLOOKUP(A29,'NCLB Title I-C Migrant'!$A$13:$G$201,5,FALSE),0),0)</f>
        <v>0</v>
      </c>
      <c r="E29" s="162">
        <f>ROUND(IFERROR(VLOOKUP(A29,'NCLB Title I-Delinquent'!$A$13:$G$201,5,FALSE),0),0)</f>
        <v>0</v>
      </c>
      <c r="F29" s="162">
        <f>ROUND(IFERROR(VLOOKUP(A29,'NCLB Title II-A Formula'!$A$13:$G$201,7,FALSE),0),0)</f>
        <v>0</v>
      </c>
      <c r="G29" s="162">
        <f>ROUND(IFERROR(VLOOKUP(A29,'NCLB Title III-A '!$A$13:$G$201,7,FALSE),0),0)</f>
        <v>0</v>
      </c>
      <c r="H29" s="162">
        <f>ROUND(IFERROR(VLOOKUP(A29,'NCLB Title III SAI'!$A$13:$G$189,7,FALSE),0),0)</f>
        <v>0</v>
      </c>
      <c r="I29" s="163">
        <f>ROUND(IFERROR(VLOOKUP(A29,'TITLE VI RURAL LI'!$A$13:$G$193,5,FALSE),0),0)</f>
        <v>0</v>
      </c>
    </row>
    <row r="30" spans="1:9" ht="18" x14ac:dyDescent="0.35">
      <c r="A30" s="164" t="s">
        <v>34</v>
      </c>
      <c r="B30" s="165" t="s">
        <v>212</v>
      </c>
      <c r="C30" s="162">
        <f>ROUND(IFERROR(VLOOKUP(A30,'NCLB Title I-A Formula'!$A$13:$G$201,7,FALSE),0),0)</f>
        <v>0</v>
      </c>
      <c r="D30" s="162">
        <f>ROUND(IFERROR(VLOOKUP(A30,'NCLB Title I-C Migrant'!$A$13:$G$201,5,FALSE),0),0)</f>
        <v>0</v>
      </c>
      <c r="E30" s="162">
        <f>ROUND(IFERROR(VLOOKUP(A30,'NCLB Title I-Delinquent'!$A$13:$G$201,5,FALSE),0),0)</f>
        <v>0</v>
      </c>
      <c r="F30" s="162">
        <f>ROUND(IFERROR(VLOOKUP(A30,'NCLB Title II-A Formula'!$A$13:$G$201,7,FALSE),0),0)</f>
        <v>0</v>
      </c>
      <c r="G30" s="162">
        <f>ROUND(IFERROR(VLOOKUP(A30,'NCLB Title III-A '!$A$13:$G$201,7,FALSE),0),0)</f>
        <v>0</v>
      </c>
      <c r="H30" s="162">
        <f>ROUND(IFERROR(VLOOKUP(A30,'NCLB Title III SAI'!$A$13:$G$189,7,FALSE),0),0)</f>
        <v>0</v>
      </c>
      <c r="I30" s="163">
        <f>ROUND(IFERROR(VLOOKUP(A30,'TITLE VI RURAL LI'!$A$13:$G$193,5,FALSE),0),0)</f>
        <v>0</v>
      </c>
    </row>
    <row r="31" spans="1:9" ht="18" x14ac:dyDescent="0.35">
      <c r="A31" s="164" t="s">
        <v>35</v>
      </c>
      <c r="B31" s="165" t="s">
        <v>213</v>
      </c>
      <c r="C31" s="162">
        <f>ROUND(IFERROR(VLOOKUP(A31,'NCLB Title I-A Formula'!$A$13:$G$201,7,FALSE),0),0)</f>
        <v>0</v>
      </c>
      <c r="D31" s="162">
        <f>ROUND(IFERROR(VLOOKUP(A31,'NCLB Title I-C Migrant'!$A$13:$G$201,5,FALSE),0),0)</f>
        <v>0</v>
      </c>
      <c r="E31" s="162">
        <f>ROUND(IFERROR(VLOOKUP(A31,'NCLB Title I-Delinquent'!$A$13:$G$201,5,FALSE),0),0)</f>
        <v>0</v>
      </c>
      <c r="F31" s="162">
        <f>ROUND(IFERROR(VLOOKUP(A31,'NCLB Title II-A Formula'!$A$13:$G$201,7,FALSE),0),0)</f>
        <v>0</v>
      </c>
      <c r="G31" s="162">
        <f>ROUND(IFERROR(VLOOKUP(A31,'NCLB Title III-A '!$A$13:$G$201,7,FALSE),0),0)</f>
        <v>0</v>
      </c>
      <c r="H31" s="162">
        <f>ROUND(IFERROR(VLOOKUP(A31,'NCLB Title III SAI'!$A$13:$G$189,7,FALSE),0),0)</f>
        <v>0</v>
      </c>
      <c r="I31" s="163">
        <f>ROUND(IFERROR(VLOOKUP(A31,'TITLE VI RURAL LI'!$A$13:$G$193,5,FALSE),0),0)</f>
        <v>0</v>
      </c>
    </row>
    <row r="32" spans="1:9" ht="18" x14ac:dyDescent="0.35">
      <c r="A32" s="164" t="s">
        <v>36</v>
      </c>
      <c r="B32" s="165" t="s">
        <v>214</v>
      </c>
      <c r="C32" s="162">
        <f>ROUND(IFERROR(VLOOKUP(A32,'NCLB Title I-A Formula'!$A$13:$G$201,7,FALSE),0),0)</f>
        <v>0</v>
      </c>
      <c r="D32" s="162">
        <f>ROUND(IFERROR(VLOOKUP(A32,'NCLB Title I-C Migrant'!$A$13:$G$201,5,FALSE),0),0)</f>
        <v>0</v>
      </c>
      <c r="E32" s="162">
        <f>ROUND(IFERROR(VLOOKUP(A32,'NCLB Title I-Delinquent'!$A$13:$G$201,5,FALSE),0),0)</f>
        <v>0</v>
      </c>
      <c r="F32" s="162">
        <f>ROUND(IFERROR(VLOOKUP(A32,'NCLB Title II-A Formula'!$A$13:$G$201,7,FALSE),0),0)</f>
        <v>0</v>
      </c>
      <c r="G32" s="162">
        <f>ROUND(IFERROR(VLOOKUP(A32,'NCLB Title III-A '!$A$13:$G$201,7,FALSE),0),0)</f>
        <v>0</v>
      </c>
      <c r="H32" s="162">
        <f>ROUND(IFERROR(VLOOKUP(A32,'NCLB Title III SAI'!$A$13:$G$189,7,FALSE),0),0)</f>
        <v>0</v>
      </c>
      <c r="I32" s="163">
        <f>ROUND(IFERROR(VLOOKUP(A32,'TITLE VI RURAL LI'!$A$13:$G$193,5,FALSE),0),0)</f>
        <v>0</v>
      </c>
    </row>
    <row r="33" spans="1:9" ht="18" x14ac:dyDescent="0.35">
      <c r="A33" s="164" t="s">
        <v>37</v>
      </c>
      <c r="B33" s="165" t="s">
        <v>215</v>
      </c>
      <c r="C33" s="162">
        <f>ROUND(IFERROR(VLOOKUP(A33,'NCLB Title I-A Formula'!$A$13:$G$201,7,FALSE),0),0)</f>
        <v>0</v>
      </c>
      <c r="D33" s="162">
        <f>ROUND(IFERROR(VLOOKUP(A33,'NCLB Title I-C Migrant'!$A$13:$G$201,5,FALSE),0),0)</f>
        <v>0</v>
      </c>
      <c r="E33" s="162">
        <f>ROUND(IFERROR(VLOOKUP(A33,'NCLB Title I-Delinquent'!$A$13:$G$201,5,FALSE),0),0)</f>
        <v>0</v>
      </c>
      <c r="F33" s="162">
        <f>ROUND(IFERROR(VLOOKUP(A33,'NCLB Title II-A Formula'!$A$13:$G$201,7,FALSE),0),0)</f>
        <v>0</v>
      </c>
      <c r="G33" s="162">
        <f>ROUND(IFERROR(VLOOKUP(A33,'NCLB Title III-A '!$A$13:$G$201,7,FALSE),0),0)</f>
        <v>0</v>
      </c>
      <c r="H33" s="162">
        <f>ROUND(IFERROR(VLOOKUP(A33,'NCLB Title III SAI'!$A$13:$G$189,7,FALSE),0),0)</f>
        <v>0</v>
      </c>
      <c r="I33" s="163">
        <f>ROUND(IFERROR(VLOOKUP(A33,'TITLE VI RURAL LI'!$A$13:$G$193,5,FALSE),0),0)</f>
        <v>0</v>
      </c>
    </row>
    <row r="34" spans="1:9" ht="18" x14ac:dyDescent="0.35">
      <c r="A34" s="164" t="s">
        <v>38</v>
      </c>
      <c r="B34" s="165" t="s">
        <v>216</v>
      </c>
      <c r="C34" s="162">
        <f>ROUND(IFERROR(VLOOKUP(A34,'NCLB Title I-A Formula'!$A$13:$G$201,7,FALSE),0),0)</f>
        <v>0</v>
      </c>
      <c r="D34" s="162">
        <f>ROUND(IFERROR(VLOOKUP(A34,'NCLB Title I-C Migrant'!$A$13:$G$201,5,FALSE),0),0)</f>
        <v>0</v>
      </c>
      <c r="E34" s="162">
        <f>ROUND(IFERROR(VLOOKUP(A34,'NCLB Title I-Delinquent'!$A$13:$G$201,5,FALSE),0),0)</f>
        <v>0</v>
      </c>
      <c r="F34" s="162">
        <f>ROUND(IFERROR(VLOOKUP(A34,'NCLB Title II-A Formula'!$A$13:$G$201,7,FALSE),0),0)</f>
        <v>0</v>
      </c>
      <c r="G34" s="162">
        <f>ROUND(IFERROR(VLOOKUP(A34,'NCLB Title III-A '!$A$13:$G$201,7,FALSE),0),0)</f>
        <v>0</v>
      </c>
      <c r="H34" s="162">
        <f>ROUND(IFERROR(VLOOKUP(A34,'NCLB Title III SAI'!$A$13:$G$189,7,FALSE),0),0)</f>
        <v>0</v>
      </c>
      <c r="I34" s="163">
        <f>ROUND(IFERROR(VLOOKUP(A34,'TITLE VI RURAL LI'!$A$13:$G$193,5,FALSE),0),0)</f>
        <v>0</v>
      </c>
    </row>
    <row r="35" spans="1:9" ht="18" x14ac:dyDescent="0.35">
      <c r="A35" s="164" t="s">
        <v>39</v>
      </c>
      <c r="B35" s="165" t="s">
        <v>217</v>
      </c>
      <c r="C35" s="162">
        <f>ROUND(IFERROR(VLOOKUP(A35,'NCLB Title I-A Formula'!$A$13:$G$201,7,FALSE),0),0)</f>
        <v>0</v>
      </c>
      <c r="D35" s="162">
        <f>ROUND(IFERROR(VLOOKUP(A35,'NCLB Title I-C Migrant'!$A$13:$G$201,5,FALSE),0),0)</f>
        <v>0</v>
      </c>
      <c r="E35" s="162">
        <f>ROUND(IFERROR(VLOOKUP(A35,'NCLB Title I-Delinquent'!$A$13:$G$201,5,FALSE),0),0)</f>
        <v>0</v>
      </c>
      <c r="F35" s="162">
        <f>ROUND(IFERROR(VLOOKUP(A35,'NCLB Title II-A Formula'!$A$13:$G$201,7,FALSE),0),0)</f>
        <v>0</v>
      </c>
      <c r="G35" s="162">
        <f>ROUND(IFERROR(VLOOKUP(A35,'NCLB Title III-A '!$A$13:$G$201,7,FALSE),0),0)</f>
        <v>0</v>
      </c>
      <c r="H35" s="162">
        <f>ROUND(IFERROR(VLOOKUP(A35,'NCLB Title III SAI'!$A$13:$G$189,7,FALSE),0),0)</f>
        <v>0</v>
      </c>
      <c r="I35" s="163">
        <f>ROUND(IFERROR(VLOOKUP(A35,'TITLE VI RURAL LI'!$A$13:$G$193,5,FALSE),0),0)</f>
        <v>0</v>
      </c>
    </row>
    <row r="36" spans="1:9" ht="18" x14ac:dyDescent="0.35">
      <c r="A36" s="164" t="s">
        <v>40</v>
      </c>
      <c r="B36" s="165" t="s">
        <v>218</v>
      </c>
      <c r="C36" s="162">
        <f>ROUND(IFERROR(VLOOKUP(A36,'NCLB Title I-A Formula'!$A$13:$G$201,7,FALSE),0),0)</f>
        <v>0</v>
      </c>
      <c r="D36" s="162">
        <f>ROUND(IFERROR(VLOOKUP(A36,'NCLB Title I-C Migrant'!$A$13:$G$201,5,FALSE),0),0)</f>
        <v>0</v>
      </c>
      <c r="E36" s="162">
        <f>ROUND(IFERROR(VLOOKUP(A36,'NCLB Title I-Delinquent'!$A$13:$G$201,5,FALSE),0),0)</f>
        <v>0</v>
      </c>
      <c r="F36" s="162">
        <f>ROUND(IFERROR(VLOOKUP(A36,'NCLB Title II-A Formula'!$A$13:$G$201,7,FALSE),0),0)</f>
        <v>0</v>
      </c>
      <c r="G36" s="162">
        <f>ROUND(IFERROR(VLOOKUP(A36,'NCLB Title III-A '!$A$13:$G$201,7,FALSE),0),0)</f>
        <v>0</v>
      </c>
      <c r="H36" s="162">
        <f>ROUND(IFERROR(VLOOKUP(A36,'NCLB Title III SAI'!$A$13:$G$189,7,FALSE),0),0)</f>
        <v>0</v>
      </c>
      <c r="I36" s="163">
        <f>ROUND(IFERROR(VLOOKUP(A36,'TITLE VI RURAL LI'!$A$13:$G$193,5,FALSE),0),0)</f>
        <v>0</v>
      </c>
    </row>
    <row r="37" spans="1:9" ht="18" x14ac:dyDescent="0.35">
      <c r="A37" s="164" t="s">
        <v>41</v>
      </c>
      <c r="B37" s="165" t="s">
        <v>219</v>
      </c>
      <c r="C37" s="162">
        <f>ROUND(IFERROR(VLOOKUP(A37,'NCLB Title I-A Formula'!$A$13:$G$201,7,FALSE),0),0)</f>
        <v>0</v>
      </c>
      <c r="D37" s="162">
        <f>ROUND(IFERROR(VLOOKUP(A37,'NCLB Title I-C Migrant'!$A$13:$G$201,5,FALSE),0),0)</f>
        <v>0</v>
      </c>
      <c r="E37" s="162">
        <f>ROUND(IFERROR(VLOOKUP(A37,'NCLB Title I-Delinquent'!$A$13:$G$201,5,FALSE),0),0)</f>
        <v>0</v>
      </c>
      <c r="F37" s="162">
        <f>ROUND(IFERROR(VLOOKUP(A37,'NCLB Title II-A Formula'!$A$13:$G$201,7,FALSE),0),0)</f>
        <v>2545</v>
      </c>
      <c r="G37" s="162">
        <f>ROUND(IFERROR(VLOOKUP(A37,'NCLB Title III-A '!$A$13:$G$201,7,FALSE),0),0)</f>
        <v>0</v>
      </c>
      <c r="H37" s="162">
        <f>ROUND(IFERROR(VLOOKUP(A37,'NCLB Title III SAI'!$A$13:$G$189,7,FALSE),0),0)</f>
        <v>0</v>
      </c>
      <c r="I37" s="163">
        <f>ROUND(IFERROR(VLOOKUP(A37,'TITLE VI RURAL LI'!$A$13:$G$193,5,FALSE),0),0)</f>
        <v>0</v>
      </c>
    </row>
    <row r="38" spans="1:9" ht="18" x14ac:dyDescent="0.35">
      <c r="A38" s="164" t="s">
        <v>42</v>
      </c>
      <c r="B38" s="165" t="s">
        <v>220</v>
      </c>
      <c r="C38" s="162">
        <f>ROUND(IFERROR(VLOOKUP(A38,'NCLB Title I-A Formula'!$A$13:$G$201,7,FALSE),0),0)</f>
        <v>0</v>
      </c>
      <c r="D38" s="162">
        <f>ROUND(IFERROR(VLOOKUP(A38,'NCLB Title I-C Migrant'!$A$13:$G$201,5,FALSE),0),0)</f>
        <v>0</v>
      </c>
      <c r="E38" s="162">
        <f>ROUND(IFERROR(VLOOKUP(A38,'NCLB Title I-Delinquent'!$A$13:$G$201,5,FALSE),0),0)</f>
        <v>0</v>
      </c>
      <c r="F38" s="162">
        <f>ROUND(IFERROR(VLOOKUP(A38,'NCLB Title II-A Formula'!$A$13:$G$201,7,FALSE),0),0)</f>
        <v>12828</v>
      </c>
      <c r="G38" s="162">
        <f>ROUND(IFERROR(VLOOKUP(A38,'NCLB Title III-A '!$A$13:$G$201,7,FALSE),0),0)</f>
        <v>0</v>
      </c>
      <c r="H38" s="162">
        <f>ROUND(IFERROR(VLOOKUP(A38,'NCLB Title III SAI'!$A$13:$G$189,7,FALSE),0),0)</f>
        <v>0</v>
      </c>
      <c r="I38" s="163">
        <f>ROUND(IFERROR(VLOOKUP(A38,'TITLE VI RURAL LI'!$A$13:$G$193,5,FALSE),0),0)</f>
        <v>0</v>
      </c>
    </row>
    <row r="39" spans="1:9" ht="18" x14ac:dyDescent="0.35">
      <c r="A39" s="164" t="s">
        <v>43</v>
      </c>
      <c r="B39" s="165" t="s">
        <v>221</v>
      </c>
      <c r="C39" s="162">
        <f>ROUND(IFERROR(VLOOKUP(A39,'NCLB Title I-A Formula'!$A$13:$G$201,7,FALSE),0),0)</f>
        <v>0</v>
      </c>
      <c r="D39" s="162">
        <f>ROUND(IFERROR(VLOOKUP(A39,'NCLB Title I-C Migrant'!$A$13:$G$201,5,FALSE),0),0)</f>
        <v>0</v>
      </c>
      <c r="E39" s="162">
        <f>ROUND(IFERROR(VLOOKUP(A39,'NCLB Title I-Delinquent'!$A$13:$G$201,5,FALSE),0),0)</f>
        <v>0</v>
      </c>
      <c r="F39" s="162">
        <f>ROUND(IFERROR(VLOOKUP(A39,'NCLB Title II-A Formula'!$A$13:$G$201,7,FALSE),0),0)</f>
        <v>0</v>
      </c>
      <c r="G39" s="162">
        <f>ROUND(IFERROR(VLOOKUP(A39,'NCLB Title III-A '!$A$13:$G$201,7,FALSE),0),0)</f>
        <v>0</v>
      </c>
      <c r="H39" s="162">
        <f>ROUND(IFERROR(VLOOKUP(A39,'NCLB Title III SAI'!$A$13:$G$189,7,FALSE),0),0)</f>
        <v>0</v>
      </c>
      <c r="I39" s="163">
        <f>ROUND(IFERROR(VLOOKUP(A39,'TITLE VI RURAL LI'!$A$13:$G$193,5,FALSE),0),0)</f>
        <v>0</v>
      </c>
    </row>
    <row r="40" spans="1:9" ht="18" x14ac:dyDescent="0.35">
      <c r="A40" s="164" t="s">
        <v>44</v>
      </c>
      <c r="B40" s="165" t="s">
        <v>222</v>
      </c>
      <c r="C40" s="162">
        <f>ROUND(IFERROR(VLOOKUP(A40,'NCLB Title I-A Formula'!$A$13:$G$201,7,FALSE),0),0)</f>
        <v>0</v>
      </c>
      <c r="D40" s="162">
        <f>ROUND(IFERROR(VLOOKUP(A40,'NCLB Title I-C Migrant'!$A$13:$G$201,5,FALSE),0),0)</f>
        <v>0</v>
      </c>
      <c r="E40" s="162">
        <f>ROUND(IFERROR(VLOOKUP(A40,'NCLB Title I-Delinquent'!$A$13:$G$201,5,FALSE),0),0)</f>
        <v>0</v>
      </c>
      <c r="F40" s="162">
        <f>ROUND(IFERROR(VLOOKUP(A40,'NCLB Title II-A Formula'!$A$13:$G$201,7,FALSE),0),0)</f>
        <v>0</v>
      </c>
      <c r="G40" s="162">
        <f>ROUND(IFERROR(VLOOKUP(A40,'NCLB Title III-A '!$A$13:$G$201,7,FALSE),0),0)</f>
        <v>0</v>
      </c>
      <c r="H40" s="162">
        <f>ROUND(IFERROR(VLOOKUP(A40,'NCLB Title III SAI'!$A$13:$G$189,7,FALSE),0),0)</f>
        <v>0</v>
      </c>
      <c r="I40" s="163">
        <f>ROUND(IFERROR(VLOOKUP(A40,'TITLE VI RURAL LI'!$A$13:$G$193,5,FALSE),0),0)</f>
        <v>0</v>
      </c>
    </row>
    <row r="41" spans="1:9" ht="18" x14ac:dyDescent="0.35">
      <c r="A41" s="164" t="s">
        <v>45</v>
      </c>
      <c r="B41" s="165" t="s">
        <v>223</v>
      </c>
      <c r="C41" s="162">
        <f>ROUND(IFERROR(VLOOKUP(A41,'NCLB Title I-A Formula'!$A$13:$G$201,7,FALSE),0),0)</f>
        <v>0</v>
      </c>
      <c r="D41" s="162">
        <f>ROUND(IFERROR(VLOOKUP(A41,'NCLB Title I-C Migrant'!$A$13:$G$201,5,FALSE),0),0)</f>
        <v>0</v>
      </c>
      <c r="E41" s="162">
        <f>ROUND(IFERROR(VLOOKUP(A41,'NCLB Title I-Delinquent'!$A$13:$G$201,5,FALSE),0),0)</f>
        <v>0</v>
      </c>
      <c r="F41" s="162">
        <f>ROUND(IFERROR(VLOOKUP(A41,'NCLB Title II-A Formula'!$A$13:$G$201,7,FALSE),0),0)</f>
        <v>0</v>
      </c>
      <c r="G41" s="162">
        <f>ROUND(IFERROR(VLOOKUP(A41,'NCLB Title III-A '!$A$13:$G$201,7,FALSE),0),0)</f>
        <v>0</v>
      </c>
      <c r="H41" s="162">
        <f>ROUND(IFERROR(VLOOKUP(A41,'NCLB Title III SAI'!$A$13:$G$189,7,FALSE),0),0)</f>
        <v>0</v>
      </c>
      <c r="I41" s="163">
        <f>ROUND(IFERROR(VLOOKUP(A41,'TITLE VI RURAL LI'!$A$13:$G$193,5,FALSE),0),0)</f>
        <v>0</v>
      </c>
    </row>
    <row r="42" spans="1:9" ht="18" x14ac:dyDescent="0.35">
      <c r="A42" s="164" t="s">
        <v>46</v>
      </c>
      <c r="B42" s="165" t="s">
        <v>224</v>
      </c>
      <c r="C42" s="162">
        <f>ROUND(IFERROR(VLOOKUP(A42,'NCLB Title I-A Formula'!$A$13:$G$201,7,FALSE),0),0)</f>
        <v>0</v>
      </c>
      <c r="D42" s="162">
        <f>ROUND(IFERROR(VLOOKUP(A42,'NCLB Title I-C Migrant'!$A$13:$G$201,5,FALSE),0),0)</f>
        <v>0</v>
      </c>
      <c r="E42" s="162">
        <f>ROUND(IFERROR(VLOOKUP(A42,'NCLB Title I-Delinquent'!$A$13:$G$201,5,FALSE),0),0)</f>
        <v>0</v>
      </c>
      <c r="F42" s="162">
        <f>ROUND(IFERROR(VLOOKUP(A42,'NCLB Title II-A Formula'!$A$13:$G$201,7,FALSE),0),0)</f>
        <v>0</v>
      </c>
      <c r="G42" s="162">
        <f>ROUND(IFERROR(VLOOKUP(A42,'NCLB Title III-A '!$A$13:$G$201,7,FALSE),0),0)</f>
        <v>0</v>
      </c>
      <c r="H42" s="162">
        <f>ROUND(IFERROR(VLOOKUP(A42,'NCLB Title III SAI'!$A$13:$G$189,7,FALSE),0),0)</f>
        <v>0</v>
      </c>
      <c r="I42" s="163">
        <f>ROUND(IFERROR(VLOOKUP(A42,'TITLE VI RURAL LI'!$A$13:$G$193,5,FALSE),0),0)</f>
        <v>21778</v>
      </c>
    </row>
    <row r="43" spans="1:9" ht="18" x14ac:dyDescent="0.35">
      <c r="A43" s="164" t="s">
        <v>47</v>
      </c>
      <c r="B43" s="165" t="s">
        <v>225</v>
      </c>
      <c r="C43" s="162">
        <f>ROUND(IFERROR(VLOOKUP(A43,'NCLB Title I-A Formula'!$A$13:$G$201,7,FALSE),0),0)</f>
        <v>0</v>
      </c>
      <c r="D43" s="162">
        <f>ROUND(IFERROR(VLOOKUP(A43,'NCLB Title I-C Migrant'!$A$13:$G$201,5,FALSE),0),0)</f>
        <v>0</v>
      </c>
      <c r="E43" s="162">
        <f>ROUND(IFERROR(VLOOKUP(A43,'NCLB Title I-Delinquent'!$A$13:$G$201,5,FALSE),0),0)</f>
        <v>0</v>
      </c>
      <c r="F43" s="162">
        <f>ROUND(IFERROR(VLOOKUP(A43,'NCLB Title II-A Formula'!$A$13:$G$201,7,FALSE),0),0)</f>
        <v>0</v>
      </c>
      <c r="G43" s="162">
        <f>ROUND(IFERROR(VLOOKUP(A43,'NCLB Title III-A '!$A$13:$G$201,7,FALSE),0),0)</f>
        <v>0</v>
      </c>
      <c r="H43" s="162">
        <f>ROUND(IFERROR(VLOOKUP(A43,'NCLB Title III SAI'!$A$13:$G$189,7,FALSE),0),0)</f>
        <v>0</v>
      </c>
      <c r="I43" s="163">
        <f>ROUND(IFERROR(VLOOKUP(A43,'TITLE VI RURAL LI'!$A$13:$G$193,5,FALSE),0),0)</f>
        <v>0</v>
      </c>
    </row>
    <row r="44" spans="1:9" ht="18" x14ac:dyDescent="0.35">
      <c r="A44" s="164" t="s">
        <v>48</v>
      </c>
      <c r="B44" s="165" t="s">
        <v>226</v>
      </c>
      <c r="C44" s="162">
        <f>ROUND(IFERROR(VLOOKUP(A44,'NCLB Title I-A Formula'!$A$13:$G$201,7,FALSE),0),0)</f>
        <v>0</v>
      </c>
      <c r="D44" s="162">
        <f>ROUND(IFERROR(VLOOKUP(A44,'NCLB Title I-C Migrant'!$A$13:$G$201,5,FALSE),0),0)</f>
        <v>0</v>
      </c>
      <c r="E44" s="162">
        <f>ROUND(IFERROR(VLOOKUP(A44,'NCLB Title I-Delinquent'!$A$13:$G$201,5,FALSE),0),0)</f>
        <v>0</v>
      </c>
      <c r="F44" s="162">
        <f>ROUND(IFERROR(VLOOKUP(A44,'NCLB Title II-A Formula'!$A$13:$G$201,7,FALSE),0),0)</f>
        <v>0</v>
      </c>
      <c r="G44" s="162">
        <f>ROUND(IFERROR(VLOOKUP(A44,'NCLB Title III-A '!$A$13:$G$201,7,FALSE),0),0)</f>
        <v>0</v>
      </c>
      <c r="H44" s="162">
        <f>ROUND(IFERROR(VLOOKUP(A44,'NCLB Title III SAI'!$A$13:$G$189,7,FALSE),0),0)</f>
        <v>0</v>
      </c>
      <c r="I44" s="163">
        <f>ROUND(IFERROR(VLOOKUP(A44,'TITLE VI RURAL LI'!$A$13:$G$193,5,FALSE),0),0)</f>
        <v>0</v>
      </c>
    </row>
    <row r="45" spans="1:9" ht="18" x14ac:dyDescent="0.35">
      <c r="A45" s="164" t="s">
        <v>49</v>
      </c>
      <c r="B45" s="165" t="s">
        <v>227</v>
      </c>
      <c r="C45" s="162">
        <f>ROUND(IFERROR(VLOOKUP(A45,'NCLB Title I-A Formula'!$A$13:$G$201,7,FALSE),0),0)</f>
        <v>0</v>
      </c>
      <c r="D45" s="162">
        <f>ROUND(IFERROR(VLOOKUP(A45,'NCLB Title I-C Migrant'!$A$13:$G$201,5,FALSE),0),0)</f>
        <v>0</v>
      </c>
      <c r="E45" s="162">
        <f>ROUND(IFERROR(VLOOKUP(A45,'NCLB Title I-Delinquent'!$A$13:$G$201,5,FALSE),0),0)</f>
        <v>0</v>
      </c>
      <c r="F45" s="162">
        <f>ROUND(IFERROR(VLOOKUP(A45,'NCLB Title II-A Formula'!$A$13:$G$201,7,FALSE),0),0)</f>
        <v>0</v>
      </c>
      <c r="G45" s="162">
        <f>ROUND(IFERROR(VLOOKUP(A45,'NCLB Title III-A '!$A$13:$G$201,7,FALSE),0),0)</f>
        <v>0</v>
      </c>
      <c r="H45" s="162">
        <f>ROUND(IFERROR(VLOOKUP(A45,'NCLB Title III SAI'!$A$13:$G$189,7,FALSE),0),0)</f>
        <v>0</v>
      </c>
      <c r="I45" s="163">
        <f>ROUND(IFERROR(VLOOKUP(A45,'TITLE VI RURAL LI'!$A$13:$G$193,5,FALSE),0),0)</f>
        <v>0</v>
      </c>
    </row>
    <row r="46" spans="1:9" ht="18" x14ac:dyDescent="0.35">
      <c r="A46" s="164" t="s">
        <v>50</v>
      </c>
      <c r="B46" s="165" t="s">
        <v>228</v>
      </c>
      <c r="C46" s="162">
        <f>ROUND(IFERROR(VLOOKUP(A46,'NCLB Title I-A Formula'!$A$13:$G$201,7,FALSE),0),0)</f>
        <v>0</v>
      </c>
      <c r="D46" s="162">
        <f>ROUND(IFERROR(VLOOKUP(A46,'NCLB Title I-C Migrant'!$A$13:$G$201,5,FALSE),0),0)</f>
        <v>0</v>
      </c>
      <c r="E46" s="162">
        <f>ROUND(IFERROR(VLOOKUP(A46,'NCLB Title I-Delinquent'!$A$13:$G$201,5,FALSE),0),0)</f>
        <v>0</v>
      </c>
      <c r="F46" s="162">
        <f>ROUND(IFERROR(VLOOKUP(A46,'NCLB Title II-A Formula'!$A$13:$G$201,7,FALSE),0),0)</f>
        <v>0</v>
      </c>
      <c r="G46" s="162">
        <f>ROUND(IFERROR(VLOOKUP(A46,'NCLB Title III-A '!$A$13:$G$201,7,FALSE),0),0)</f>
        <v>0</v>
      </c>
      <c r="H46" s="162">
        <f>ROUND(IFERROR(VLOOKUP(A46,'NCLB Title III SAI'!$A$13:$G$189,7,FALSE),0),0)</f>
        <v>0</v>
      </c>
      <c r="I46" s="163">
        <f>ROUND(IFERROR(VLOOKUP(A46,'TITLE VI RURAL LI'!$A$13:$G$193,5,FALSE),0),0)</f>
        <v>0</v>
      </c>
    </row>
    <row r="47" spans="1:9" ht="18" x14ac:dyDescent="0.35">
      <c r="A47" s="164" t="s">
        <v>51</v>
      </c>
      <c r="B47" s="165" t="s">
        <v>229</v>
      </c>
      <c r="C47" s="162">
        <f>ROUND(IFERROR(VLOOKUP(A47,'NCLB Title I-A Formula'!$A$13:$G$201,7,FALSE),0),0)</f>
        <v>0</v>
      </c>
      <c r="D47" s="162">
        <f>ROUND(IFERROR(VLOOKUP(A47,'NCLB Title I-C Migrant'!$A$13:$G$201,5,FALSE),0),0)</f>
        <v>0</v>
      </c>
      <c r="E47" s="162">
        <f>ROUND(IFERROR(VLOOKUP(A47,'NCLB Title I-Delinquent'!$A$13:$G$201,5,FALSE),0),0)</f>
        <v>0</v>
      </c>
      <c r="F47" s="162">
        <f>ROUND(IFERROR(VLOOKUP(A47,'NCLB Title II-A Formula'!$A$13:$G$201,7,FALSE),0),0)</f>
        <v>0</v>
      </c>
      <c r="G47" s="162">
        <f>ROUND(IFERROR(VLOOKUP(A47,'NCLB Title III-A '!$A$13:$G$201,7,FALSE),0),0)</f>
        <v>0</v>
      </c>
      <c r="H47" s="162">
        <f>ROUND(IFERROR(VLOOKUP(A47,'NCLB Title III SAI'!$A$13:$G$189,7,FALSE),0),0)</f>
        <v>0</v>
      </c>
      <c r="I47" s="163">
        <f>ROUND(IFERROR(VLOOKUP(A47,'TITLE VI RURAL LI'!$A$13:$G$193,5,FALSE),0),0)</f>
        <v>0</v>
      </c>
    </row>
    <row r="48" spans="1:9" ht="18" x14ac:dyDescent="0.35">
      <c r="A48" s="164" t="s">
        <v>52</v>
      </c>
      <c r="B48" s="165" t="s">
        <v>230</v>
      </c>
      <c r="C48" s="162">
        <f>ROUND(IFERROR(VLOOKUP(A48,'NCLB Title I-A Formula'!$A$13:$G$201,7,FALSE),0),0)</f>
        <v>0</v>
      </c>
      <c r="D48" s="162">
        <f>ROUND(IFERROR(VLOOKUP(A48,'NCLB Title I-C Migrant'!$A$13:$G$201,5,FALSE),0),0)</f>
        <v>0</v>
      </c>
      <c r="E48" s="162">
        <f>ROUND(IFERROR(VLOOKUP(A48,'NCLB Title I-Delinquent'!$A$13:$G$201,5,FALSE),0),0)</f>
        <v>0</v>
      </c>
      <c r="F48" s="162">
        <f>ROUND(IFERROR(VLOOKUP(A48,'NCLB Title II-A Formula'!$A$13:$G$201,7,FALSE),0),0)</f>
        <v>0</v>
      </c>
      <c r="G48" s="162">
        <f>ROUND(IFERROR(VLOOKUP(A48,'NCLB Title III-A '!$A$13:$G$201,7,FALSE),0),0)</f>
        <v>0</v>
      </c>
      <c r="H48" s="162">
        <f>ROUND(IFERROR(VLOOKUP(A48,'NCLB Title III SAI'!$A$13:$G$189,7,FALSE),0),0)</f>
        <v>0</v>
      </c>
      <c r="I48" s="163">
        <f>ROUND(IFERROR(VLOOKUP(A48,'TITLE VI RURAL LI'!$A$13:$G$193,5,FALSE),0),0)</f>
        <v>0</v>
      </c>
    </row>
    <row r="49" spans="1:9" ht="18" x14ac:dyDescent="0.35">
      <c r="A49" s="164" t="s">
        <v>53</v>
      </c>
      <c r="B49" s="165" t="s">
        <v>231</v>
      </c>
      <c r="C49" s="162">
        <f>ROUND(IFERROR(VLOOKUP(A49,'NCLB Title I-A Formula'!$A$13:$G$201,7,FALSE),0),0)</f>
        <v>0</v>
      </c>
      <c r="D49" s="162">
        <f>ROUND(IFERROR(VLOOKUP(A49,'NCLB Title I-C Migrant'!$A$13:$G$201,5,FALSE),0),0)</f>
        <v>0</v>
      </c>
      <c r="E49" s="162">
        <f>ROUND(IFERROR(VLOOKUP(A49,'NCLB Title I-Delinquent'!$A$13:$G$201,5,FALSE),0),0)</f>
        <v>0</v>
      </c>
      <c r="F49" s="162">
        <f>ROUND(IFERROR(VLOOKUP(A49,'NCLB Title II-A Formula'!$A$13:$G$201,7,FALSE),0),0)</f>
        <v>0</v>
      </c>
      <c r="G49" s="162">
        <f>ROUND(IFERROR(VLOOKUP(A49,'NCLB Title III-A '!$A$13:$G$201,7,FALSE),0),0)</f>
        <v>0</v>
      </c>
      <c r="H49" s="162">
        <f>ROUND(IFERROR(VLOOKUP(A49,'NCLB Title III SAI'!$A$13:$G$189,7,FALSE),0),0)</f>
        <v>0</v>
      </c>
      <c r="I49" s="163">
        <f>ROUND(IFERROR(VLOOKUP(A49,'TITLE VI RURAL LI'!$A$13:$G$193,5,FALSE),0),0)</f>
        <v>0</v>
      </c>
    </row>
    <row r="50" spans="1:9" ht="18" x14ac:dyDescent="0.35">
      <c r="A50" s="164" t="s">
        <v>54</v>
      </c>
      <c r="B50" s="165" t="s">
        <v>232</v>
      </c>
      <c r="C50" s="162">
        <f>ROUND(IFERROR(VLOOKUP(A50,'NCLB Title I-A Formula'!$A$13:$G$201,7,FALSE),0),0)</f>
        <v>0</v>
      </c>
      <c r="D50" s="162">
        <f>ROUND(IFERROR(VLOOKUP(A50,'NCLB Title I-C Migrant'!$A$13:$G$201,5,FALSE),0),0)</f>
        <v>0</v>
      </c>
      <c r="E50" s="162">
        <f>ROUND(IFERROR(VLOOKUP(A50,'NCLB Title I-Delinquent'!$A$13:$G$201,5,FALSE),0),0)</f>
        <v>0</v>
      </c>
      <c r="F50" s="162">
        <f>ROUND(IFERROR(VLOOKUP(A50,'NCLB Title II-A Formula'!$A$13:$G$201,7,FALSE),0),0)</f>
        <v>0</v>
      </c>
      <c r="G50" s="162">
        <f>ROUND(IFERROR(VLOOKUP(A50,'NCLB Title III-A '!$A$13:$G$201,7,FALSE),0),0)</f>
        <v>0</v>
      </c>
      <c r="H50" s="162">
        <f>ROUND(IFERROR(VLOOKUP(A50,'NCLB Title III SAI'!$A$13:$G$189,7,FALSE),0),0)</f>
        <v>0</v>
      </c>
      <c r="I50" s="163">
        <f>ROUND(IFERROR(VLOOKUP(A50,'TITLE VI RURAL LI'!$A$13:$G$193,5,FALSE),0),0)</f>
        <v>0</v>
      </c>
    </row>
    <row r="51" spans="1:9" ht="18" x14ac:dyDescent="0.35">
      <c r="A51" s="164" t="s">
        <v>55</v>
      </c>
      <c r="B51" s="165" t="s">
        <v>233</v>
      </c>
      <c r="C51" s="162">
        <f>ROUND(IFERROR(VLOOKUP(A51,'NCLB Title I-A Formula'!$A$13:$G$201,7,FALSE),0),0)</f>
        <v>0</v>
      </c>
      <c r="D51" s="162">
        <f>ROUND(IFERROR(VLOOKUP(A51,'NCLB Title I-C Migrant'!$A$13:$G$201,5,FALSE),0),0)</f>
        <v>0</v>
      </c>
      <c r="E51" s="162">
        <f>ROUND(IFERROR(VLOOKUP(A51,'NCLB Title I-Delinquent'!$A$13:$G$201,5,FALSE),0),0)</f>
        <v>0</v>
      </c>
      <c r="F51" s="162">
        <f>ROUND(IFERROR(VLOOKUP(A51,'NCLB Title II-A Formula'!$A$13:$G$201,7,FALSE),0),0)</f>
        <v>0</v>
      </c>
      <c r="G51" s="162">
        <f>ROUND(IFERROR(VLOOKUP(A51,'NCLB Title III-A '!$A$13:$G$201,7,FALSE),0),0)</f>
        <v>0</v>
      </c>
      <c r="H51" s="162">
        <f>ROUND(IFERROR(VLOOKUP(A51,'NCLB Title III SAI'!$A$13:$G$189,7,FALSE),0),0)</f>
        <v>0</v>
      </c>
      <c r="I51" s="163">
        <f>ROUND(IFERROR(VLOOKUP(A51,'TITLE VI RURAL LI'!$A$13:$G$193,5,FALSE),0),0)</f>
        <v>0</v>
      </c>
    </row>
    <row r="52" spans="1:9" ht="18" x14ac:dyDescent="0.35">
      <c r="A52" s="164" t="s">
        <v>56</v>
      </c>
      <c r="B52" s="165" t="s">
        <v>234</v>
      </c>
      <c r="C52" s="162">
        <f>ROUND(IFERROR(VLOOKUP(A52,'NCLB Title I-A Formula'!$A$13:$G$201,7,FALSE),0),0)</f>
        <v>15428</v>
      </c>
      <c r="D52" s="162">
        <f>ROUND(IFERROR(VLOOKUP(A52,'NCLB Title I-C Migrant'!$A$13:$G$201,5,FALSE),0),0)</f>
        <v>0</v>
      </c>
      <c r="E52" s="162">
        <f>ROUND(IFERROR(VLOOKUP(A52,'NCLB Title I-Delinquent'!$A$13:$G$201,5,FALSE),0),0)</f>
        <v>0</v>
      </c>
      <c r="F52" s="162">
        <f>ROUND(IFERROR(VLOOKUP(A52,'NCLB Title II-A Formula'!$A$13:$G$201,7,FALSE),0),0)</f>
        <v>0</v>
      </c>
      <c r="G52" s="162">
        <f>ROUND(IFERROR(VLOOKUP(A52,'NCLB Title III-A '!$A$13:$G$201,7,FALSE),0),0)</f>
        <v>0</v>
      </c>
      <c r="H52" s="162">
        <f>ROUND(IFERROR(VLOOKUP(A52,'NCLB Title III SAI'!$A$13:$G$189,7,FALSE),0),0)</f>
        <v>0</v>
      </c>
      <c r="I52" s="163">
        <f>ROUND(IFERROR(VLOOKUP(A52,'TITLE VI RURAL LI'!$A$13:$G$193,5,FALSE),0),0)</f>
        <v>0</v>
      </c>
    </row>
    <row r="53" spans="1:9" ht="18" x14ac:dyDescent="0.35">
      <c r="A53" s="164" t="s">
        <v>57</v>
      </c>
      <c r="B53" s="165" t="s">
        <v>235</v>
      </c>
      <c r="C53" s="162">
        <f>ROUND(IFERROR(VLOOKUP(A53,'NCLB Title I-A Formula'!$A$13:$G$201,7,FALSE),0),0)</f>
        <v>0</v>
      </c>
      <c r="D53" s="162">
        <f>ROUND(IFERROR(VLOOKUP(A53,'NCLB Title I-C Migrant'!$A$13:$G$201,5,FALSE),0),0)</f>
        <v>0</v>
      </c>
      <c r="E53" s="162">
        <f>ROUND(IFERROR(VLOOKUP(A53,'NCLB Title I-Delinquent'!$A$13:$G$201,5,FALSE),0),0)</f>
        <v>0</v>
      </c>
      <c r="F53" s="162">
        <f>ROUND(IFERROR(VLOOKUP(A53,'NCLB Title II-A Formula'!$A$13:$G$201,7,FALSE),0),0)</f>
        <v>0</v>
      </c>
      <c r="G53" s="162">
        <f>ROUND(IFERROR(VLOOKUP(A53,'NCLB Title III-A '!$A$13:$G$201,7,FALSE),0),0)</f>
        <v>0</v>
      </c>
      <c r="H53" s="162">
        <f>ROUND(IFERROR(VLOOKUP(A53,'NCLB Title III SAI'!$A$13:$G$189,7,FALSE),0),0)</f>
        <v>0</v>
      </c>
      <c r="I53" s="163">
        <f>ROUND(IFERROR(VLOOKUP(A53,'TITLE VI RURAL LI'!$A$13:$G$193,5,FALSE),0),0)</f>
        <v>0</v>
      </c>
    </row>
    <row r="54" spans="1:9" ht="18" x14ac:dyDescent="0.35">
      <c r="A54" s="164" t="s">
        <v>58</v>
      </c>
      <c r="B54" s="165" t="s">
        <v>236</v>
      </c>
      <c r="C54" s="162">
        <f>ROUND(IFERROR(VLOOKUP(A54,'NCLB Title I-A Formula'!$A$13:$G$201,7,FALSE),0),0)</f>
        <v>0</v>
      </c>
      <c r="D54" s="162">
        <f>ROUND(IFERROR(VLOOKUP(A54,'NCLB Title I-C Migrant'!$A$13:$G$201,5,FALSE),0),0)</f>
        <v>0</v>
      </c>
      <c r="E54" s="162">
        <f>ROUND(IFERROR(VLOOKUP(A54,'NCLB Title I-Delinquent'!$A$13:$G$201,5,FALSE),0),0)</f>
        <v>0</v>
      </c>
      <c r="F54" s="162">
        <f>ROUND(IFERROR(VLOOKUP(A54,'NCLB Title II-A Formula'!$A$13:$G$201,7,FALSE),0),0)</f>
        <v>0</v>
      </c>
      <c r="G54" s="162">
        <f>ROUND(IFERROR(VLOOKUP(A54,'NCLB Title III-A '!$A$13:$G$201,7,FALSE),0),0)</f>
        <v>0</v>
      </c>
      <c r="H54" s="162">
        <f>ROUND(IFERROR(VLOOKUP(A54,'NCLB Title III SAI'!$A$13:$G$189,7,FALSE),0),0)</f>
        <v>0</v>
      </c>
      <c r="I54" s="163">
        <f>ROUND(IFERROR(VLOOKUP(A54,'TITLE VI RURAL LI'!$A$13:$G$193,5,FALSE),0),0)</f>
        <v>0</v>
      </c>
    </row>
    <row r="55" spans="1:9" ht="18" x14ac:dyDescent="0.35">
      <c r="A55" s="164" t="s">
        <v>59</v>
      </c>
      <c r="B55" s="165" t="s">
        <v>237</v>
      </c>
      <c r="C55" s="162">
        <f>ROUND(IFERROR(VLOOKUP(A55,'NCLB Title I-A Formula'!$A$13:$G$201,7,FALSE),0),0)</f>
        <v>0</v>
      </c>
      <c r="D55" s="162">
        <f>ROUND(IFERROR(VLOOKUP(A55,'NCLB Title I-C Migrant'!$A$13:$G$201,5,FALSE),0),0)</f>
        <v>0</v>
      </c>
      <c r="E55" s="162">
        <f>ROUND(IFERROR(VLOOKUP(A55,'NCLB Title I-Delinquent'!$A$13:$G$201,5,FALSE),0),0)</f>
        <v>0</v>
      </c>
      <c r="F55" s="162">
        <f>ROUND(IFERROR(VLOOKUP(A55,'NCLB Title II-A Formula'!$A$13:$G$201,7,FALSE),0),0)</f>
        <v>0</v>
      </c>
      <c r="G55" s="162">
        <f>ROUND(IFERROR(VLOOKUP(A55,'NCLB Title III-A '!$A$13:$G$201,7,FALSE),0),0)</f>
        <v>0</v>
      </c>
      <c r="H55" s="162">
        <f>ROUND(IFERROR(VLOOKUP(A55,'NCLB Title III SAI'!$A$13:$G$189,7,FALSE),0),0)</f>
        <v>0</v>
      </c>
      <c r="I55" s="163">
        <f>ROUND(IFERROR(VLOOKUP(A55,'TITLE VI RURAL LI'!$A$13:$G$193,5,FALSE),0),0)</f>
        <v>0</v>
      </c>
    </row>
    <row r="56" spans="1:9" ht="18" x14ac:dyDescent="0.35">
      <c r="A56" s="164" t="s">
        <v>60</v>
      </c>
      <c r="B56" s="165" t="s">
        <v>238</v>
      </c>
      <c r="C56" s="162">
        <f>ROUND(IFERROR(VLOOKUP(A56,'NCLB Title I-A Formula'!$A$13:$G$201,7,FALSE),0),0)</f>
        <v>0</v>
      </c>
      <c r="D56" s="162">
        <f>ROUND(IFERROR(VLOOKUP(A56,'NCLB Title I-C Migrant'!$A$13:$G$201,5,FALSE),0),0)</f>
        <v>0</v>
      </c>
      <c r="E56" s="162">
        <f>ROUND(IFERROR(VLOOKUP(A56,'NCLB Title I-Delinquent'!$A$13:$G$201,5,FALSE),0),0)</f>
        <v>0</v>
      </c>
      <c r="F56" s="162">
        <f>ROUND(IFERROR(VLOOKUP(A56,'NCLB Title II-A Formula'!$A$13:$G$201,7,FALSE),0),0)</f>
        <v>0</v>
      </c>
      <c r="G56" s="162">
        <f>ROUND(IFERROR(VLOOKUP(A56,'NCLB Title III-A '!$A$13:$G$201,7,FALSE),0),0)</f>
        <v>0</v>
      </c>
      <c r="H56" s="162">
        <f>ROUND(IFERROR(VLOOKUP(A56,'NCLB Title III SAI'!$A$13:$G$189,7,FALSE),0),0)</f>
        <v>0</v>
      </c>
      <c r="I56" s="163">
        <f>ROUND(IFERROR(VLOOKUP(A56,'TITLE VI RURAL LI'!$A$13:$G$193,5,FALSE),0),0)</f>
        <v>0</v>
      </c>
    </row>
    <row r="57" spans="1:9" ht="18" x14ac:dyDescent="0.35">
      <c r="A57" s="164" t="s">
        <v>61</v>
      </c>
      <c r="B57" s="165" t="s">
        <v>239</v>
      </c>
      <c r="C57" s="162">
        <f>ROUND(IFERROR(VLOOKUP(A57,'NCLB Title I-A Formula'!$A$13:$G$201,7,FALSE),0),0)</f>
        <v>0</v>
      </c>
      <c r="D57" s="162">
        <f>ROUND(IFERROR(VLOOKUP(A57,'NCLB Title I-C Migrant'!$A$13:$G$201,5,FALSE),0),0)</f>
        <v>0</v>
      </c>
      <c r="E57" s="162">
        <f>ROUND(IFERROR(VLOOKUP(A57,'NCLB Title I-Delinquent'!$A$13:$G$201,5,FALSE),0),0)</f>
        <v>0</v>
      </c>
      <c r="F57" s="162">
        <f>ROUND(IFERROR(VLOOKUP(A57,'NCLB Title II-A Formula'!$A$13:$G$201,7,FALSE),0),0)</f>
        <v>0</v>
      </c>
      <c r="G57" s="162">
        <f>ROUND(IFERROR(VLOOKUP(A57,'NCLB Title III-A '!$A$13:$G$201,7,FALSE),0),0)</f>
        <v>0</v>
      </c>
      <c r="H57" s="162">
        <f>ROUND(IFERROR(VLOOKUP(A57,'NCLB Title III SAI'!$A$13:$G$189,7,FALSE),0),0)</f>
        <v>791</v>
      </c>
      <c r="I57" s="163">
        <f>ROUND(IFERROR(VLOOKUP(A57,'TITLE VI RURAL LI'!$A$13:$G$193,5,FALSE),0),0)</f>
        <v>0</v>
      </c>
    </row>
    <row r="58" spans="1:9" ht="18" x14ac:dyDescent="0.35">
      <c r="A58" s="164" t="s">
        <v>62</v>
      </c>
      <c r="B58" s="165" t="s">
        <v>240</v>
      </c>
      <c r="C58" s="162">
        <f>ROUND(IFERROR(VLOOKUP(A58,'NCLB Title I-A Formula'!$A$13:$G$201,7,FALSE),0),0)</f>
        <v>0</v>
      </c>
      <c r="D58" s="162">
        <f>ROUND(IFERROR(VLOOKUP(A58,'NCLB Title I-C Migrant'!$A$13:$G$201,5,FALSE),0),0)</f>
        <v>0</v>
      </c>
      <c r="E58" s="162">
        <f>ROUND(IFERROR(VLOOKUP(A58,'NCLB Title I-Delinquent'!$A$13:$G$201,5,FALSE),0),0)</f>
        <v>0</v>
      </c>
      <c r="F58" s="162">
        <f>ROUND(IFERROR(VLOOKUP(A58,'NCLB Title II-A Formula'!$A$13:$G$201,7,FALSE),0),0)</f>
        <v>0</v>
      </c>
      <c r="G58" s="162">
        <f>ROUND(IFERROR(VLOOKUP(A58,'NCLB Title III-A '!$A$13:$G$201,7,FALSE),0),0)</f>
        <v>0</v>
      </c>
      <c r="H58" s="162">
        <f>ROUND(IFERROR(VLOOKUP(A58,'NCLB Title III SAI'!$A$13:$G$189,7,FALSE),0),0)</f>
        <v>0</v>
      </c>
      <c r="I58" s="163">
        <f>ROUND(IFERROR(VLOOKUP(A58,'TITLE VI RURAL LI'!$A$13:$G$193,5,FALSE),0),0)</f>
        <v>0</v>
      </c>
    </row>
    <row r="59" spans="1:9" ht="18" x14ac:dyDescent="0.35">
      <c r="A59" s="164" t="s">
        <v>63</v>
      </c>
      <c r="B59" s="165" t="s">
        <v>241</v>
      </c>
      <c r="C59" s="162">
        <f>ROUND(IFERROR(VLOOKUP(A59,'NCLB Title I-A Formula'!$A$13:$G$201,7,FALSE),0),0)</f>
        <v>0</v>
      </c>
      <c r="D59" s="162">
        <f>ROUND(IFERROR(VLOOKUP(A59,'NCLB Title I-C Migrant'!$A$13:$G$201,5,FALSE),0),0)</f>
        <v>0</v>
      </c>
      <c r="E59" s="162">
        <f>ROUND(IFERROR(VLOOKUP(A59,'NCLB Title I-Delinquent'!$A$13:$G$201,5,FALSE),0),0)</f>
        <v>0</v>
      </c>
      <c r="F59" s="162">
        <f>ROUND(IFERROR(VLOOKUP(A59,'NCLB Title II-A Formula'!$A$13:$G$201,7,FALSE),0),0)</f>
        <v>0</v>
      </c>
      <c r="G59" s="162">
        <f>ROUND(IFERROR(VLOOKUP(A59,'NCLB Title III-A '!$A$13:$G$201,7,FALSE),0),0)</f>
        <v>0</v>
      </c>
      <c r="H59" s="162">
        <f>ROUND(IFERROR(VLOOKUP(A59,'NCLB Title III SAI'!$A$13:$G$189,7,FALSE),0),0)</f>
        <v>0</v>
      </c>
      <c r="I59" s="163">
        <f>ROUND(IFERROR(VLOOKUP(A59,'TITLE VI RURAL LI'!$A$13:$G$193,5,FALSE),0),0)</f>
        <v>0</v>
      </c>
    </row>
    <row r="60" spans="1:9" ht="18" x14ac:dyDescent="0.35">
      <c r="A60" s="164" t="s">
        <v>64</v>
      </c>
      <c r="B60" s="165" t="s">
        <v>242</v>
      </c>
      <c r="C60" s="162">
        <f>ROUND(IFERROR(VLOOKUP(A60,'NCLB Title I-A Formula'!$A$13:$G$201,7,FALSE),0),0)</f>
        <v>0</v>
      </c>
      <c r="D60" s="162">
        <f>ROUND(IFERROR(VLOOKUP(A60,'NCLB Title I-C Migrant'!$A$13:$G$201,5,FALSE),0),0)</f>
        <v>0</v>
      </c>
      <c r="E60" s="162">
        <f>ROUND(IFERROR(VLOOKUP(A60,'NCLB Title I-Delinquent'!$A$13:$G$201,5,FALSE),0),0)</f>
        <v>0</v>
      </c>
      <c r="F60" s="162">
        <f>ROUND(IFERROR(VLOOKUP(A60,'NCLB Title II-A Formula'!$A$13:$G$201,7,FALSE),0),0)</f>
        <v>0</v>
      </c>
      <c r="G60" s="162">
        <f>ROUND(IFERROR(VLOOKUP(A60,'NCLB Title III-A '!$A$13:$G$201,7,FALSE),0),0)</f>
        <v>0</v>
      </c>
      <c r="H60" s="162">
        <f>ROUND(IFERROR(VLOOKUP(A60,'NCLB Title III SAI'!$A$13:$G$189,7,FALSE),0),0)</f>
        <v>0</v>
      </c>
      <c r="I60" s="163">
        <f>ROUND(IFERROR(VLOOKUP(A60,'TITLE VI RURAL LI'!$A$13:$G$193,5,FALSE),0),0)</f>
        <v>0</v>
      </c>
    </row>
    <row r="61" spans="1:9" ht="18" x14ac:dyDescent="0.35">
      <c r="A61" s="164" t="s">
        <v>65</v>
      </c>
      <c r="B61" s="165" t="s">
        <v>243</v>
      </c>
      <c r="C61" s="162">
        <f>ROUND(IFERROR(VLOOKUP(A61,'NCLB Title I-A Formula'!$A$13:$G$201,7,FALSE),0),0)</f>
        <v>0</v>
      </c>
      <c r="D61" s="162">
        <f>ROUND(IFERROR(VLOOKUP(A61,'NCLB Title I-C Migrant'!$A$13:$G$201,5,FALSE),0),0)</f>
        <v>0</v>
      </c>
      <c r="E61" s="162">
        <f>ROUND(IFERROR(VLOOKUP(A61,'NCLB Title I-Delinquent'!$A$13:$G$201,5,FALSE),0),0)</f>
        <v>0</v>
      </c>
      <c r="F61" s="162">
        <f>ROUND(IFERROR(VLOOKUP(A61,'NCLB Title II-A Formula'!$A$13:$G$201,7,FALSE),0),0)</f>
        <v>0</v>
      </c>
      <c r="G61" s="162">
        <f>ROUND(IFERROR(VLOOKUP(A61,'NCLB Title III-A '!$A$13:$G$201,7,FALSE),0),0)</f>
        <v>0</v>
      </c>
      <c r="H61" s="162">
        <f>ROUND(IFERROR(VLOOKUP(A61,'NCLB Title III SAI'!$A$13:$G$189,7,FALSE),0),0)</f>
        <v>0</v>
      </c>
      <c r="I61" s="163">
        <f>ROUND(IFERROR(VLOOKUP(A61,'TITLE VI RURAL LI'!$A$13:$G$193,5,FALSE),0),0)</f>
        <v>0</v>
      </c>
    </row>
    <row r="62" spans="1:9" ht="18" x14ac:dyDescent="0.35">
      <c r="A62" s="164" t="s">
        <v>66</v>
      </c>
      <c r="B62" s="165" t="s">
        <v>244</v>
      </c>
      <c r="C62" s="162">
        <f>ROUND(IFERROR(VLOOKUP(A62,'NCLB Title I-A Formula'!$A$13:$G$201,7,FALSE),0),0)</f>
        <v>0</v>
      </c>
      <c r="D62" s="162">
        <f>ROUND(IFERROR(VLOOKUP(A62,'NCLB Title I-C Migrant'!$A$13:$G$201,5,FALSE),0),0)</f>
        <v>0</v>
      </c>
      <c r="E62" s="162">
        <f>ROUND(IFERROR(VLOOKUP(A62,'NCLB Title I-Delinquent'!$A$13:$G$201,5,FALSE),0),0)</f>
        <v>0</v>
      </c>
      <c r="F62" s="162">
        <f>ROUND(IFERROR(VLOOKUP(A62,'NCLB Title II-A Formula'!$A$13:$G$201,7,FALSE),0),0)</f>
        <v>0</v>
      </c>
      <c r="G62" s="162">
        <f>ROUND(IFERROR(VLOOKUP(A62,'NCLB Title III-A '!$A$13:$G$201,7,FALSE),0),0)</f>
        <v>0</v>
      </c>
      <c r="H62" s="162">
        <f>ROUND(IFERROR(VLOOKUP(A62,'NCLB Title III SAI'!$A$13:$G$189,7,FALSE),0),0)</f>
        <v>0</v>
      </c>
      <c r="I62" s="163">
        <f>ROUND(IFERROR(VLOOKUP(A62,'TITLE VI RURAL LI'!$A$13:$G$193,5,FALSE),0),0)</f>
        <v>0</v>
      </c>
    </row>
    <row r="63" spans="1:9" ht="18" x14ac:dyDescent="0.35">
      <c r="A63" s="164" t="s">
        <v>67</v>
      </c>
      <c r="B63" s="165" t="s">
        <v>245</v>
      </c>
      <c r="C63" s="162">
        <f>ROUND(IFERROR(VLOOKUP(A63,'NCLB Title I-A Formula'!$A$13:$G$201,7,FALSE),0),0)</f>
        <v>0</v>
      </c>
      <c r="D63" s="162">
        <f>ROUND(IFERROR(VLOOKUP(A63,'NCLB Title I-C Migrant'!$A$13:$G$201,5,FALSE),0),0)</f>
        <v>0</v>
      </c>
      <c r="E63" s="162">
        <f>ROUND(IFERROR(VLOOKUP(A63,'NCLB Title I-Delinquent'!$A$13:$G$201,5,FALSE),0),0)</f>
        <v>0</v>
      </c>
      <c r="F63" s="162">
        <f>ROUND(IFERROR(VLOOKUP(A63,'NCLB Title II-A Formula'!$A$13:$G$201,7,FALSE),0),0)</f>
        <v>0</v>
      </c>
      <c r="G63" s="162">
        <f>ROUND(IFERROR(VLOOKUP(A63,'NCLB Title III-A '!$A$13:$G$201,7,FALSE),0),0)</f>
        <v>0</v>
      </c>
      <c r="H63" s="162">
        <f>ROUND(IFERROR(VLOOKUP(A63,'NCLB Title III SAI'!$A$13:$G$189,7,FALSE),0),0)</f>
        <v>0</v>
      </c>
      <c r="I63" s="163">
        <f>ROUND(IFERROR(VLOOKUP(A63,'TITLE VI RURAL LI'!$A$13:$G$193,5,FALSE),0),0)</f>
        <v>0</v>
      </c>
    </row>
    <row r="64" spans="1:9" ht="18" x14ac:dyDescent="0.35">
      <c r="A64" s="164" t="s">
        <v>68</v>
      </c>
      <c r="B64" s="165" t="s">
        <v>246</v>
      </c>
      <c r="C64" s="162">
        <f>ROUND(IFERROR(VLOOKUP(A64,'NCLB Title I-A Formula'!$A$13:$G$201,7,FALSE),0),0)</f>
        <v>0</v>
      </c>
      <c r="D64" s="162">
        <f>ROUND(IFERROR(VLOOKUP(A64,'NCLB Title I-C Migrant'!$A$13:$G$201,5,FALSE),0),0)</f>
        <v>0</v>
      </c>
      <c r="E64" s="162">
        <f>ROUND(IFERROR(VLOOKUP(A64,'NCLB Title I-Delinquent'!$A$13:$G$201,5,FALSE),0),0)</f>
        <v>0</v>
      </c>
      <c r="F64" s="162">
        <f>ROUND(IFERROR(VLOOKUP(A64,'NCLB Title II-A Formula'!$A$13:$G$201,7,FALSE),0),0)</f>
        <v>0</v>
      </c>
      <c r="G64" s="162">
        <f>ROUND(IFERROR(VLOOKUP(A64,'NCLB Title III-A '!$A$13:$G$201,7,FALSE),0),0)</f>
        <v>0</v>
      </c>
      <c r="H64" s="162">
        <f>ROUND(IFERROR(VLOOKUP(A64,'NCLB Title III SAI'!$A$13:$G$189,7,FALSE),0),0)</f>
        <v>0</v>
      </c>
      <c r="I64" s="163">
        <f>ROUND(IFERROR(VLOOKUP(A64,'TITLE VI RURAL LI'!$A$13:$G$193,5,FALSE),0),0)</f>
        <v>0</v>
      </c>
    </row>
    <row r="65" spans="1:9" ht="18" x14ac:dyDescent="0.35">
      <c r="A65" s="164" t="s">
        <v>69</v>
      </c>
      <c r="B65" s="165" t="s">
        <v>247</v>
      </c>
      <c r="C65" s="162">
        <f>ROUND(IFERROR(VLOOKUP(A65,'NCLB Title I-A Formula'!$A$13:$G$201,7,FALSE),0),0)</f>
        <v>0</v>
      </c>
      <c r="D65" s="162">
        <f>ROUND(IFERROR(VLOOKUP(A65,'NCLB Title I-C Migrant'!$A$13:$G$201,5,FALSE),0),0)</f>
        <v>0</v>
      </c>
      <c r="E65" s="162">
        <f>ROUND(IFERROR(VLOOKUP(A65,'NCLB Title I-Delinquent'!$A$13:$G$201,5,FALSE),0),0)</f>
        <v>0</v>
      </c>
      <c r="F65" s="162">
        <f>ROUND(IFERROR(VLOOKUP(A65,'NCLB Title II-A Formula'!$A$13:$G$201,7,FALSE),0),0)</f>
        <v>0</v>
      </c>
      <c r="G65" s="162">
        <f>ROUND(IFERROR(VLOOKUP(A65,'NCLB Title III-A '!$A$13:$G$201,7,FALSE),0),0)</f>
        <v>0</v>
      </c>
      <c r="H65" s="162">
        <f>ROUND(IFERROR(VLOOKUP(A65,'NCLB Title III SAI'!$A$13:$G$189,7,FALSE),0),0)</f>
        <v>0</v>
      </c>
      <c r="I65" s="163">
        <f>ROUND(IFERROR(VLOOKUP(A65,'TITLE VI RURAL LI'!$A$13:$G$193,5,FALSE),0),0)</f>
        <v>0</v>
      </c>
    </row>
    <row r="66" spans="1:9" ht="18" x14ac:dyDescent="0.35">
      <c r="A66" s="164" t="s">
        <v>70</v>
      </c>
      <c r="B66" s="165" t="s">
        <v>248</v>
      </c>
      <c r="C66" s="162">
        <f>ROUND(IFERROR(VLOOKUP(A66,'NCLB Title I-A Formula'!$A$13:$G$201,7,FALSE),0),0)</f>
        <v>0</v>
      </c>
      <c r="D66" s="162">
        <f>ROUND(IFERROR(VLOOKUP(A66,'NCLB Title I-C Migrant'!$A$13:$G$201,5,FALSE),0),0)</f>
        <v>0</v>
      </c>
      <c r="E66" s="162">
        <f>ROUND(IFERROR(VLOOKUP(A66,'NCLB Title I-Delinquent'!$A$13:$G$201,5,FALSE),0),0)</f>
        <v>0</v>
      </c>
      <c r="F66" s="162">
        <f>ROUND(IFERROR(VLOOKUP(A66,'NCLB Title II-A Formula'!$A$13:$G$201,7,FALSE),0),0)</f>
        <v>0</v>
      </c>
      <c r="G66" s="162">
        <f>ROUND(IFERROR(VLOOKUP(A66,'NCLB Title III-A '!$A$13:$G$201,7,FALSE),0),0)</f>
        <v>0</v>
      </c>
      <c r="H66" s="162">
        <f>ROUND(IFERROR(VLOOKUP(A66,'NCLB Title III SAI'!$A$13:$G$189,7,FALSE),0),0)</f>
        <v>0</v>
      </c>
      <c r="I66" s="163">
        <f>ROUND(IFERROR(VLOOKUP(A66,'TITLE VI RURAL LI'!$A$13:$G$193,5,FALSE),0),0)</f>
        <v>0</v>
      </c>
    </row>
    <row r="67" spans="1:9" ht="18" x14ac:dyDescent="0.35">
      <c r="A67" s="164" t="s">
        <v>71</v>
      </c>
      <c r="B67" s="165" t="s">
        <v>249</v>
      </c>
      <c r="C67" s="162">
        <f>ROUND(IFERROR(VLOOKUP(A67,'NCLB Title I-A Formula'!$A$13:$G$201,7,FALSE),0),0)</f>
        <v>0</v>
      </c>
      <c r="D67" s="162">
        <f>ROUND(IFERROR(VLOOKUP(A67,'NCLB Title I-C Migrant'!$A$13:$G$201,5,FALSE),0),0)</f>
        <v>0</v>
      </c>
      <c r="E67" s="162">
        <f>ROUND(IFERROR(VLOOKUP(A67,'NCLB Title I-Delinquent'!$A$13:$G$201,5,FALSE),0),0)</f>
        <v>0</v>
      </c>
      <c r="F67" s="162">
        <f>ROUND(IFERROR(VLOOKUP(A67,'NCLB Title II-A Formula'!$A$13:$G$201,7,FALSE),0),0)</f>
        <v>0</v>
      </c>
      <c r="G67" s="162">
        <f>ROUND(IFERROR(VLOOKUP(A67,'NCLB Title III-A '!$A$13:$G$201,7,FALSE),0),0)</f>
        <v>0</v>
      </c>
      <c r="H67" s="162">
        <f>ROUND(IFERROR(VLOOKUP(A67,'NCLB Title III SAI'!$A$13:$G$189,7,FALSE),0),0)</f>
        <v>0</v>
      </c>
      <c r="I67" s="163">
        <f>ROUND(IFERROR(VLOOKUP(A67,'TITLE VI RURAL LI'!$A$13:$G$193,5,FALSE),0),0)</f>
        <v>0</v>
      </c>
    </row>
    <row r="68" spans="1:9" ht="18" x14ac:dyDescent="0.35">
      <c r="A68" s="164" t="s">
        <v>72</v>
      </c>
      <c r="B68" s="165" t="s">
        <v>250</v>
      </c>
      <c r="C68" s="162">
        <f>ROUND(IFERROR(VLOOKUP(A68,'NCLB Title I-A Formula'!$A$13:$G$201,7,FALSE),0),0)</f>
        <v>0</v>
      </c>
      <c r="D68" s="162">
        <f>ROUND(IFERROR(VLOOKUP(A68,'NCLB Title I-C Migrant'!$A$13:$G$201,5,FALSE),0),0)</f>
        <v>0</v>
      </c>
      <c r="E68" s="162">
        <f>ROUND(IFERROR(VLOOKUP(A68,'NCLB Title I-Delinquent'!$A$13:$G$201,5,FALSE),0),0)</f>
        <v>0</v>
      </c>
      <c r="F68" s="162">
        <f>ROUND(IFERROR(VLOOKUP(A68,'NCLB Title II-A Formula'!$A$13:$G$201,7,FALSE),0),0)</f>
        <v>0</v>
      </c>
      <c r="G68" s="162">
        <f>ROUND(IFERROR(VLOOKUP(A68,'NCLB Title III-A '!$A$13:$G$201,7,FALSE),0),0)</f>
        <v>0</v>
      </c>
      <c r="H68" s="162">
        <f>ROUND(IFERROR(VLOOKUP(A68,'NCLB Title III SAI'!$A$13:$G$189,7,FALSE),0),0)</f>
        <v>0</v>
      </c>
      <c r="I68" s="163">
        <f>ROUND(IFERROR(VLOOKUP(A68,'TITLE VI RURAL LI'!$A$13:$G$193,5,FALSE),0),0)</f>
        <v>0</v>
      </c>
    </row>
    <row r="69" spans="1:9" ht="18" x14ac:dyDescent="0.35">
      <c r="A69" s="164" t="s">
        <v>73</v>
      </c>
      <c r="B69" s="165" t="s">
        <v>251</v>
      </c>
      <c r="C69" s="162">
        <f>ROUND(IFERROR(VLOOKUP(A69,'NCLB Title I-A Formula'!$A$13:$G$201,7,FALSE),0),0)</f>
        <v>0</v>
      </c>
      <c r="D69" s="162">
        <f>ROUND(IFERROR(VLOOKUP(A69,'NCLB Title I-C Migrant'!$A$13:$G$201,5,FALSE),0),0)</f>
        <v>0</v>
      </c>
      <c r="E69" s="162">
        <f>ROUND(IFERROR(VLOOKUP(A69,'NCLB Title I-Delinquent'!$A$13:$G$201,5,FALSE),0),0)</f>
        <v>0</v>
      </c>
      <c r="F69" s="162">
        <f>ROUND(IFERROR(VLOOKUP(A69,'NCLB Title II-A Formula'!$A$13:$G$201,7,FALSE),0),0)</f>
        <v>0</v>
      </c>
      <c r="G69" s="162">
        <f>ROUND(IFERROR(VLOOKUP(A69,'NCLB Title III-A '!$A$13:$G$201,7,FALSE),0),0)</f>
        <v>0</v>
      </c>
      <c r="H69" s="162">
        <f>ROUND(IFERROR(VLOOKUP(A69,'NCLB Title III SAI'!$A$13:$G$189,7,FALSE),0),0)</f>
        <v>0</v>
      </c>
      <c r="I69" s="163">
        <f>ROUND(IFERROR(VLOOKUP(A69,'TITLE VI RURAL LI'!$A$13:$G$193,5,FALSE),0),0)</f>
        <v>0</v>
      </c>
    </row>
    <row r="70" spans="1:9" ht="18" x14ac:dyDescent="0.35">
      <c r="A70" s="164" t="s">
        <v>74</v>
      </c>
      <c r="B70" s="165" t="s">
        <v>252</v>
      </c>
      <c r="C70" s="162">
        <f>ROUND(IFERROR(VLOOKUP(A70,'NCLB Title I-A Formula'!$A$13:$G$201,7,FALSE),0),0)</f>
        <v>0</v>
      </c>
      <c r="D70" s="162">
        <f>ROUND(IFERROR(VLOOKUP(A70,'NCLB Title I-C Migrant'!$A$13:$G$201,5,FALSE),0),0)</f>
        <v>0</v>
      </c>
      <c r="E70" s="162">
        <f>ROUND(IFERROR(VLOOKUP(A70,'NCLB Title I-Delinquent'!$A$13:$G$201,5,FALSE),0),0)</f>
        <v>0</v>
      </c>
      <c r="F70" s="162">
        <f>ROUND(IFERROR(VLOOKUP(A70,'NCLB Title II-A Formula'!$A$13:$G$201,7,FALSE),0),0)</f>
        <v>0</v>
      </c>
      <c r="G70" s="162">
        <f>ROUND(IFERROR(VLOOKUP(A70,'NCLB Title III-A '!$A$13:$G$201,7,FALSE),0),0)</f>
        <v>0</v>
      </c>
      <c r="H70" s="162">
        <f>ROUND(IFERROR(VLOOKUP(A70,'NCLB Title III SAI'!$A$13:$G$189,7,FALSE),0),0)</f>
        <v>0</v>
      </c>
      <c r="I70" s="163">
        <f>ROUND(IFERROR(VLOOKUP(A70,'TITLE VI RURAL LI'!$A$13:$G$193,5,FALSE),0),0)</f>
        <v>0</v>
      </c>
    </row>
    <row r="71" spans="1:9" ht="18" x14ac:dyDescent="0.35">
      <c r="A71" s="164" t="s">
        <v>75</v>
      </c>
      <c r="B71" s="165" t="s">
        <v>253</v>
      </c>
      <c r="C71" s="162">
        <f>ROUND(IFERROR(VLOOKUP(A71,'NCLB Title I-A Formula'!$A$13:$G$201,7,FALSE),0),0)</f>
        <v>0</v>
      </c>
      <c r="D71" s="162">
        <f>ROUND(IFERROR(VLOOKUP(A71,'NCLB Title I-C Migrant'!$A$13:$G$201,5,FALSE),0),0)</f>
        <v>0</v>
      </c>
      <c r="E71" s="162">
        <f>ROUND(IFERROR(VLOOKUP(A71,'NCLB Title I-Delinquent'!$A$13:$G$201,5,FALSE),0),0)</f>
        <v>0</v>
      </c>
      <c r="F71" s="162">
        <f>ROUND(IFERROR(VLOOKUP(A71,'NCLB Title II-A Formula'!$A$13:$G$201,7,FALSE),0),0)</f>
        <v>0</v>
      </c>
      <c r="G71" s="162">
        <f>ROUND(IFERROR(VLOOKUP(A71,'NCLB Title III-A '!$A$13:$G$201,7,FALSE),0),0)</f>
        <v>0</v>
      </c>
      <c r="H71" s="162">
        <f>ROUND(IFERROR(VLOOKUP(A71,'NCLB Title III SAI'!$A$13:$G$189,7,FALSE),0),0)</f>
        <v>0</v>
      </c>
      <c r="I71" s="163">
        <f>ROUND(IFERROR(VLOOKUP(A71,'TITLE VI RURAL LI'!$A$13:$G$193,5,FALSE),0),0)</f>
        <v>0</v>
      </c>
    </row>
    <row r="72" spans="1:9" ht="18" x14ac:dyDescent="0.35">
      <c r="A72" s="164" t="s">
        <v>76</v>
      </c>
      <c r="B72" s="165" t="s">
        <v>254</v>
      </c>
      <c r="C72" s="162">
        <f>ROUND(IFERROR(VLOOKUP(A72,'NCLB Title I-A Formula'!$A$13:$G$201,7,FALSE),0),0)</f>
        <v>0</v>
      </c>
      <c r="D72" s="162">
        <f>ROUND(IFERROR(VLOOKUP(A72,'NCLB Title I-C Migrant'!$A$13:$G$201,5,FALSE),0),0)</f>
        <v>0</v>
      </c>
      <c r="E72" s="162">
        <f>ROUND(IFERROR(VLOOKUP(A72,'NCLB Title I-Delinquent'!$A$13:$G$201,5,FALSE),0),0)</f>
        <v>0</v>
      </c>
      <c r="F72" s="162">
        <f>ROUND(IFERROR(VLOOKUP(A72,'NCLB Title II-A Formula'!$A$13:$G$201,7,FALSE),0),0)</f>
        <v>0</v>
      </c>
      <c r="G72" s="162">
        <f>ROUND(IFERROR(VLOOKUP(A72,'NCLB Title III-A '!$A$13:$G$201,7,FALSE),0),0)</f>
        <v>0</v>
      </c>
      <c r="H72" s="162">
        <f>ROUND(IFERROR(VLOOKUP(A72,'NCLB Title III SAI'!$A$13:$G$189,7,FALSE),0),0)</f>
        <v>0</v>
      </c>
      <c r="I72" s="163">
        <f>ROUND(IFERROR(VLOOKUP(A72,'TITLE VI RURAL LI'!$A$13:$G$193,5,FALSE),0),0)</f>
        <v>0</v>
      </c>
    </row>
    <row r="73" spans="1:9" ht="18" x14ac:dyDescent="0.35">
      <c r="A73" s="164" t="s">
        <v>77</v>
      </c>
      <c r="B73" s="165" t="s">
        <v>255</v>
      </c>
      <c r="C73" s="162">
        <f>ROUND(IFERROR(VLOOKUP(A73,'NCLB Title I-A Formula'!$A$13:$G$201,7,FALSE),0),0)</f>
        <v>0</v>
      </c>
      <c r="D73" s="162">
        <f>ROUND(IFERROR(VLOOKUP(A73,'NCLB Title I-C Migrant'!$A$13:$G$201,5,FALSE),0),0)</f>
        <v>0</v>
      </c>
      <c r="E73" s="162">
        <f>ROUND(IFERROR(VLOOKUP(A73,'NCLB Title I-Delinquent'!$A$13:$G$201,5,FALSE),0),0)</f>
        <v>0</v>
      </c>
      <c r="F73" s="162">
        <f>ROUND(IFERROR(VLOOKUP(A73,'NCLB Title II-A Formula'!$A$13:$G$201,7,FALSE),0),0)</f>
        <v>0</v>
      </c>
      <c r="G73" s="162">
        <f>ROUND(IFERROR(VLOOKUP(A73,'NCLB Title III-A '!$A$13:$G$201,7,FALSE),0),0)</f>
        <v>0</v>
      </c>
      <c r="H73" s="162">
        <f>ROUND(IFERROR(VLOOKUP(A73,'NCLB Title III SAI'!$A$13:$G$189,7,FALSE),0),0)</f>
        <v>0</v>
      </c>
      <c r="I73" s="163">
        <f>ROUND(IFERROR(VLOOKUP(A73,'TITLE VI RURAL LI'!$A$13:$G$193,5,FALSE),0),0)</f>
        <v>0</v>
      </c>
    </row>
    <row r="74" spans="1:9" ht="18" x14ac:dyDescent="0.35">
      <c r="A74" s="164" t="s">
        <v>78</v>
      </c>
      <c r="B74" s="165" t="s">
        <v>256</v>
      </c>
      <c r="C74" s="162">
        <f>ROUND(IFERROR(VLOOKUP(A74,'NCLB Title I-A Formula'!$A$13:$G$201,7,FALSE),0),0)</f>
        <v>0</v>
      </c>
      <c r="D74" s="162">
        <f>ROUND(IFERROR(VLOOKUP(A74,'NCLB Title I-C Migrant'!$A$13:$G$201,5,FALSE),0),0)</f>
        <v>0</v>
      </c>
      <c r="E74" s="162">
        <f>ROUND(IFERROR(VLOOKUP(A74,'NCLB Title I-Delinquent'!$A$13:$G$201,5,FALSE),0),0)</f>
        <v>0</v>
      </c>
      <c r="F74" s="162">
        <f>ROUND(IFERROR(VLOOKUP(A74,'NCLB Title II-A Formula'!$A$13:$G$201,7,FALSE),0),0)</f>
        <v>0</v>
      </c>
      <c r="G74" s="162">
        <f>ROUND(IFERROR(VLOOKUP(A74,'NCLB Title III-A '!$A$13:$G$201,7,FALSE),0),0)</f>
        <v>0</v>
      </c>
      <c r="H74" s="162">
        <f>ROUND(IFERROR(VLOOKUP(A74,'NCLB Title III SAI'!$A$13:$G$189,7,FALSE),0),0)</f>
        <v>0</v>
      </c>
      <c r="I74" s="163">
        <f>ROUND(IFERROR(VLOOKUP(A74,'TITLE VI RURAL LI'!$A$13:$G$193,5,FALSE),0),0)</f>
        <v>0</v>
      </c>
    </row>
    <row r="75" spans="1:9" ht="18" x14ac:dyDescent="0.35">
      <c r="A75" s="164" t="s">
        <v>79</v>
      </c>
      <c r="B75" s="165" t="s">
        <v>257</v>
      </c>
      <c r="C75" s="162">
        <f>ROUND(IFERROR(VLOOKUP(A75,'NCLB Title I-A Formula'!$A$13:$G$201,7,FALSE),0),0)</f>
        <v>0</v>
      </c>
      <c r="D75" s="162">
        <f>ROUND(IFERROR(VLOOKUP(A75,'NCLB Title I-C Migrant'!$A$13:$G$201,5,FALSE),0),0)</f>
        <v>0</v>
      </c>
      <c r="E75" s="162">
        <f>ROUND(IFERROR(VLOOKUP(A75,'NCLB Title I-Delinquent'!$A$13:$G$201,5,FALSE),0),0)</f>
        <v>0</v>
      </c>
      <c r="F75" s="162">
        <f>ROUND(IFERROR(VLOOKUP(A75,'NCLB Title II-A Formula'!$A$13:$G$201,7,FALSE),0),0)</f>
        <v>0</v>
      </c>
      <c r="G75" s="162">
        <f>ROUND(IFERROR(VLOOKUP(A75,'NCLB Title III-A '!$A$13:$G$201,7,FALSE),0),0)</f>
        <v>0</v>
      </c>
      <c r="H75" s="162">
        <f>ROUND(IFERROR(VLOOKUP(A75,'NCLB Title III SAI'!$A$13:$G$189,7,FALSE),0),0)</f>
        <v>0</v>
      </c>
      <c r="I75" s="163">
        <f>ROUND(IFERROR(VLOOKUP(A75,'TITLE VI RURAL LI'!$A$13:$G$193,5,FALSE),0),0)</f>
        <v>0</v>
      </c>
    </row>
    <row r="76" spans="1:9" ht="18" x14ac:dyDescent="0.35">
      <c r="A76" s="164" t="s">
        <v>80</v>
      </c>
      <c r="B76" s="165" t="s">
        <v>258</v>
      </c>
      <c r="C76" s="162">
        <f>ROUND(IFERROR(VLOOKUP(A76,'NCLB Title I-A Formula'!$A$13:$G$201,7,FALSE),0),0)</f>
        <v>0</v>
      </c>
      <c r="D76" s="162">
        <f>ROUND(IFERROR(VLOOKUP(A76,'NCLB Title I-C Migrant'!$A$13:$G$201,5,FALSE),0),0)</f>
        <v>0</v>
      </c>
      <c r="E76" s="162">
        <f>ROUND(IFERROR(VLOOKUP(A76,'NCLB Title I-Delinquent'!$A$13:$G$201,5,FALSE),0),0)</f>
        <v>0</v>
      </c>
      <c r="F76" s="162">
        <f>ROUND(IFERROR(VLOOKUP(A76,'NCLB Title II-A Formula'!$A$13:$G$201,7,FALSE),0),0)</f>
        <v>0</v>
      </c>
      <c r="G76" s="162">
        <f>ROUND(IFERROR(VLOOKUP(A76,'NCLB Title III-A '!$A$13:$G$201,7,FALSE),0),0)</f>
        <v>0</v>
      </c>
      <c r="H76" s="162">
        <f>ROUND(IFERROR(VLOOKUP(A76,'NCLB Title III SAI'!$A$13:$G$189,7,FALSE),0),0)</f>
        <v>0</v>
      </c>
      <c r="I76" s="163">
        <f>ROUND(IFERROR(VLOOKUP(A76,'TITLE VI RURAL LI'!$A$13:$G$193,5,FALSE),0),0)</f>
        <v>0</v>
      </c>
    </row>
    <row r="77" spans="1:9" ht="18" x14ac:dyDescent="0.35">
      <c r="A77" s="164" t="s">
        <v>81</v>
      </c>
      <c r="B77" s="165" t="s">
        <v>259</v>
      </c>
      <c r="C77" s="162">
        <f>ROUND(IFERROR(VLOOKUP(A77,'NCLB Title I-A Formula'!$A$13:$G$201,7,FALSE),0),0)</f>
        <v>-3673</v>
      </c>
      <c r="D77" s="162">
        <f>ROUND(IFERROR(VLOOKUP(A77,'NCLB Title I-C Migrant'!$A$13:$G$201,5,FALSE),0),0)</f>
        <v>0</v>
      </c>
      <c r="E77" s="162">
        <f>ROUND(IFERROR(VLOOKUP(A77,'NCLB Title I-Delinquent'!$A$13:$G$201,5,FALSE),0),0)</f>
        <v>0</v>
      </c>
      <c r="F77" s="162">
        <f>ROUND(IFERROR(VLOOKUP(A77,'NCLB Title II-A Formula'!$A$13:$G$201,7,FALSE),0),0)</f>
        <v>0</v>
      </c>
      <c r="G77" s="162">
        <f>ROUND(IFERROR(VLOOKUP(A77,'NCLB Title III-A '!$A$13:$G$201,7,FALSE),0),0)</f>
        <v>0</v>
      </c>
      <c r="H77" s="162">
        <f>ROUND(IFERROR(VLOOKUP(A77,'NCLB Title III SAI'!$A$13:$G$189,7,FALSE),0),0)</f>
        <v>0</v>
      </c>
      <c r="I77" s="163">
        <f>ROUND(IFERROR(VLOOKUP(A77,'TITLE VI RURAL LI'!$A$13:$G$193,5,FALSE),0),0)</f>
        <v>0</v>
      </c>
    </row>
    <row r="78" spans="1:9" ht="18" x14ac:dyDescent="0.35">
      <c r="A78" s="164" t="s">
        <v>82</v>
      </c>
      <c r="B78" s="165" t="s">
        <v>260</v>
      </c>
      <c r="C78" s="162">
        <f>ROUND(IFERROR(VLOOKUP(A78,'NCLB Title I-A Formula'!$A$13:$G$201,7,FALSE),0),0)</f>
        <v>0</v>
      </c>
      <c r="D78" s="162">
        <f>ROUND(IFERROR(VLOOKUP(A78,'NCLB Title I-C Migrant'!$A$13:$G$201,5,FALSE),0),0)</f>
        <v>0</v>
      </c>
      <c r="E78" s="162">
        <f>ROUND(IFERROR(VLOOKUP(A78,'NCLB Title I-Delinquent'!$A$13:$G$201,5,FALSE),0),0)</f>
        <v>0</v>
      </c>
      <c r="F78" s="162">
        <f>ROUND(IFERROR(VLOOKUP(A78,'NCLB Title II-A Formula'!$A$13:$G$201,7,FALSE),0),0)</f>
        <v>0</v>
      </c>
      <c r="G78" s="162">
        <f>ROUND(IFERROR(VLOOKUP(A78,'NCLB Title III-A '!$A$13:$G$201,7,FALSE),0),0)</f>
        <v>0</v>
      </c>
      <c r="H78" s="162">
        <f>ROUND(IFERROR(VLOOKUP(A78,'NCLB Title III SAI'!$A$13:$G$189,7,FALSE),0),0)</f>
        <v>0</v>
      </c>
      <c r="I78" s="163">
        <f>ROUND(IFERROR(VLOOKUP(A78,'TITLE VI RURAL LI'!$A$13:$G$193,5,FALSE),0),0)</f>
        <v>0</v>
      </c>
    </row>
    <row r="79" spans="1:9" ht="18" x14ac:dyDescent="0.35">
      <c r="A79" s="164" t="s">
        <v>83</v>
      </c>
      <c r="B79" s="165" t="s">
        <v>261</v>
      </c>
      <c r="C79" s="162">
        <f>ROUND(IFERROR(VLOOKUP(A79,'NCLB Title I-A Formula'!$A$13:$G$201,7,FALSE),0),0)</f>
        <v>0</v>
      </c>
      <c r="D79" s="162">
        <f>ROUND(IFERROR(VLOOKUP(A79,'NCLB Title I-C Migrant'!$A$13:$G$201,5,FALSE),0),0)</f>
        <v>0</v>
      </c>
      <c r="E79" s="162">
        <f>ROUND(IFERROR(VLOOKUP(A79,'NCLB Title I-Delinquent'!$A$13:$G$201,5,FALSE),0),0)</f>
        <v>0</v>
      </c>
      <c r="F79" s="162">
        <f>ROUND(IFERROR(VLOOKUP(A79,'NCLB Title II-A Formula'!$A$13:$G$201,7,FALSE),0),0)</f>
        <v>0</v>
      </c>
      <c r="G79" s="162">
        <f>ROUND(IFERROR(VLOOKUP(A79,'NCLB Title III-A '!$A$13:$G$201,7,FALSE),0),0)</f>
        <v>0</v>
      </c>
      <c r="H79" s="162">
        <f>ROUND(IFERROR(VLOOKUP(A79,'NCLB Title III SAI'!$A$13:$G$189,7,FALSE),0),0)</f>
        <v>0</v>
      </c>
      <c r="I79" s="163">
        <f>ROUND(IFERROR(VLOOKUP(A79,'TITLE VI RURAL LI'!$A$13:$G$193,5,FALSE),0),0)</f>
        <v>0</v>
      </c>
    </row>
    <row r="80" spans="1:9" ht="18" x14ac:dyDescent="0.35">
      <c r="A80" s="164" t="s">
        <v>84</v>
      </c>
      <c r="B80" s="165" t="s">
        <v>262</v>
      </c>
      <c r="C80" s="162">
        <f>ROUND(IFERROR(VLOOKUP(A80,'NCLB Title I-A Formula'!$A$13:$G$201,7,FALSE),0),0)</f>
        <v>0</v>
      </c>
      <c r="D80" s="162">
        <f>ROUND(IFERROR(VLOOKUP(A80,'NCLB Title I-C Migrant'!$A$13:$G$201,5,FALSE),0),0)</f>
        <v>0</v>
      </c>
      <c r="E80" s="162">
        <f>ROUND(IFERROR(VLOOKUP(A80,'NCLB Title I-Delinquent'!$A$13:$G$201,5,FALSE),0),0)</f>
        <v>0</v>
      </c>
      <c r="F80" s="162">
        <f>ROUND(IFERROR(VLOOKUP(A80,'NCLB Title II-A Formula'!$A$13:$G$201,7,FALSE),0),0)</f>
        <v>0</v>
      </c>
      <c r="G80" s="162">
        <f>ROUND(IFERROR(VLOOKUP(A80,'NCLB Title III-A '!$A$13:$G$201,7,FALSE),0),0)</f>
        <v>0</v>
      </c>
      <c r="H80" s="162">
        <f>ROUND(IFERROR(VLOOKUP(A80,'NCLB Title III SAI'!$A$13:$G$189,7,FALSE),0),0)</f>
        <v>0</v>
      </c>
      <c r="I80" s="163">
        <f>ROUND(IFERROR(VLOOKUP(A80,'TITLE VI RURAL LI'!$A$13:$G$193,5,FALSE),0),0)</f>
        <v>0</v>
      </c>
    </row>
    <row r="81" spans="1:9" ht="18" x14ac:dyDescent="0.35">
      <c r="A81" s="164" t="s">
        <v>85</v>
      </c>
      <c r="B81" s="165" t="s">
        <v>263</v>
      </c>
      <c r="C81" s="162">
        <f>ROUND(IFERROR(VLOOKUP(A81,'NCLB Title I-A Formula'!$A$13:$G$201,7,FALSE),0),0)</f>
        <v>0</v>
      </c>
      <c r="D81" s="162">
        <f>ROUND(IFERROR(VLOOKUP(A81,'NCLB Title I-C Migrant'!$A$13:$G$201,5,FALSE),0),0)</f>
        <v>0</v>
      </c>
      <c r="E81" s="162">
        <f>ROUND(IFERROR(VLOOKUP(A81,'NCLB Title I-Delinquent'!$A$13:$G$201,5,FALSE),0),0)</f>
        <v>0</v>
      </c>
      <c r="F81" s="162">
        <f>ROUND(IFERROR(VLOOKUP(A81,'NCLB Title II-A Formula'!$A$13:$G$201,7,FALSE),0),0)</f>
        <v>0</v>
      </c>
      <c r="G81" s="162">
        <f>ROUND(IFERROR(VLOOKUP(A81,'NCLB Title III-A '!$A$13:$G$201,7,FALSE),0),0)</f>
        <v>0</v>
      </c>
      <c r="H81" s="162">
        <f>ROUND(IFERROR(VLOOKUP(A81,'NCLB Title III SAI'!$A$13:$G$189,7,FALSE),0),0)</f>
        <v>0</v>
      </c>
      <c r="I81" s="163">
        <f>ROUND(IFERROR(VLOOKUP(A81,'TITLE VI RURAL LI'!$A$13:$G$193,5,FALSE),0),0)</f>
        <v>0</v>
      </c>
    </row>
    <row r="82" spans="1:9" ht="18" x14ac:dyDescent="0.35">
      <c r="A82" s="164" t="s">
        <v>86</v>
      </c>
      <c r="B82" s="165" t="s">
        <v>264</v>
      </c>
      <c r="C82" s="162">
        <f>ROUND(IFERROR(VLOOKUP(A82,'NCLB Title I-A Formula'!$A$13:$G$201,7,FALSE),0),0)</f>
        <v>0</v>
      </c>
      <c r="D82" s="162">
        <f>ROUND(IFERROR(VLOOKUP(A82,'NCLB Title I-C Migrant'!$A$13:$G$201,5,FALSE),0),0)</f>
        <v>0</v>
      </c>
      <c r="E82" s="162">
        <f>ROUND(IFERROR(VLOOKUP(A82,'NCLB Title I-Delinquent'!$A$13:$G$201,5,FALSE),0),0)</f>
        <v>0</v>
      </c>
      <c r="F82" s="162">
        <f>ROUND(IFERROR(VLOOKUP(A82,'NCLB Title II-A Formula'!$A$13:$G$201,7,FALSE),0),0)</f>
        <v>0</v>
      </c>
      <c r="G82" s="162">
        <f>ROUND(IFERROR(VLOOKUP(A82,'NCLB Title III-A '!$A$13:$G$201,7,FALSE),0),0)</f>
        <v>0</v>
      </c>
      <c r="H82" s="162">
        <f>ROUND(IFERROR(VLOOKUP(A82,'NCLB Title III SAI'!$A$13:$G$189,7,FALSE),0),0)</f>
        <v>0</v>
      </c>
      <c r="I82" s="163">
        <f>ROUND(IFERROR(VLOOKUP(A82,'TITLE VI RURAL LI'!$A$13:$G$193,5,FALSE),0),0)</f>
        <v>0</v>
      </c>
    </row>
    <row r="83" spans="1:9" ht="18" x14ac:dyDescent="0.35">
      <c r="A83" s="164" t="s">
        <v>87</v>
      </c>
      <c r="B83" s="165" t="s">
        <v>265</v>
      </c>
      <c r="C83" s="162">
        <f>ROUND(IFERROR(VLOOKUP(A83,'NCLB Title I-A Formula'!$A$13:$G$201,7,FALSE),0),0)</f>
        <v>0</v>
      </c>
      <c r="D83" s="162">
        <f>ROUND(IFERROR(VLOOKUP(A83,'NCLB Title I-C Migrant'!$A$13:$G$201,5,FALSE),0),0)</f>
        <v>0</v>
      </c>
      <c r="E83" s="162">
        <f>ROUND(IFERROR(VLOOKUP(A83,'NCLB Title I-Delinquent'!$A$13:$G$201,5,FALSE),0),0)</f>
        <v>0</v>
      </c>
      <c r="F83" s="162">
        <f>ROUND(IFERROR(VLOOKUP(A83,'NCLB Title II-A Formula'!$A$13:$G$201,7,FALSE),0),0)</f>
        <v>925</v>
      </c>
      <c r="G83" s="162">
        <f>ROUND(IFERROR(VLOOKUP(A83,'NCLB Title III-A '!$A$13:$G$201,7,FALSE),0),0)</f>
        <v>0</v>
      </c>
      <c r="H83" s="162">
        <f>ROUND(IFERROR(VLOOKUP(A83,'NCLB Title III SAI'!$A$13:$G$189,7,FALSE),0),0)</f>
        <v>0</v>
      </c>
      <c r="I83" s="163">
        <f>ROUND(IFERROR(VLOOKUP(A83,'TITLE VI RURAL LI'!$A$13:$G$193,5,FALSE),0),0)</f>
        <v>0</v>
      </c>
    </row>
    <row r="84" spans="1:9" ht="18" x14ac:dyDescent="0.35">
      <c r="A84" s="164" t="s">
        <v>88</v>
      </c>
      <c r="B84" s="165" t="s">
        <v>266</v>
      </c>
      <c r="C84" s="162">
        <f>ROUND(IFERROR(VLOOKUP(A84,'NCLB Title I-A Formula'!$A$13:$G$201,7,FALSE),0),0)</f>
        <v>0</v>
      </c>
      <c r="D84" s="162">
        <f>ROUND(IFERROR(VLOOKUP(A84,'NCLB Title I-C Migrant'!$A$13:$G$201,5,FALSE),0),0)</f>
        <v>0</v>
      </c>
      <c r="E84" s="162">
        <f>ROUND(IFERROR(VLOOKUP(A84,'NCLB Title I-Delinquent'!$A$13:$G$201,5,FALSE),0),0)</f>
        <v>0</v>
      </c>
      <c r="F84" s="162">
        <f>ROUND(IFERROR(VLOOKUP(A84,'NCLB Title II-A Formula'!$A$13:$G$201,7,FALSE),0),0)</f>
        <v>0</v>
      </c>
      <c r="G84" s="162">
        <f>ROUND(IFERROR(VLOOKUP(A84,'NCLB Title III-A '!$A$13:$G$201,7,FALSE),0),0)</f>
        <v>0</v>
      </c>
      <c r="H84" s="162">
        <f>ROUND(IFERROR(VLOOKUP(A84,'NCLB Title III SAI'!$A$13:$G$189,7,FALSE),0),0)</f>
        <v>0</v>
      </c>
      <c r="I84" s="163">
        <f>ROUND(IFERROR(VLOOKUP(A84,'TITLE VI RURAL LI'!$A$13:$G$193,5,FALSE),0),0)</f>
        <v>0</v>
      </c>
    </row>
    <row r="85" spans="1:9" ht="18" x14ac:dyDescent="0.35">
      <c r="A85" s="164" t="s">
        <v>89</v>
      </c>
      <c r="B85" s="165" t="s">
        <v>267</v>
      </c>
      <c r="C85" s="162">
        <f>ROUND(IFERROR(VLOOKUP(A85,'NCLB Title I-A Formula'!$A$13:$G$201,7,FALSE),0),0)</f>
        <v>0</v>
      </c>
      <c r="D85" s="162">
        <f>ROUND(IFERROR(VLOOKUP(A85,'NCLB Title I-C Migrant'!$A$13:$G$201,5,FALSE),0),0)</f>
        <v>0</v>
      </c>
      <c r="E85" s="162">
        <f>ROUND(IFERROR(VLOOKUP(A85,'NCLB Title I-Delinquent'!$A$13:$G$201,5,FALSE),0),0)</f>
        <v>0</v>
      </c>
      <c r="F85" s="162">
        <f>ROUND(IFERROR(VLOOKUP(A85,'NCLB Title II-A Formula'!$A$13:$G$201,7,FALSE),0),0)</f>
        <v>0</v>
      </c>
      <c r="G85" s="162">
        <f>ROUND(IFERROR(VLOOKUP(A85,'NCLB Title III-A '!$A$13:$G$201,7,FALSE),0),0)</f>
        <v>0</v>
      </c>
      <c r="H85" s="162">
        <f>ROUND(IFERROR(VLOOKUP(A85,'NCLB Title III SAI'!$A$13:$G$189,7,FALSE),0),0)</f>
        <v>0</v>
      </c>
      <c r="I85" s="163">
        <f>ROUND(IFERROR(VLOOKUP(A85,'TITLE VI RURAL LI'!$A$13:$G$193,5,FALSE),0),0)</f>
        <v>0</v>
      </c>
    </row>
    <row r="86" spans="1:9" ht="18" x14ac:dyDescent="0.35">
      <c r="A86" s="164" t="s">
        <v>90</v>
      </c>
      <c r="B86" s="165" t="s">
        <v>268</v>
      </c>
      <c r="C86" s="162">
        <f>ROUND(IFERROR(VLOOKUP(A86,'NCLB Title I-A Formula'!$A$13:$G$201,7,FALSE),0),0)</f>
        <v>0</v>
      </c>
      <c r="D86" s="162">
        <f>ROUND(IFERROR(VLOOKUP(A86,'NCLB Title I-C Migrant'!$A$13:$G$201,5,FALSE),0),0)</f>
        <v>0</v>
      </c>
      <c r="E86" s="162">
        <f>ROUND(IFERROR(VLOOKUP(A86,'NCLB Title I-Delinquent'!$A$13:$G$201,5,FALSE),0),0)</f>
        <v>0</v>
      </c>
      <c r="F86" s="162">
        <f>ROUND(IFERROR(VLOOKUP(A86,'NCLB Title II-A Formula'!$A$13:$G$201,7,FALSE),0),0)</f>
        <v>0</v>
      </c>
      <c r="G86" s="162">
        <f>ROUND(IFERROR(VLOOKUP(A86,'NCLB Title III-A '!$A$13:$G$201,7,FALSE),0),0)</f>
        <v>0</v>
      </c>
      <c r="H86" s="162">
        <f>ROUND(IFERROR(VLOOKUP(A86,'NCLB Title III SAI'!$A$13:$G$189,7,FALSE),0),0)</f>
        <v>0</v>
      </c>
      <c r="I86" s="163">
        <f>ROUND(IFERROR(VLOOKUP(A86,'TITLE VI RURAL LI'!$A$13:$G$193,5,FALSE),0),0)</f>
        <v>0</v>
      </c>
    </row>
    <row r="87" spans="1:9" ht="18" x14ac:dyDescent="0.35">
      <c r="A87" s="164" t="s">
        <v>91</v>
      </c>
      <c r="B87" s="165" t="s">
        <v>269</v>
      </c>
      <c r="C87" s="162">
        <f>ROUND(IFERROR(VLOOKUP(A87,'NCLB Title I-A Formula'!$A$13:$G$201,7,FALSE),0),0)</f>
        <v>0</v>
      </c>
      <c r="D87" s="162">
        <f>ROUND(IFERROR(VLOOKUP(A87,'NCLB Title I-C Migrant'!$A$13:$G$201,5,FALSE),0),0)</f>
        <v>0</v>
      </c>
      <c r="E87" s="162">
        <f>ROUND(IFERROR(VLOOKUP(A87,'NCLB Title I-Delinquent'!$A$13:$G$201,5,FALSE),0),0)</f>
        <v>0</v>
      </c>
      <c r="F87" s="162">
        <f>ROUND(IFERROR(VLOOKUP(A87,'NCLB Title II-A Formula'!$A$13:$G$201,7,FALSE),0),0)</f>
        <v>0</v>
      </c>
      <c r="G87" s="162">
        <f>ROUND(IFERROR(VLOOKUP(A87,'NCLB Title III-A '!$A$13:$G$201,7,FALSE),0),0)</f>
        <v>0</v>
      </c>
      <c r="H87" s="162">
        <f>ROUND(IFERROR(VLOOKUP(A87,'NCLB Title III SAI'!$A$13:$G$189,7,FALSE),0),0)</f>
        <v>0</v>
      </c>
      <c r="I87" s="163">
        <f>ROUND(IFERROR(VLOOKUP(A87,'TITLE VI RURAL LI'!$A$13:$G$193,5,FALSE),0),0)</f>
        <v>0</v>
      </c>
    </row>
    <row r="88" spans="1:9" ht="18" x14ac:dyDescent="0.35">
      <c r="A88" s="164" t="s">
        <v>92</v>
      </c>
      <c r="B88" s="165" t="s">
        <v>270</v>
      </c>
      <c r="C88" s="162">
        <f>ROUND(IFERROR(VLOOKUP(A88,'NCLB Title I-A Formula'!$A$13:$G$201,7,FALSE),0),0)</f>
        <v>0</v>
      </c>
      <c r="D88" s="162">
        <f>ROUND(IFERROR(VLOOKUP(A88,'NCLB Title I-C Migrant'!$A$13:$G$201,5,FALSE),0),0)</f>
        <v>0</v>
      </c>
      <c r="E88" s="162">
        <f>ROUND(IFERROR(VLOOKUP(A88,'NCLB Title I-Delinquent'!$A$13:$G$201,5,FALSE),0),0)</f>
        <v>0</v>
      </c>
      <c r="F88" s="162">
        <f>ROUND(IFERROR(VLOOKUP(A88,'NCLB Title II-A Formula'!$A$13:$G$201,7,FALSE),0),0)</f>
        <v>0</v>
      </c>
      <c r="G88" s="162">
        <f>ROUND(IFERROR(VLOOKUP(A88,'NCLB Title III-A '!$A$13:$G$201,7,FALSE),0),0)</f>
        <v>0</v>
      </c>
      <c r="H88" s="162">
        <f>ROUND(IFERROR(VLOOKUP(A88,'NCLB Title III SAI'!$A$13:$G$189,7,FALSE),0),0)</f>
        <v>0</v>
      </c>
      <c r="I88" s="163">
        <f>ROUND(IFERROR(VLOOKUP(A88,'TITLE VI RURAL LI'!$A$13:$G$193,5,FALSE),0),0)</f>
        <v>0</v>
      </c>
    </row>
    <row r="89" spans="1:9" ht="18" x14ac:dyDescent="0.35">
      <c r="A89" s="164" t="s">
        <v>93</v>
      </c>
      <c r="B89" s="165" t="s">
        <v>271</v>
      </c>
      <c r="C89" s="162">
        <f>ROUND(IFERROR(VLOOKUP(A89,'NCLB Title I-A Formula'!$A$13:$G$201,7,FALSE),0),0)</f>
        <v>0</v>
      </c>
      <c r="D89" s="162">
        <f>ROUND(IFERROR(VLOOKUP(A89,'NCLB Title I-C Migrant'!$A$13:$G$201,5,FALSE),0),0)</f>
        <v>0</v>
      </c>
      <c r="E89" s="162">
        <f>ROUND(IFERROR(VLOOKUP(A89,'NCLB Title I-Delinquent'!$A$13:$G$201,5,FALSE),0),0)</f>
        <v>0</v>
      </c>
      <c r="F89" s="162">
        <f>ROUND(IFERROR(VLOOKUP(A89,'NCLB Title II-A Formula'!$A$13:$G$201,7,FALSE),0),0)</f>
        <v>0</v>
      </c>
      <c r="G89" s="162">
        <f>ROUND(IFERROR(VLOOKUP(A89,'NCLB Title III-A '!$A$13:$G$201,7,FALSE),0),0)</f>
        <v>0</v>
      </c>
      <c r="H89" s="162">
        <f>ROUND(IFERROR(VLOOKUP(A89,'NCLB Title III SAI'!$A$13:$G$189,7,FALSE),0),0)</f>
        <v>0</v>
      </c>
      <c r="I89" s="163">
        <f>ROUND(IFERROR(VLOOKUP(A89,'TITLE VI RURAL LI'!$A$13:$G$193,5,FALSE),0),0)</f>
        <v>0</v>
      </c>
    </row>
    <row r="90" spans="1:9" ht="18" x14ac:dyDescent="0.35">
      <c r="A90" s="164" t="s">
        <v>94</v>
      </c>
      <c r="B90" s="165" t="s">
        <v>272</v>
      </c>
      <c r="C90" s="162">
        <f>ROUND(IFERROR(VLOOKUP(A90,'NCLB Title I-A Formula'!$A$13:$G$201,7,FALSE),0),0)</f>
        <v>0</v>
      </c>
      <c r="D90" s="162">
        <f>ROUND(IFERROR(VLOOKUP(A90,'NCLB Title I-C Migrant'!$A$13:$G$201,5,FALSE),0),0)</f>
        <v>0</v>
      </c>
      <c r="E90" s="162">
        <f>ROUND(IFERROR(VLOOKUP(A90,'NCLB Title I-Delinquent'!$A$13:$G$201,5,FALSE),0),0)</f>
        <v>0</v>
      </c>
      <c r="F90" s="162">
        <f>ROUND(IFERROR(VLOOKUP(A90,'NCLB Title II-A Formula'!$A$13:$G$201,7,FALSE),0),0)</f>
        <v>0</v>
      </c>
      <c r="G90" s="162">
        <f>ROUND(IFERROR(VLOOKUP(A90,'NCLB Title III-A '!$A$13:$G$201,7,FALSE),0),0)</f>
        <v>0</v>
      </c>
      <c r="H90" s="162">
        <f>ROUND(IFERROR(VLOOKUP(A90,'NCLB Title III SAI'!$A$13:$G$189,7,FALSE),0),0)</f>
        <v>991</v>
      </c>
      <c r="I90" s="163">
        <f>ROUND(IFERROR(VLOOKUP(A90,'TITLE VI RURAL LI'!$A$13:$G$193,5,FALSE),0),0)</f>
        <v>0</v>
      </c>
    </row>
    <row r="91" spans="1:9" ht="18" x14ac:dyDescent="0.35">
      <c r="A91" s="164" t="s">
        <v>95</v>
      </c>
      <c r="B91" s="165" t="s">
        <v>273</v>
      </c>
      <c r="C91" s="162">
        <f>ROUND(IFERROR(VLOOKUP(A91,'NCLB Title I-A Formula'!$A$13:$G$201,7,FALSE),0),0)</f>
        <v>0</v>
      </c>
      <c r="D91" s="162">
        <f>ROUND(IFERROR(VLOOKUP(A91,'NCLB Title I-C Migrant'!$A$13:$G$201,5,FALSE),0),0)</f>
        <v>0</v>
      </c>
      <c r="E91" s="162">
        <f>ROUND(IFERROR(VLOOKUP(A91,'NCLB Title I-Delinquent'!$A$13:$G$201,5,FALSE),0),0)</f>
        <v>0</v>
      </c>
      <c r="F91" s="162">
        <f>ROUND(IFERROR(VLOOKUP(A91,'NCLB Title II-A Formula'!$A$13:$G$201,7,FALSE),0),0)</f>
        <v>0</v>
      </c>
      <c r="G91" s="162">
        <f>ROUND(IFERROR(VLOOKUP(A91,'NCLB Title III-A '!$A$13:$G$201,7,FALSE),0),0)</f>
        <v>0</v>
      </c>
      <c r="H91" s="162">
        <f>ROUND(IFERROR(VLOOKUP(A91,'NCLB Title III SAI'!$A$13:$G$189,7,FALSE),0),0)</f>
        <v>0</v>
      </c>
      <c r="I91" s="163">
        <f>ROUND(IFERROR(VLOOKUP(A91,'TITLE VI RURAL LI'!$A$13:$G$193,5,FALSE),0),0)</f>
        <v>0</v>
      </c>
    </row>
    <row r="92" spans="1:9" ht="18" x14ac:dyDescent="0.35">
      <c r="A92" s="164" t="s">
        <v>96</v>
      </c>
      <c r="B92" s="165" t="s">
        <v>274</v>
      </c>
      <c r="C92" s="162">
        <f>ROUND(IFERROR(VLOOKUP(A92,'NCLB Title I-A Formula'!$A$13:$G$201,7,FALSE),0),0)</f>
        <v>0</v>
      </c>
      <c r="D92" s="162">
        <f>ROUND(IFERROR(VLOOKUP(A92,'NCLB Title I-C Migrant'!$A$13:$G$201,5,FALSE),0),0)</f>
        <v>0</v>
      </c>
      <c r="E92" s="162">
        <f>ROUND(IFERROR(VLOOKUP(A92,'NCLB Title I-Delinquent'!$A$13:$G$201,5,FALSE),0),0)</f>
        <v>0</v>
      </c>
      <c r="F92" s="162">
        <f>ROUND(IFERROR(VLOOKUP(A92,'NCLB Title II-A Formula'!$A$13:$G$201,7,FALSE),0),0)</f>
        <v>0</v>
      </c>
      <c r="G92" s="162">
        <f>ROUND(IFERROR(VLOOKUP(A92,'NCLB Title III-A '!$A$13:$G$201,7,FALSE),0),0)</f>
        <v>0</v>
      </c>
      <c r="H92" s="162">
        <f>ROUND(IFERROR(VLOOKUP(A92,'NCLB Title III SAI'!$A$13:$G$189,7,FALSE),0),0)</f>
        <v>0</v>
      </c>
      <c r="I92" s="163">
        <f>ROUND(IFERROR(VLOOKUP(A92,'TITLE VI RURAL LI'!$A$13:$G$193,5,FALSE),0),0)</f>
        <v>0</v>
      </c>
    </row>
    <row r="93" spans="1:9" ht="18" x14ac:dyDescent="0.35">
      <c r="A93" s="164" t="s">
        <v>97</v>
      </c>
      <c r="B93" s="165" t="s">
        <v>275</v>
      </c>
      <c r="C93" s="162">
        <f>ROUND(IFERROR(VLOOKUP(A93,'NCLB Title I-A Formula'!$A$13:$G$201,7,FALSE),0),0)</f>
        <v>0</v>
      </c>
      <c r="D93" s="162">
        <f>ROUND(IFERROR(VLOOKUP(A93,'NCLB Title I-C Migrant'!$A$13:$G$201,5,FALSE),0),0)</f>
        <v>0</v>
      </c>
      <c r="E93" s="162">
        <f>ROUND(IFERROR(VLOOKUP(A93,'NCLB Title I-Delinquent'!$A$13:$G$201,5,FALSE),0),0)</f>
        <v>0</v>
      </c>
      <c r="F93" s="162">
        <f>ROUND(IFERROR(VLOOKUP(A93,'NCLB Title II-A Formula'!$A$13:$G$201,7,FALSE),0),0)</f>
        <v>0</v>
      </c>
      <c r="G93" s="162">
        <f>ROUND(IFERROR(VLOOKUP(A93,'NCLB Title III-A '!$A$13:$G$201,7,FALSE),0),0)</f>
        <v>0</v>
      </c>
      <c r="H93" s="162">
        <f>ROUND(IFERROR(VLOOKUP(A93,'NCLB Title III SAI'!$A$13:$G$189,7,FALSE),0),0)</f>
        <v>0</v>
      </c>
      <c r="I93" s="163">
        <f>ROUND(IFERROR(VLOOKUP(A93,'TITLE VI RURAL LI'!$A$13:$G$193,5,FALSE),0),0)</f>
        <v>0</v>
      </c>
    </row>
    <row r="94" spans="1:9" ht="18" x14ac:dyDescent="0.35">
      <c r="A94" s="164" t="s">
        <v>98</v>
      </c>
      <c r="B94" s="165" t="s">
        <v>276</v>
      </c>
      <c r="C94" s="162">
        <f>ROUND(IFERROR(VLOOKUP(A94,'NCLB Title I-A Formula'!$A$13:$G$201,7,FALSE),0),0)</f>
        <v>0</v>
      </c>
      <c r="D94" s="162">
        <f>ROUND(IFERROR(VLOOKUP(A94,'NCLB Title I-C Migrant'!$A$13:$G$201,5,FALSE),0),0)</f>
        <v>0</v>
      </c>
      <c r="E94" s="162">
        <f>ROUND(IFERROR(VLOOKUP(A94,'NCLB Title I-Delinquent'!$A$13:$G$201,5,FALSE),0),0)</f>
        <v>0</v>
      </c>
      <c r="F94" s="162">
        <f>ROUND(IFERROR(VLOOKUP(A94,'NCLB Title II-A Formula'!$A$13:$G$201,7,FALSE),0),0)</f>
        <v>0</v>
      </c>
      <c r="G94" s="162">
        <f>ROUND(IFERROR(VLOOKUP(A94,'NCLB Title III-A '!$A$13:$G$201,7,FALSE),0),0)</f>
        <v>0</v>
      </c>
      <c r="H94" s="162">
        <f>ROUND(IFERROR(VLOOKUP(A94,'NCLB Title III SAI'!$A$13:$G$189,7,FALSE),0),0)</f>
        <v>0</v>
      </c>
      <c r="I94" s="163">
        <f>ROUND(IFERROR(VLOOKUP(A94,'TITLE VI RURAL LI'!$A$13:$G$193,5,FALSE),0),0)</f>
        <v>0</v>
      </c>
    </row>
    <row r="95" spans="1:9" ht="18" x14ac:dyDescent="0.35">
      <c r="A95" s="164" t="s">
        <v>99</v>
      </c>
      <c r="B95" s="165" t="s">
        <v>277</v>
      </c>
      <c r="C95" s="162">
        <f>ROUND(IFERROR(VLOOKUP(A95,'NCLB Title I-A Formula'!$A$13:$G$201,7,FALSE),0),0)</f>
        <v>0</v>
      </c>
      <c r="D95" s="162">
        <f>ROUND(IFERROR(VLOOKUP(A95,'NCLB Title I-C Migrant'!$A$13:$G$201,5,FALSE),0),0)</f>
        <v>0</v>
      </c>
      <c r="E95" s="162">
        <f>ROUND(IFERROR(VLOOKUP(A95,'NCLB Title I-Delinquent'!$A$13:$G$201,5,FALSE),0),0)</f>
        <v>0</v>
      </c>
      <c r="F95" s="162">
        <f>ROUND(IFERROR(VLOOKUP(A95,'NCLB Title II-A Formula'!$A$13:$G$201,7,FALSE),0),0)</f>
        <v>0</v>
      </c>
      <c r="G95" s="162">
        <f>ROUND(IFERROR(VLOOKUP(A95,'NCLB Title III-A '!$A$13:$G$201,7,FALSE),0),0)</f>
        <v>0</v>
      </c>
      <c r="H95" s="162">
        <f>ROUND(IFERROR(VLOOKUP(A95,'NCLB Title III SAI'!$A$13:$G$189,7,FALSE),0),0)</f>
        <v>0</v>
      </c>
      <c r="I95" s="163">
        <f>ROUND(IFERROR(VLOOKUP(A95,'TITLE VI RURAL LI'!$A$13:$G$193,5,FALSE),0),0)</f>
        <v>0</v>
      </c>
    </row>
    <row r="96" spans="1:9" ht="18" x14ac:dyDescent="0.35">
      <c r="A96" s="164" t="s">
        <v>100</v>
      </c>
      <c r="B96" s="165" t="s">
        <v>278</v>
      </c>
      <c r="C96" s="162">
        <f>ROUND(IFERROR(VLOOKUP(A96,'NCLB Title I-A Formula'!$A$13:$G$201,7,FALSE),0),0)</f>
        <v>0</v>
      </c>
      <c r="D96" s="162">
        <f>ROUND(IFERROR(VLOOKUP(A96,'NCLB Title I-C Migrant'!$A$13:$G$201,5,FALSE),0),0)</f>
        <v>0</v>
      </c>
      <c r="E96" s="162">
        <f>ROUND(IFERROR(VLOOKUP(A96,'NCLB Title I-Delinquent'!$A$13:$G$201,5,FALSE),0),0)</f>
        <v>0</v>
      </c>
      <c r="F96" s="162">
        <f>ROUND(IFERROR(VLOOKUP(A96,'NCLB Title II-A Formula'!$A$13:$G$201,7,FALSE),0),0)</f>
        <v>0</v>
      </c>
      <c r="G96" s="162">
        <f>ROUND(IFERROR(VLOOKUP(A96,'NCLB Title III-A '!$A$13:$G$201,7,FALSE),0),0)</f>
        <v>0</v>
      </c>
      <c r="H96" s="162">
        <f>ROUND(IFERROR(VLOOKUP(A96,'NCLB Title III SAI'!$A$13:$G$189,7,FALSE),0),0)</f>
        <v>0</v>
      </c>
      <c r="I96" s="163">
        <f>ROUND(IFERROR(VLOOKUP(A96,'TITLE VI RURAL LI'!$A$13:$G$193,5,FALSE),0),0)</f>
        <v>0</v>
      </c>
    </row>
    <row r="97" spans="1:9" ht="18" x14ac:dyDescent="0.35">
      <c r="A97" s="164" t="s">
        <v>101</v>
      </c>
      <c r="B97" s="165" t="s">
        <v>279</v>
      </c>
      <c r="C97" s="162">
        <f>ROUND(IFERROR(VLOOKUP(A97,'NCLB Title I-A Formula'!$A$13:$G$201,7,FALSE),0),0)</f>
        <v>0</v>
      </c>
      <c r="D97" s="162">
        <f>ROUND(IFERROR(VLOOKUP(A97,'NCLB Title I-C Migrant'!$A$13:$G$201,5,FALSE),0),0)</f>
        <v>0</v>
      </c>
      <c r="E97" s="162">
        <f>ROUND(IFERROR(VLOOKUP(A97,'NCLB Title I-Delinquent'!$A$13:$G$201,5,FALSE),0),0)</f>
        <v>0</v>
      </c>
      <c r="F97" s="162">
        <f>ROUND(IFERROR(VLOOKUP(A97,'NCLB Title II-A Formula'!$A$13:$G$201,7,FALSE),0),0)</f>
        <v>0</v>
      </c>
      <c r="G97" s="162">
        <f>ROUND(IFERROR(VLOOKUP(A97,'NCLB Title III-A '!$A$13:$G$201,7,FALSE),0),0)</f>
        <v>0</v>
      </c>
      <c r="H97" s="162">
        <f>ROUND(IFERROR(VLOOKUP(A97,'NCLB Title III SAI'!$A$13:$G$189,7,FALSE),0),0)</f>
        <v>0</v>
      </c>
      <c r="I97" s="163">
        <f>ROUND(IFERROR(VLOOKUP(A97,'TITLE VI RURAL LI'!$A$13:$G$193,5,FALSE),0),0)</f>
        <v>0</v>
      </c>
    </row>
    <row r="98" spans="1:9" ht="18" x14ac:dyDescent="0.35">
      <c r="A98" s="164" t="s">
        <v>102</v>
      </c>
      <c r="B98" s="165" t="s">
        <v>280</v>
      </c>
      <c r="C98" s="162">
        <f>ROUND(IFERROR(VLOOKUP(A98,'NCLB Title I-A Formula'!$A$13:$G$201,7,FALSE),0),0)</f>
        <v>0</v>
      </c>
      <c r="D98" s="162">
        <f>ROUND(IFERROR(VLOOKUP(A98,'NCLB Title I-C Migrant'!$A$13:$G$201,5,FALSE),0),0)</f>
        <v>0</v>
      </c>
      <c r="E98" s="162">
        <f>ROUND(IFERROR(VLOOKUP(A98,'NCLB Title I-Delinquent'!$A$13:$G$201,5,FALSE),0),0)</f>
        <v>0</v>
      </c>
      <c r="F98" s="162">
        <f>ROUND(IFERROR(VLOOKUP(A98,'NCLB Title II-A Formula'!$A$13:$G$201,7,FALSE),0),0)</f>
        <v>0</v>
      </c>
      <c r="G98" s="162">
        <f>ROUND(IFERROR(VLOOKUP(A98,'NCLB Title III-A '!$A$13:$G$201,7,FALSE),0),0)</f>
        <v>0</v>
      </c>
      <c r="H98" s="162">
        <f>ROUND(IFERROR(VLOOKUP(A98,'NCLB Title III SAI'!$A$13:$G$189,7,FALSE),0),0)</f>
        <v>0</v>
      </c>
      <c r="I98" s="163">
        <f>ROUND(IFERROR(VLOOKUP(A98,'TITLE VI RURAL LI'!$A$13:$G$193,5,FALSE),0),0)</f>
        <v>0</v>
      </c>
    </row>
    <row r="99" spans="1:9" ht="18" x14ac:dyDescent="0.35">
      <c r="A99" s="164" t="s">
        <v>103</v>
      </c>
      <c r="B99" s="165" t="s">
        <v>281</v>
      </c>
      <c r="C99" s="162">
        <f>ROUND(IFERROR(VLOOKUP(A99,'NCLB Title I-A Formula'!$A$13:$G$201,7,FALSE),0),0)</f>
        <v>0</v>
      </c>
      <c r="D99" s="162">
        <f>ROUND(IFERROR(VLOOKUP(A99,'NCLB Title I-C Migrant'!$A$13:$G$201,5,FALSE),0),0)</f>
        <v>0</v>
      </c>
      <c r="E99" s="162">
        <f>ROUND(IFERROR(VLOOKUP(A99,'NCLB Title I-Delinquent'!$A$13:$G$201,5,FALSE),0),0)</f>
        <v>0</v>
      </c>
      <c r="F99" s="162">
        <f>ROUND(IFERROR(VLOOKUP(A99,'NCLB Title II-A Formula'!$A$13:$G$201,7,FALSE),0),0)</f>
        <v>0</v>
      </c>
      <c r="G99" s="162">
        <f>ROUND(IFERROR(VLOOKUP(A99,'NCLB Title III-A '!$A$13:$G$201,7,FALSE),0),0)</f>
        <v>0</v>
      </c>
      <c r="H99" s="162">
        <f>ROUND(IFERROR(VLOOKUP(A99,'NCLB Title III SAI'!$A$13:$G$189,7,FALSE),0),0)</f>
        <v>0</v>
      </c>
      <c r="I99" s="163">
        <f>ROUND(IFERROR(VLOOKUP(A99,'TITLE VI RURAL LI'!$A$13:$G$193,5,FALSE),0),0)</f>
        <v>0</v>
      </c>
    </row>
    <row r="100" spans="1:9" ht="18" x14ac:dyDescent="0.35">
      <c r="A100" s="164" t="s">
        <v>104</v>
      </c>
      <c r="B100" s="165" t="s">
        <v>282</v>
      </c>
      <c r="C100" s="162">
        <f>ROUND(IFERROR(VLOOKUP(A100,'NCLB Title I-A Formula'!$A$13:$G$201,7,FALSE),0),0)</f>
        <v>1416</v>
      </c>
      <c r="D100" s="162">
        <f>ROUND(IFERROR(VLOOKUP(A100,'NCLB Title I-C Migrant'!$A$13:$G$201,5,FALSE),0),0)</f>
        <v>0</v>
      </c>
      <c r="E100" s="162">
        <f>ROUND(IFERROR(VLOOKUP(A100,'NCLB Title I-Delinquent'!$A$13:$G$201,5,FALSE),0),0)</f>
        <v>0</v>
      </c>
      <c r="F100" s="162">
        <f>ROUND(IFERROR(VLOOKUP(A100,'NCLB Title II-A Formula'!$A$13:$G$201,7,FALSE),0),0)</f>
        <v>403</v>
      </c>
      <c r="G100" s="162">
        <f>ROUND(IFERROR(VLOOKUP(A100,'NCLB Title III-A '!$A$13:$G$201,7,FALSE),0),0)</f>
        <v>0</v>
      </c>
      <c r="H100" s="162">
        <f>ROUND(IFERROR(VLOOKUP(A100,'NCLB Title III SAI'!$A$13:$G$189,7,FALSE),0),0)</f>
        <v>0</v>
      </c>
      <c r="I100" s="163">
        <f>ROUND(IFERROR(VLOOKUP(A100,'TITLE VI RURAL LI'!$A$13:$G$193,5,FALSE),0),0)</f>
        <v>0</v>
      </c>
    </row>
    <row r="101" spans="1:9" ht="18" x14ac:dyDescent="0.35">
      <c r="A101" s="164" t="s">
        <v>105</v>
      </c>
      <c r="B101" s="165" t="s">
        <v>283</v>
      </c>
      <c r="C101" s="162">
        <f>ROUND(IFERROR(VLOOKUP(A101,'NCLB Title I-A Formula'!$A$13:$G$201,7,FALSE),0),0)</f>
        <v>0</v>
      </c>
      <c r="D101" s="162">
        <f>ROUND(IFERROR(VLOOKUP(A101,'NCLB Title I-C Migrant'!$A$13:$G$201,5,FALSE),0),0)</f>
        <v>0</v>
      </c>
      <c r="E101" s="162">
        <f>ROUND(IFERROR(VLOOKUP(A101,'NCLB Title I-Delinquent'!$A$13:$G$201,5,FALSE),0),0)</f>
        <v>0</v>
      </c>
      <c r="F101" s="162">
        <f>ROUND(IFERROR(VLOOKUP(A101,'NCLB Title II-A Formula'!$A$13:$G$201,7,FALSE),0),0)</f>
        <v>0</v>
      </c>
      <c r="G101" s="162">
        <f>ROUND(IFERROR(VLOOKUP(A101,'NCLB Title III-A '!$A$13:$G$201,7,FALSE),0),0)</f>
        <v>0</v>
      </c>
      <c r="H101" s="162">
        <f>ROUND(IFERROR(VLOOKUP(A101,'NCLB Title III SAI'!$A$13:$G$189,7,FALSE),0),0)</f>
        <v>0</v>
      </c>
      <c r="I101" s="163">
        <f>ROUND(IFERROR(VLOOKUP(A101,'TITLE VI RURAL LI'!$A$13:$G$193,5,FALSE),0),0)</f>
        <v>0</v>
      </c>
    </row>
    <row r="102" spans="1:9" ht="18" x14ac:dyDescent="0.35">
      <c r="A102" s="164" t="s">
        <v>106</v>
      </c>
      <c r="B102" s="165" t="s">
        <v>284</v>
      </c>
      <c r="C102" s="162">
        <f>ROUND(IFERROR(VLOOKUP(A102,'NCLB Title I-A Formula'!$A$13:$G$201,7,FALSE),0),0)</f>
        <v>0</v>
      </c>
      <c r="D102" s="162">
        <f>ROUND(IFERROR(VLOOKUP(A102,'NCLB Title I-C Migrant'!$A$13:$G$201,5,FALSE),0),0)</f>
        <v>0</v>
      </c>
      <c r="E102" s="162">
        <f>ROUND(IFERROR(VLOOKUP(A102,'NCLB Title I-Delinquent'!$A$13:$G$201,5,FALSE),0),0)</f>
        <v>0</v>
      </c>
      <c r="F102" s="162">
        <f>ROUND(IFERROR(VLOOKUP(A102,'NCLB Title II-A Formula'!$A$13:$G$201,7,FALSE),0),0)</f>
        <v>0</v>
      </c>
      <c r="G102" s="162">
        <f>ROUND(IFERROR(VLOOKUP(A102,'NCLB Title III-A '!$A$13:$G$201,7,FALSE),0),0)</f>
        <v>0</v>
      </c>
      <c r="H102" s="162">
        <f>ROUND(IFERROR(VLOOKUP(A102,'NCLB Title III SAI'!$A$13:$G$189,7,FALSE),0),0)</f>
        <v>0</v>
      </c>
      <c r="I102" s="163">
        <f>ROUND(IFERROR(VLOOKUP(A102,'TITLE VI RURAL LI'!$A$13:$G$193,5,FALSE),0),0)</f>
        <v>0</v>
      </c>
    </row>
    <row r="103" spans="1:9" ht="18" x14ac:dyDescent="0.35">
      <c r="A103" s="164" t="s">
        <v>107</v>
      </c>
      <c r="B103" s="165" t="s">
        <v>285</v>
      </c>
      <c r="C103" s="162">
        <f>ROUND(IFERROR(VLOOKUP(A103,'NCLB Title I-A Formula'!$A$13:$G$201,7,FALSE),0),0)</f>
        <v>0</v>
      </c>
      <c r="D103" s="162">
        <f>ROUND(IFERROR(VLOOKUP(A103,'NCLB Title I-C Migrant'!$A$13:$G$201,5,FALSE),0),0)</f>
        <v>0</v>
      </c>
      <c r="E103" s="162">
        <f>ROUND(IFERROR(VLOOKUP(A103,'NCLB Title I-Delinquent'!$A$13:$G$201,5,FALSE),0),0)</f>
        <v>0</v>
      </c>
      <c r="F103" s="162">
        <f>ROUND(IFERROR(VLOOKUP(A103,'NCLB Title II-A Formula'!$A$13:$G$201,7,FALSE),0),0)</f>
        <v>0</v>
      </c>
      <c r="G103" s="162">
        <f>ROUND(IFERROR(VLOOKUP(A103,'NCLB Title III-A '!$A$13:$G$201,7,FALSE),0),0)</f>
        <v>0</v>
      </c>
      <c r="H103" s="162">
        <f>ROUND(IFERROR(VLOOKUP(A103,'NCLB Title III SAI'!$A$13:$G$189,7,FALSE),0),0)</f>
        <v>0</v>
      </c>
      <c r="I103" s="163">
        <f>ROUND(IFERROR(VLOOKUP(A103,'TITLE VI RURAL LI'!$A$13:$G$193,5,FALSE),0),0)</f>
        <v>0</v>
      </c>
    </row>
    <row r="104" spans="1:9" ht="18" x14ac:dyDescent="0.35">
      <c r="A104" s="164" t="s">
        <v>108</v>
      </c>
      <c r="B104" s="165" t="s">
        <v>286</v>
      </c>
      <c r="C104" s="162">
        <f>ROUND(IFERROR(VLOOKUP(A104,'NCLB Title I-A Formula'!$A$13:$G$201,7,FALSE),0),0)</f>
        <v>0</v>
      </c>
      <c r="D104" s="162">
        <f>ROUND(IFERROR(VLOOKUP(A104,'NCLB Title I-C Migrant'!$A$13:$G$201,5,FALSE),0),0)</f>
        <v>0</v>
      </c>
      <c r="E104" s="162">
        <f>ROUND(IFERROR(VLOOKUP(A104,'NCLB Title I-Delinquent'!$A$13:$G$201,5,FALSE),0),0)</f>
        <v>0</v>
      </c>
      <c r="F104" s="162">
        <f>ROUND(IFERROR(VLOOKUP(A104,'NCLB Title II-A Formula'!$A$13:$G$201,7,FALSE),0),0)</f>
        <v>0</v>
      </c>
      <c r="G104" s="162">
        <f>ROUND(IFERROR(VLOOKUP(A104,'NCLB Title III-A '!$A$13:$G$201,7,FALSE),0),0)</f>
        <v>0</v>
      </c>
      <c r="H104" s="162">
        <f>ROUND(IFERROR(VLOOKUP(A104,'NCLB Title III SAI'!$A$13:$G$189,7,FALSE),0),0)</f>
        <v>0</v>
      </c>
      <c r="I104" s="163">
        <f>ROUND(IFERROR(VLOOKUP(A104,'TITLE VI RURAL LI'!$A$13:$G$193,5,FALSE),0),0)</f>
        <v>0</v>
      </c>
    </row>
    <row r="105" spans="1:9" ht="18" x14ac:dyDescent="0.35">
      <c r="A105" s="164" t="s">
        <v>109</v>
      </c>
      <c r="B105" s="165" t="s">
        <v>287</v>
      </c>
      <c r="C105" s="162">
        <f>ROUND(IFERROR(VLOOKUP(A105,'NCLB Title I-A Formula'!$A$13:$G$201,7,FALSE),0),0)</f>
        <v>0</v>
      </c>
      <c r="D105" s="162">
        <f>ROUND(IFERROR(VLOOKUP(A105,'NCLB Title I-C Migrant'!$A$13:$G$201,5,FALSE),0),0)</f>
        <v>0</v>
      </c>
      <c r="E105" s="162">
        <f>ROUND(IFERROR(VLOOKUP(A105,'NCLB Title I-Delinquent'!$A$13:$G$201,5,FALSE),0),0)</f>
        <v>0</v>
      </c>
      <c r="F105" s="162">
        <f>ROUND(IFERROR(VLOOKUP(A105,'NCLB Title II-A Formula'!$A$13:$G$201,7,FALSE),0),0)</f>
        <v>0</v>
      </c>
      <c r="G105" s="162">
        <f>ROUND(IFERROR(VLOOKUP(A105,'NCLB Title III-A '!$A$13:$G$201,7,FALSE),0),0)</f>
        <v>0</v>
      </c>
      <c r="H105" s="162">
        <f>ROUND(IFERROR(VLOOKUP(A105,'NCLB Title III SAI'!$A$13:$G$189,7,FALSE),0),0)</f>
        <v>0</v>
      </c>
      <c r="I105" s="163">
        <f>ROUND(IFERROR(VLOOKUP(A105,'TITLE VI RURAL LI'!$A$13:$G$193,5,FALSE),0),0)</f>
        <v>0</v>
      </c>
    </row>
    <row r="106" spans="1:9" ht="18" x14ac:dyDescent="0.35">
      <c r="A106" s="164" t="s">
        <v>110</v>
      </c>
      <c r="B106" s="165" t="s">
        <v>288</v>
      </c>
      <c r="C106" s="162">
        <f>ROUND(IFERROR(VLOOKUP(A106,'NCLB Title I-A Formula'!$A$13:$G$201,7,FALSE),0),0)</f>
        <v>0</v>
      </c>
      <c r="D106" s="162">
        <f>ROUND(IFERROR(VLOOKUP(A106,'NCLB Title I-C Migrant'!$A$13:$G$201,5,FALSE),0),0)</f>
        <v>0</v>
      </c>
      <c r="E106" s="162">
        <f>ROUND(IFERROR(VLOOKUP(A106,'NCLB Title I-Delinquent'!$A$13:$G$201,5,FALSE),0),0)</f>
        <v>0</v>
      </c>
      <c r="F106" s="162">
        <f>ROUND(IFERROR(VLOOKUP(A106,'NCLB Title II-A Formula'!$A$13:$G$201,7,FALSE),0),0)</f>
        <v>0</v>
      </c>
      <c r="G106" s="162">
        <f>ROUND(IFERROR(VLOOKUP(A106,'NCLB Title III-A '!$A$13:$G$201,7,FALSE),0),0)</f>
        <v>0</v>
      </c>
      <c r="H106" s="162">
        <f>ROUND(IFERROR(VLOOKUP(A106,'NCLB Title III SAI'!$A$13:$G$189,7,FALSE),0),0)</f>
        <v>0</v>
      </c>
      <c r="I106" s="163">
        <f>ROUND(IFERROR(VLOOKUP(A106,'TITLE VI RURAL LI'!$A$13:$G$193,5,FALSE),0),0)</f>
        <v>0</v>
      </c>
    </row>
    <row r="107" spans="1:9" ht="18" x14ac:dyDescent="0.35">
      <c r="A107" s="164" t="s">
        <v>111</v>
      </c>
      <c r="B107" s="165" t="s">
        <v>289</v>
      </c>
      <c r="C107" s="162">
        <f>ROUND(IFERROR(VLOOKUP(A107,'NCLB Title I-A Formula'!$A$13:$G$201,7,FALSE),0),0)</f>
        <v>0</v>
      </c>
      <c r="D107" s="162">
        <f>ROUND(IFERROR(VLOOKUP(A107,'NCLB Title I-C Migrant'!$A$13:$G$201,5,FALSE),0),0)</f>
        <v>0</v>
      </c>
      <c r="E107" s="162">
        <f>ROUND(IFERROR(VLOOKUP(A107,'NCLB Title I-Delinquent'!$A$13:$G$201,5,FALSE),0),0)</f>
        <v>0</v>
      </c>
      <c r="F107" s="162">
        <f>ROUND(IFERROR(VLOOKUP(A107,'NCLB Title II-A Formula'!$A$13:$G$201,7,FALSE),0),0)</f>
        <v>0</v>
      </c>
      <c r="G107" s="162">
        <f>ROUND(IFERROR(VLOOKUP(A107,'NCLB Title III-A '!$A$13:$G$201,7,FALSE),0),0)</f>
        <v>0</v>
      </c>
      <c r="H107" s="162">
        <f>ROUND(IFERROR(VLOOKUP(A107,'NCLB Title III SAI'!$A$13:$G$189,7,FALSE),0),0)</f>
        <v>0</v>
      </c>
      <c r="I107" s="163">
        <f>ROUND(IFERROR(VLOOKUP(A107,'TITLE VI RURAL LI'!$A$13:$G$193,5,FALSE),0),0)</f>
        <v>0</v>
      </c>
    </row>
    <row r="108" spans="1:9" ht="18" x14ac:dyDescent="0.35">
      <c r="A108" s="164" t="s">
        <v>112</v>
      </c>
      <c r="B108" s="165" t="s">
        <v>290</v>
      </c>
      <c r="C108" s="162">
        <f>ROUND(IFERROR(VLOOKUP(A108,'NCLB Title I-A Formula'!$A$13:$G$201,7,FALSE),0),0)</f>
        <v>0</v>
      </c>
      <c r="D108" s="162">
        <f>ROUND(IFERROR(VLOOKUP(A108,'NCLB Title I-C Migrant'!$A$13:$G$201,5,FALSE),0),0)</f>
        <v>0</v>
      </c>
      <c r="E108" s="162">
        <f>ROUND(IFERROR(VLOOKUP(A108,'NCLB Title I-Delinquent'!$A$13:$G$201,5,FALSE),0),0)</f>
        <v>0</v>
      </c>
      <c r="F108" s="162">
        <f>ROUND(IFERROR(VLOOKUP(A108,'NCLB Title II-A Formula'!$A$13:$G$201,7,FALSE),0),0)</f>
        <v>0</v>
      </c>
      <c r="G108" s="162">
        <f>ROUND(IFERROR(VLOOKUP(A108,'NCLB Title III-A '!$A$13:$G$201,7,FALSE),0),0)</f>
        <v>0</v>
      </c>
      <c r="H108" s="162">
        <f>ROUND(IFERROR(VLOOKUP(A108,'NCLB Title III SAI'!$A$13:$G$189,7,FALSE),0),0)</f>
        <v>0</v>
      </c>
      <c r="I108" s="163">
        <f>ROUND(IFERROR(VLOOKUP(A108,'TITLE VI RURAL LI'!$A$13:$G$193,5,FALSE),0),0)</f>
        <v>0</v>
      </c>
    </row>
    <row r="109" spans="1:9" ht="18" x14ac:dyDescent="0.35">
      <c r="A109" s="164" t="s">
        <v>113</v>
      </c>
      <c r="B109" s="165" t="s">
        <v>291</v>
      </c>
      <c r="C109" s="162">
        <f>ROUND(IFERROR(VLOOKUP(A109,'NCLB Title I-A Formula'!$A$13:$G$201,7,FALSE),0),0)</f>
        <v>0</v>
      </c>
      <c r="D109" s="162">
        <f>ROUND(IFERROR(VLOOKUP(A109,'NCLB Title I-C Migrant'!$A$13:$G$201,5,FALSE),0),0)</f>
        <v>0</v>
      </c>
      <c r="E109" s="162">
        <f>ROUND(IFERROR(VLOOKUP(A109,'NCLB Title I-Delinquent'!$A$13:$G$201,5,FALSE),0),0)</f>
        <v>0</v>
      </c>
      <c r="F109" s="162">
        <f>ROUND(IFERROR(VLOOKUP(A109,'NCLB Title II-A Formula'!$A$13:$G$201,7,FALSE),0),0)</f>
        <v>0</v>
      </c>
      <c r="G109" s="162">
        <f>ROUND(IFERROR(VLOOKUP(A109,'NCLB Title III-A '!$A$13:$G$201,7,FALSE),0),0)</f>
        <v>0</v>
      </c>
      <c r="H109" s="162">
        <f>ROUND(IFERROR(VLOOKUP(A109,'NCLB Title III SAI'!$A$13:$G$189,7,FALSE),0),0)</f>
        <v>0</v>
      </c>
      <c r="I109" s="163">
        <f>ROUND(IFERROR(VLOOKUP(A109,'TITLE VI RURAL LI'!$A$13:$G$193,5,FALSE),0),0)</f>
        <v>0</v>
      </c>
    </row>
    <row r="110" spans="1:9" ht="18" x14ac:dyDescent="0.35">
      <c r="A110" s="164" t="s">
        <v>114</v>
      </c>
      <c r="B110" s="165" t="s">
        <v>292</v>
      </c>
      <c r="C110" s="162">
        <f>ROUND(IFERROR(VLOOKUP(A110,'NCLB Title I-A Formula'!$A$13:$G$201,7,FALSE),0),0)</f>
        <v>0</v>
      </c>
      <c r="D110" s="162">
        <f>ROUND(IFERROR(VLOOKUP(A110,'NCLB Title I-C Migrant'!$A$13:$G$201,5,FALSE),0),0)</f>
        <v>0</v>
      </c>
      <c r="E110" s="162">
        <f>ROUND(IFERROR(VLOOKUP(A110,'NCLB Title I-Delinquent'!$A$13:$G$201,5,FALSE),0),0)</f>
        <v>0</v>
      </c>
      <c r="F110" s="162">
        <f>ROUND(IFERROR(VLOOKUP(A110,'NCLB Title II-A Formula'!$A$13:$G$201,7,FALSE),0),0)</f>
        <v>0</v>
      </c>
      <c r="G110" s="162">
        <f>ROUND(IFERROR(VLOOKUP(A110,'NCLB Title III-A '!$A$13:$G$201,7,FALSE),0),0)</f>
        <v>0</v>
      </c>
      <c r="H110" s="162">
        <f>ROUND(IFERROR(VLOOKUP(A110,'NCLB Title III SAI'!$A$13:$G$189,7,FALSE),0),0)</f>
        <v>0</v>
      </c>
      <c r="I110" s="163">
        <f>ROUND(IFERROR(VLOOKUP(A110,'TITLE VI RURAL LI'!$A$13:$G$193,5,FALSE),0),0)</f>
        <v>0</v>
      </c>
    </row>
    <row r="111" spans="1:9" ht="18" x14ac:dyDescent="0.35">
      <c r="A111" s="164" t="s">
        <v>115</v>
      </c>
      <c r="B111" s="165" t="s">
        <v>293</v>
      </c>
      <c r="C111" s="162">
        <f>ROUND(IFERROR(VLOOKUP(A111,'NCLB Title I-A Formula'!$A$13:$G$201,7,FALSE),0),0)</f>
        <v>0</v>
      </c>
      <c r="D111" s="162">
        <f>ROUND(IFERROR(VLOOKUP(A111,'NCLB Title I-C Migrant'!$A$13:$G$201,5,FALSE),0),0)</f>
        <v>0</v>
      </c>
      <c r="E111" s="162">
        <f>ROUND(IFERROR(VLOOKUP(A111,'NCLB Title I-Delinquent'!$A$13:$G$201,5,FALSE),0),0)</f>
        <v>0</v>
      </c>
      <c r="F111" s="162">
        <f>ROUND(IFERROR(VLOOKUP(A111,'NCLB Title II-A Formula'!$A$13:$G$201,7,FALSE),0),0)</f>
        <v>0</v>
      </c>
      <c r="G111" s="162">
        <f>ROUND(IFERROR(VLOOKUP(A111,'NCLB Title III-A '!$A$13:$G$201,7,FALSE),0),0)</f>
        <v>0</v>
      </c>
      <c r="H111" s="162">
        <f>ROUND(IFERROR(VLOOKUP(A111,'NCLB Title III SAI'!$A$13:$G$189,7,FALSE),0),0)</f>
        <v>0</v>
      </c>
      <c r="I111" s="163">
        <f>ROUND(IFERROR(VLOOKUP(A111,'TITLE VI RURAL LI'!$A$13:$G$193,5,FALSE),0),0)</f>
        <v>0</v>
      </c>
    </row>
    <row r="112" spans="1:9" ht="18" x14ac:dyDescent="0.35">
      <c r="A112" s="164" t="s">
        <v>116</v>
      </c>
      <c r="B112" s="165" t="s">
        <v>294</v>
      </c>
      <c r="C112" s="162">
        <f>ROUND(IFERROR(VLOOKUP(A112,'NCLB Title I-A Formula'!$A$13:$G$201,7,FALSE),0),0)</f>
        <v>0</v>
      </c>
      <c r="D112" s="162">
        <f>ROUND(IFERROR(VLOOKUP(A112,'NCLB Title I-C Migrant'!$A$13:$G$201,5,FALSE),0),0)</f>
        <v>0</v>
      </c>
      <c r="E112" s="162">
        <f>ROUND(IFERROR(VLOOKUP(A112,'NCLB Title I-Delinquent'!$A$13:$G$201,5,FALSE),0),0)</f>
        <v>0</v>
      </c>
      <c r="F112" s="162">
        <f>ROUND(IFERROR(VLOOKUP(A112,'NCLB Title II-A Formula'!$A$13:$G$201,7,FALSE),0),0)</f>
        <v>0</v>
      </c>
      <c r="G112" s="162">
        <f>ROUND(IFERROR(VLOOKUP(A112,'NCLB Title III-A '!$A$13:$G$201,7,FALSE),0),0)</f>
        <v>0</v>
      </c>
      <c r="H112" s="162">
        <f>ROUND(IFERROR(VLOOKUP(A112,'NCLB Title III SAI'!$A$13:$G$189,7,FALSE),0),0)</f>
        <v>0</v>
      </c>
      <c r="I112" s="163">
        <f>ROUND(IFERROR(VLOOKUP(A112,'TITLE VI RURAL LI'!$A$13:$G$193,5,FALSE),0),0)</f>
        <v>0</v>
      </c>
    </row>
    <row r="113" spans="1:9" ht="18" x14ac:dyDescent="0.35">
      <c r="A113" s="164" t="s">
        <v>117</v>
      </c>
      <c r="B113" s="165" t="s">
        <v>295</v>
      </c>
      <c r="C113" s="162">
        <f>ROUND(IFERROR(VLOOKUP(A113,'NCLB Title I-A Formula'!$A$13:$G$201,7,FALSE),0),0)</f>
        <v>0</v>
      </c>
      <c r="D113" s="162">
        <f>ROUND(IFERROR(VLOOKUP(A113,'NCLB Title I-C Migrant'!$A$13:$G$201,5,FALSE),0),0)</f>
        <v>0</v>
      </c>
      <c r="E113" s="162">
        <f>ROUND(IFERROR(VLOOKUP(A113,'NCLB Title I-Delinquent'!$A$13:$G$201,5,FALSE),0),0)</f>
        <v>0</v>
      </c>
      <c r="F113" s="162">
        <f>ROUND(IFERROR(VLOOKUP(A113,'NCLB Title II-A Formula'!$A$13:$G$201,7,FALSE),0),0)</f>
        <v>0</v>
      </c>
      <c r="G113" s="162">
        <f>ROUND(IFERROR(VLOOKUP(A113,'NCLB Title III-A '!$A$13:$G$201,7,FALSE),0),0)</f>
        <v>0</v>
      </c>
      <c r="H113" s="162">
        <f>ROUND(IFERROR(VLOOKUP(A113,'NCLB Title III SAI'!$A$13:$G$189,7,FALSE),0),0)</f>
        <v>0</v>
      </c>
      <c r="I113" s="163">
        <f>ROUND(IFERROR(VLOOKUP(A113,'TITLE VI RURAL LI'!$A$13:$G$193,5,FALSE),0),0)</f>
        <v>0</v>
      </c>
    </row>
    <row r="114" spans="1:9" ht="18" x14ac:dyDescent="0.35">
      <c r="A114" s="164" t="s">
        <v>118</v>
      </c>
      <c r="B114" s="165" t="s">
        <v>296</v>
      </c>
      <c r="C114" s="162">
        <f>ROUND(IFERROR(VLOOKUP(A114,'NCLB Title I-A Formula'!$A$13:$G$201,7,FALSE),0),0)</f>
        <v>0</v>
      </c>
      <c r="D114" s="162">
        <f>ROUND(IFERROR(VLOOKUP(A114,'NCLB Title I-C Migrant'!$A$13:$G$201,5,FALSE),0),0)</f>
        <v>0</v>
      </c>
      <c r="E114" s="162">
        <f>ROUND(IFERROR(VLOOKUP(A114,'NCLB Title I-Delinquent'!$A$13:$G$201,5,FALSE),0),0)</f>
        <v>0</v>
      </c>
      <c r="F114" s="162">
        <f>ROUND(IFERROR(VLOOKUP(A114,'NCLB Title II-A Formula'!$A$13:$G$201,7,FALSE),0),0)</f>
        <v>0</v>
      </c>
      <c r="G114" s="162">
        <f>ROUND(IFERROR(VLOOKUP(A114,'NCLB Title III-A '!$A$13:$G$201,7,FALSE),0),0)</f>
        <v>0</v>
      </c>
      <c r="H114" s="162">
        <f>ROUND(IFERROR(VLOOKUP(A114,'NCLB Title III SAI'!$A$13:$G$189,7,FALSE),0),0)</f>
        <v>0</v>
      </c>
      <c r="I114" s="163">
        <f>ROUND(IFERROR(VLOOKUP(A114,'TITLE VI RURAL LI'!$A$13:$G$193,5,FALSE),0),0)</f>
        <v>0</v>
      </c>
    </row>
    <row r="115" spans="1:9" ht="18" x14ac:dyDescent="0.35">
      <c r="A115" s="164" t="s">
        <v>119</v>
      </c>
      <c r="B115" s="165" t="s">
        <v>297</v>
      </c>
      <c r="C115" s="162">
        <f>ROUND(IFERROR(VLOOKUP(A115,'NCLB Title I-A Formula'!$A$13:$G$201,7,FALSE),0),0)</f>
        <v>0</v>
      </c>
      <c r="D115" s="162">
        <f>ROUND(IFERROR(VLOOKUP(A115,'NCLB Title I-C Migrant'!$A$13:$G$201,5,FALSE),0),0)</f>
        <v>0</v>
      </c>
      <c r="E115" s="162">
        <f>ROUND(IFERROR(VLOOKUP(A115,'NCLB Title I-Delinquent'!$A$13:$G$201,5,FALSE),0),0)</f>
        <v>0</v>
      </c>
      <c r="F115" s="162">
        <f>ROUND(IFERROR(VLOOKUP(A115,'NCLB Title II-A Formula'!$A$13:$G$201,7,FALSE),0),0)</f>
        <v>0</v>
      </c>
      <c r="G115" s="162">
        <f>ROUND(IFERROR(VLOOKUP(A115,'NCLB Title III-A '!$A$13:$G$201,7,FALSE),0),0)</f>
        <v>0</v>
      </c>
      <c r="H115" s="162">
        <f>ROUND(IFERROR(VLOOKUP(A115,'NCLB Title III SAI'!$A$13:$G$189,7,FALSE),0),0)</f>
        <v>0</v>
      </c>
      <c r="I115" s="163">
        <f>ROUND(IFERROR(VLOOKUP(A115,'TITLE VI RURAL LI'!$A$13:$G$193,5,FALSE),0),0)</f>
        <v>0</v>
      </c>
    </row>
    <row r="116" spans="1:9" ht="18" x14ac:dyDescent="0.35">
      <c r="A116" s="164" t="s">
        <v>120</v>
      </c>
      <c r="B116" s="165" t="s">
        <v>298</v>
      </c>
      <c r="C116" s="162">
        <f>ROUND(IFERROR(VLOOKUP(A116,'NCLB Title I-A Formula'!$A$13:$G$201,7,FALSE),0),0)</f>
        <v>-2</v>
      </c>
      <c r="D116" s="162">
        <f>ROUND(IFERROR(VLOOKUP(A116,'NCLB Title I-C Migrant'!$A$13:$G$201,5,FALSE),0),0)</f>
        <v>0</v>
      </c>
      <c r="E116" s="162">
        <f>ROUND(IFERROR(VLOOKUP(A116,'NCLB Title I-Delinquent'!$A$13:$G$201,5,FALSE),0),0)</f>
        <v>0</v>
      </c>
      <c r="F116" s="162">
        <f>ROUND(IFERROR(VLOOKUP(A116,'NCLB Title II-A Formula'!$A$13:$G$201,7,FALSE),0),0)</f>
        <v>0</v>
      </c>
      <c r="G116" s="162">
        <f>ROUND(IFERROR(VLOOKUP(A116,'NCLB Title III-A '!$A$13:$G$201,7,FALSE),0),0)</f>
        <v>0</v>
      </c>
      <c r="H116" s="162">
        <f>ROUND(IFERROR(VLOOKUP(A116,'NCLB Title III SAI'!$A$13:$G$189,7,FALSE),0),0)</f>
        <v>0</v>
      </c>
      <c r="I116" s="163">
        <f>ROUND(IFERROR(VLOOKUP(A116,'TITLE VI RURAL LI'!$A$13:$G$193,5,FALSE),0),0)</f>
        <v>0</v>
      </c>
    </row>
    <row r="117" spans="1:9" ht="18" x14ac:dyDescent="0.35">
      <c r="A117" s="164" t="s">
        <v>121</v>
      </c>
      <c r="B117" s="165" t="s">
        <v>299</v>
      </c>
      <c r="C117" s="162">
        <f>ROUND(IFERROR(VLOOKUP(A117,'NCLB Title I-A Formula'!$A$13:$G$201,7,FALSE),0),0)</f>
        <v>-40</v>
      </c>
      <c r="D117" s="162">
        <f>ROUND(IFERROR(VLOOKUP(A117,'NCLB Title I-C Migrant'!$A$13:$G$201,5,FALSE),0),0)</f>
        <v>0</v>
      </c>
      <c r="E117" s="162">
        <f>ROUND(IFERROR(VLOOKUP(A117,'NCLB Title I-Delinquent'!$A$13:$G$201,5,FALSE),0),0)</f>
        <v>0</v>
      </c>
      <c r="F117" s="162">
        <f>ROUND(IFERROR(VLOOKUP(A117,'NCLB Title II-A Formula'!$A$13:$G$201,7,FALSE),0),0)</f>
        <v>0</v>
      </c>
      <c r="G117" s="162">
        <f>ROUND(IFERROR(VLOOKUP(A117,'NCLB Title III-A '!$A$13:$G$201,7,FALSE),0),0)</f>
        <v>0</v>
      </c>
      <c r="H117" s="162">
        <f>ROUND(IFERROR(VLOOKUP(A117,'NCLB Title III SAI'!$A$13:$G$189,7,FALSE),0),0)</f>
        <v>0</v>
      </c>
      <c r="I117" s="163">
        <f>ROUND(IFERROR(VLOOKUP(A117,'TITLE VI RURAL LI'!$A$13:$G$193,5,FALSE),0),0)</f>
        <v>0</v>
      </c>
    </row>
    <row r="118" spans="1:9" ht="18" x14ac:dyDescent="0.35">
      <c r="A118" s="164" t="s">
        <v>122</v>
      </c>
      <c r="B118" s="165" t="s">
        <v>300</v>
      </c>
      <c r="C118" s="162">
        <f>ROUND(IFERROR(VLOOKUP(A118,'NCLB Title I-A Formula'!$A$13:$G$201,7,FALSE),0),0)</f>
        <v>0</v>
      </c>
      <c r="D118" s="162">
        <f>ROUND(IFERROR(VLOOKUP(A118,'NCLB Title I-C Migrant'!$A$13:$G$201,5,FALSE),0),0)</f>
        <v>0</v>
      </c>
      <c r="E118" s="162">
        <f>ROUND(IFERROR(VLOOKUP(A118,'NCLB Title I-Delinquent'!$A$13:$G$201,5,FALSE),0),0)</f>
        <v>0</v>
      </c>
      <c r="F118" s="162">
        <f>ROUND(IFERROR(VLOOKUP(A118,'NCLB Title II-A Formula'!$A$13:$G$201,7,FALSE),0),0)</f>
        <v>0</v>
      </c>
      <c r="G118" s="162">
        <f>ROUND(IFERROR(VLOOKUP(A118,'NCLB Title III-A '!$A$13:$G$201,7,FALSE),0),0)</f>
        <v>0</v>
      </c>
      <c r="H118" s="162">
        <f>ROUND(IFERROR(VLOOKUP(A118,'NCLB Title III SAI'!$A$13:$G$189,7,FALSE),0),0)</f>
        <v>0</v>
      </c>
      <c r="I118" s="163">
        <f>ROUND(IFERROR(VLOOKUP(A118,'TITLE VI RURAL LI'!$A$13:$G$193,5,FALSE),0),0)</f>
        <v>0</v>
      </c>
    </row>
    <row r="119" spans="1:9" ht="18" x14ac:dyDescent="0.35">
      <c r="A119" s="164" t="s">
        <v>123</v>
      </c>
      <c r="B119" s="165" t="s">
        <v>301</v>
      </c>
      <c r="C119" s="162">
        <f>ROUND(IFERROR(VLOOKUP(A119,'NCLB Title I-A Formula'!$A$13:$G$201,7,FALSE),0),0)</f>
        <v>0</v>
      </c>
      <c r="D119" s="162">
        <f>ROUND(IFERROR(VLOOKUP(A119,'NCLB Title I-C Migrant'!$A$13:$G$201,5,FALSE),0),0)</f>
        <v>0</v>
      </c>
      <c r="E119" s="162">
        <f>ROUND(IFERROR(VLOOKUP(A119,'NCLB Title I-Delinquent'!$A$13:$G$201,5,FALSE),0),0)</f>
        <v>0</v>
      </c>
      <c r="F119" s="162">
        <f>ROUND(IFERROR(VLOOKUP(A119,'NCLB Title II-A Formula'!$A$13:$G$201,7,FALSE),0),0)</f>
        <v>0</v>
      </c>
      <c r="G119" s="162">
        <f>ROUND(IFERROR(VLOOKUP(A119,'NCLB Title III-A '!$A$13:$G$201,7,FALSE),0),0)</f>
        <v>0</v>
      </c>
      <c r="H119" s="162">
        <f>ROUND(IFERROR(VLOOKUP(A119,'NCLB Title III SAI'!$A$13:$G$189,7,FALSE),0),0)</f>
        <v>0</v>
      </c>
      <c r="I119" s="163">
        <f>ROUND(IFERROR(VLOOKUP(A119,'TITLE VI RURAL LI'!$A$13:$G$193,5,FALSE),0),0)</f>
        <v>0</v>
      </c>
    </row>
    <row r="120" spans="1:9" ht="18" x14ac:dyDescent="0.35">
      <c r="A120" s="164" t="s">
        <v>124</v>
      </c>
      <c r="B120" s="165" t="s">
        <v>302</v>
      </c>
      <c r="C120" s="162">
        <f>ROUND(IFERROR(VLOOKUP(A120,'NCLB Title I-A Formula'!$A$13:$G$201,7,FALSE),0),0)</f>
        <v>0</v>
      </c>
      <c r="D120" s="162">
        <f>ROUND(IFERROR(VLOOKUP(A120,'NCLB Title I-C Migrant'!$A$13:$G$201,5,FALSE),0),0)</f>
        <v>0</v>
      </c>
      <c r="E120" s="162">
        <f>ROUND(IFERROR(VLOOKUP(A120,'NCLB Title I-Delinquent'!$A$13:$G$201,5,FALSE),0),0)</f>
        <v>0</v>
      </c>
      <c r="F120" s="162">
        <f>ROUND(IFERROR(VLOOKUP(A120,'NCLB Title II-A Formula'!$A$13:$G$201,7,FALSE),0),0)</f>
        <v>0</v>
      </c>
      <c r="G120" s="162">
        <f>ROUND(IFERROR(VLOOKUP(A120,'NCLB Title III-A '!$A$13:$G$201,7,FALSE),0),0)</f>
        <v>0</v>
      </c>
      <c r="H120" s="162">
        <f>ROUND(IFERROR(VLOOKUP(A120,'NCLB Title III SAI'!$A$13:$G$189,7,FALSE),0),0)</f>
        <v>0</v>
      </c>
      <c r="I120" s="163">
        <f>ROUND(IFERROR(VLOOKUP(A120,'TITLE VI RURAL LI'!$A$13:$G$193,5,FALSE),0),0)</f>
        <v>0</v>
      </c>
    </row>
    <row r="121" spans="1:9" ht="18" x14ac:dyDescent="0.35">
      <c r="A121" s="164" t="s">
        <v>125</v>
      </c>
      <c r="B121" s="165" t="s">
        <v>303</v>
      </c>
      <c r="C121" s="162">
        <f>ROUND(IFERROR(VLOOKUP(A121,'NCLB Title I-A Formula'!$A$13:$G$201,7,FALSE),0),0)</f>
        <v>0</v>
      </c>
      <c r="D121" s="162">
        <f>ROUND(IFERROR(VLOOKUP(A121,'NCLB Title I-C Migrant'!$A$13:$G$201,5,FALSE),0),0)</f>
        <v>0</v>
      </c>
      <c r="E121" s="162">
        <f>ROUND(IFERROR(VLOOKUP(A121,'NCLB Title I-Delinquent'!$A$13:$G$201,5,FALSE),0),0)</f>
        <v>0</v>
      </c>
      <c r="F121" s="162">
        <f>ROUND(IFERROR(VLOOKUP(A121,'NCLB Title II-A Formula'!$A$13:$G$201,7,FALSE),0),0)</f>
        <v>0</v>
      </c>
      <c r="G121" s="162">
        <f>ROUND(IFERROR(VLOOKUP(A121,'NCLB Title III-A '!$A$13:$G$201,7,FALSE),0),0)</f>
        <v>0</v>
      </c>
      <c r="H121" s="162">
        <f>ROUND(IFERROR(VLOOKUP(A121,'NCLB Title III SAI'!$A$13:$G$189,7,FALSE),0),0)</f>
        <v>0</v>
      </c>
      <c r="I121" s="163">
        <f>ROUND(IFERROR(VLOOKUP(A121,'TITLE VI RURAL LI'!$A$13:$G$193,5,FALSE),0),0)</f>
        <v>0</v>
      </c>
    </row>
    <row r="122" spans="1:9" ht="18" x14ac:dyDescent="0.35">
      <c r="A122" s="164" t="s">
        <v>126</v>
      </c>
      <c r="B122" s="165" t="s">
        <v>304</v>
      </c>
      <c r="C122" s="162">
        <f>ROUND(IFERROR(VLOOKUP(A122,'NCLB Title I-A Formula'!$A$13:$G$201,7,FALSE),0),0)</f>
        <v>0</v>
      </c>
      <c r="D122" s="162">
        <f>ROUND(IFERROR(VLOOKUP(A122,'NCLB Title I-C Migrant'!$A$13:$G$201,5,FALSE),0),0)</f>
        <v>0</v>
      </c>
      <c r="E122" s="162">
        <f>ROUND(IFERROR(VLOOKUP(A122,'NCLB Title I-Delinquent'!$A$13:$G$201,5,FALSE),0),0)</f>
        <v>0</v>
      </c>
      <c r="F122" s="162">
        <f>ROUND(IFERROR(VLOOKUP(A122,'NCLB Title II-A Formula'!$A$13:$G$201,7,FALSE),0),0)</f>
        <v>0</v>
      </c>
      <c r="G122" s="162">
        <f>ROUND(IFERROR(VLOOKUP(A122,'NCLB Title III-A '!$A$13:$G$201,7,FALSE),0),0)</f>
        <v>0</v>
      </c>
      <c r="H122" s="162">
        <f>ROUND(IFERROR(VLOOKUP(A122,'NCLB Title III SAI'!$A$13:$G$189,7,FALSE),0),0)</f>
        <v>0</v>
      </c>
      <c r="I122" s="163">
        <f>ROUND(IFERROR(VLOOKUP(A122,'TITLE VI RURAL LI'!$A$13:$G$193,5,FALSE),0),0)</f>
        <v>0</v>
      </c>
    </row>
    <row r="123" spans="1:9" ht="18" x14ac:dyDescent="0.35">
      <c r="A123" s="164" t="s">
        <v>127</v>
      </c>
      <c r="B123" s="165" t="s">
        <v>305</v>
      </c>
      <c r="C123" s="162">
        <f>ROUND(IFERROR(VLOOKUP(A123,'NCLB Title I-A Formula'!$A$13:$G$201,7,FALSE),0),0)</f>
        <v>0</v>
      </c>
      <c r="D123" s="162">
        <f>ROUND(IFERROR(VLOOKUP(A123,'NCLB Title I-C Migrant'!$A$13:$G$201,5,FALSE),0),0)</f>
        <v>0</v>
      </c>
      <c r="E123" s="162">
        <f>ROUND(IFERROR(VLOOKUP(A123,'NCLB Title I-Delinquent'!$A$13:$G$201,5,FALSE),0),0)</f>
        <v>0</v>
      </c>
      <c r="F123" s="162">
        <f>ROUND(IFERROR(VLOOKUP(A123,'NCLB Title II-A Formula'!$A$13:$G$201,7,FALSE),0),0)</f>
        <v>0</v>
      </c>
      <c r="G123" s="162">
        <f>ROUND(IFERROR(VLOOKUP(A123,'NCLB Title III-A '!$A$13:$G$201,7,FALSE),0),0)</f>
        <v>0</v>
      </c>
      <c r="H123" s="162">
        <f>ROUND(IFERROR(VLOOKUP(A123,'NCLB Title III SAI'!$A$13:$G$189,7,FALSE),0),0)</f>
        <v>0</v>
      </c>
      <c r="I123" s="163">
        <f>ROUND(IFERROR(VLOOKUP(A123,'TITLE VI RURAL LI'!$A$13:$G$193,5,FALSE),0),0)</f>
        <v>0</v>
      </c>
    </row>
    <row r="124" spans="1:9" ht="18" x14ac:dyDescent="0.35">
      <c r="A124" s="164" t="s">
        <v>128</v>
      </c>
      <c r="B124" s="165" t="s">
        <v>306</v>
      </c>
      <c r="C124" s="162">
        <f>ROUND(IFERROR(VLOOKUP(A124,'NCLB Title I-A Formula'!$A$13:$G$201,7,FALSE),0),0)</f>
        <v>0</v>
      </c>
      <c r="D124" s="162">
        <f>ROUND(IFERROR(VLOOKUP(A124,'NCLB Title I-C Migrant'!$A$13:$G$201,5,FALSE),0),0)</f>
        <v>0</v>
      </c>
      <c r="E124" s="162">
        <f>ROUND(IFERROR(VLOOKUP(A124,'NCLB Title I-Delinquent'!$A$13:$G$201,5,FALSE),0),0)</f>
        <v>0</v>
      </c>
      <c r="F124" s="162">
        <f>ROUND(IFERROR(VLOOKUP(A124,'NCLB Title II-A Formula'!$A$13:$G$201,7,FALSE),0),0)</f>
        <v>0</v>
      </c>
      <c r="G124" s="162">
        <f>ROUND(IFERROR(VLOOKUP(A124,'NCLB Title III-A '!$A$13:$G$201,7,FALSE),0),0)</f>
        <v>0</v>
      </c>
      <c r="H124" s="162">
        <f>ROUND(IFERROR(VLOOKUP(A124,'NCLB Title III SAI'!$A$13:$G$189,7,FALSE),0),0)</f>
        <v>0</v>
      </c>
      <c r="I124" s="163">
        <f>ROUND(IFERROR(VLOOKUP(A124,'TITLE VI RURAL LI'!$A$13:$G$193,5,FALSE),0),0)</f>
        <v>6897</v>
      </c>
    </row>
    <row r="125" spans="1:9" ht="18" x14ac:dyDescent="0.35">
      <c r="A125" s="164" t="s">
        <v>129</v>
      </c>
      <c r="B125" s="165" t="s">
        <v>307</v>
      </c>
      <c r="C125" s="162">
        <f>ROUND(IFERROR(VLOOKUP(A125,'NCLB Title I-A Formula'!$A$13:$G$201,7,FALSE),0),0)</f>
        <v>0</v>
      </c>
      <c r="D125" s="162">
        <f>ROUND(IFERROR(VLOOKUP(A125,'NCLB Title I-C Migrant'!$A$13:$G$201,5,FALSE),0),0)</f>
        <v>0</v>
      </c>
      <c r="E125" s="162">
        <f>ROUND(IFERROR(VLOOKUP(A125,'NCLB Title I-Delinquent'!$A$13:$G$201,5,FALSE),0),0)</f>
        <v>0</v>
      </c>
      <c r="F125" s="162">
        <f>ROUND(IFERROR(VLOOKUP(A125,'NCLB Title II-A Formula'!$A$13:$G$201,7,FALSE),0),0)</f>
        <v>0</v>
      </c>
      <c r="G125" s="162">
        <f>ROUND(IFERROR(VLOOKUP(A125,'NCLB Title III-A '!$A$13:$G$201,7,FALSE),0),0)</f>
        <v>0</v>
      </c>
      <c r="H125" s="162">
        <f>ROUND(IFERROR(VLOOKUP(A125,'NCLB Title III SAI'!$A$13:$G$189,7,FALSE),0),0)</f>
        <v>0</v>
      </c>
      <c r="I125" s="163">
        <f>ROUND(IFERROR(VLOOKUP(A125,'TITLE VI RURAL LI'!$A$13:$G$193,5,FALSE),0),0)</f>
        <v>0</v>
      </c>
    </row>
    <row r="126" spans="1:9" ht="18" x14ac:dyDescent="0.35">
      <c r="A126" s="164" t="s">
        <v>130</v>
      </c>
      <c r="B126" s="165" t="s">
        <v>308</v>
      </c>
      <c r="C126" s="162">
        <f>ROUND(IFERROR(VLOOKUP(A126,'NCLB Title I-A Formula'!$A$13:$G$201,7,FALSE),0),0)</f>
        <v>0</v>
      </c>
      <c r="D126" s="162">
        <f>ROUND(IFERROR(VLOOKUP(A126,'NCLB Title I-C Migrant'!$A$13:$G$201,5,FALSE),0),0)</f>
        <v>0</v>
      </c>
      <c r="E126" s="162">
        <f>ROUND(IFERROR(VLOOKUP(A126,'NCLB Title I-Delinquent'!$A$13:$G$201,5,FALSE),0),0)</f>
        <v>0</v>
      </c>
      <c r="F126" s="162">
        <f>ROUND(IFERROR(VLOOKUP(A126,'NCLB Title II-A Formula'!$A$13:$G$201,7,FALSE),0),0)</f>
        <v>0</v>
      </c>
      <c r="G126" s="162">
        <f>ROUND(IFERROR(VLOOKUP(A126,'NCLB Title III-A '!$A$13:$G$201,7,FALSE),0),0)</f>
        <v>0</v>
      </c>
      <c r="H126" s="162">
        <f>ROUND(IFERROR(VLOOKUP(A126,'NCLB Title III SAI'!$A$13:$G$189,7,FALSE),0),0)</f>
        <v>0</v>
      </c>
      <c r="I126" s="163">
        <f>ROUND(IFERROR(VLOOKUP(A126,'TITLE VI RURAL LI'!$A$13:$G$193,5,FALSE),0),0)</f>
        <v>0</v>
      </c>
    </row>
    <row r="127" spans="1:9" ht="18" x14ac:dyDescent="0.35">
      <c r="A127" s="164" t="s">
        <v>131</v>
      </c>
      <c r="B127" s="165" t="s">
        <v>309</v>
      </c>
      <c r="C127" s="162">
        <f>ROUND(IFERROR(VLOOKUP(A127,'NCLB Title I-A Formula'!$A$13:$G$201,7,FALSE),0),0)</f>
        <v>0</v>
      </c>
      <c r="D127" s="162">
        <f>ROUND(IFERROR(VLOOKUP(A127,'NCLB Title I-C Migrant'!$A$13:$G$201,5,FALSE),0),0)</f>
        <v>0</v>
      </c>
      <c r="E127" s="162">
        <f>ROUND(IFERROR(VLOOKUP(A127,'NCLB Title I-Delinquent'!$A$13:$G$201,5,FALSE),0),0)</f>
        <v>0</v>
      </c>
      <c r="F127" s="162">
        <f>ROUND(IFERROR(VLOOKUP(A127,'NCLB Title II-A Formula'!$A$13:$G$201,7,FALSE),0),0)</f>
        <v>0</v>
      </c>
      <c r="G127" s="162">
        <f>ROUND(IFERROR(VLOOKUP(A127,'NCLB Title III-A '!$A$13:$G$201,7,FALSE),0),0)</f>
        <v>0</v>
      </c>
      <c r="H127" s="162">
        <f>ROUND(IFERROR(VLOOKUP(A127,'NCLB Title III SAI'!$A$13:$G$189,7,FALSE),0),0)</f>
        <v>0</v>
      </c>
      <c r="I127" s="163">
        <f>ROUND(IFERROR(VLOOKUP(A127,'TITLE VI RURAL LI'!$A$13:$G$193,5,FALSE),0),0)</f>
        <v>0</v>
      </c>
    </row>
    <row r="128" spans="1:9" ht="18" x14ac:dyDescent="0.35">
      <c r="A128" s="164" t="s">
        <v>132</v>
      </c>
      <c r="B128" s="165" t="s">
        <v>310</v>
      </c>
      <c r="C128" s="162">
        <f>ROUND(IFERROR(VLOOKUP(A128,'NCLB Title I-A Formula'!$A$13:$G$201,7,FALSE),0),0)</f>
        <v>-1</v>
      </c>
      <c r="D128" s="162">
        <f>ROUND(IFERROR(VLOOKUP(A128,'NCLB Title I-C Migrant'!$A$13:$G$201,5,FALSE),0),0)</f>
        <v>0</v>
      </c>
      <c r="E128" s="162">
        <f>ROUND(IFERROR(VLOOKUP(A128,'NCLB Title I-Delinquent'!$A$13:$G$201,5,FALSE),0),0)</f>
        <v>0</v>
      </c>
      <c r="F128" s="162">
        <f>ROUND(IFERROR(VLOOKUP(A128,'NCLB Title II-A Formula'!$A$13:$G$201,7,FALSE),0),0)</f>
        <v>0</v>
      </c>
      <c r="G128" s="162">
        <f>ROUND(IFERROR(VLOOKUP(A128,'NCLB Title III-A '!$A$13:$G$201,7,FALSE),0),0)</f>
        <v>0</v>
      </c>
      <c r="H128" s="162">
        <f>ROUND(IFERROR(VLOOKUP(A128,'NCLB Title III SAI'!$A$13:$G$189,7,FALSE),0),0)</f>
        <v>0</v>
      </c>
      <c r="I128" s="163">
        <f>ROUND(IFERROR(VLOOKUP(A128,'TITLE VI RURAL LI'!$A$13:$G$193,5,FALSE),0),0)</f>
        <v>0</v>
      </c>
    </row>
    <row r="129" spans="1:9" ht="18" x14ac:dyDescent="0.35">
      <c r="A129" s="164" t="s">
        <v>133</v>
      </c>
      <c r="B129" s="165" t="s">
        <v>311</v>
      </c>
      <c r="C129" s="162">
        <f>ROUND(IFERROR(VLOOKUP(A129,'NCLB Title I-A Formula'!$A$13:$G$201,7,FALSE),0),0)</f>
        <v>0</v>
      </c>
      <c r="D129" s="162">
        <f>ROUND(IFERROR(VLOOKUP(A129,'NCLB Title I-C Migrant'!$A$13:$G$201,5,FALSE),0),0)</f>
        <v>0</v>
      </c>
      <c r="E129" s="162">
        <f>ROUND(IFERROR(VLOOKUP(A129,'NCLB Title I-Delinquent'!$A$13:$G$201,5,FALSE),0),0)</f>
        <v>0</v>
      </c>
      <c r="F129" s="162">
        <f>ROUND(IFERROR(VLOOKUP(A129,'NCLB Title II-A Formula'!$A$13:$G$201,7,FALSE),0),0)</f>
        <v>0</v>
      </c>
      <c r="G129" s="162">
        <f>ROUND(IFERROR(VLOOKUP(A129,'NCLB Title III-A '!$A$13:$G$201,7,FALSE),0),0)</f>
        <v>0</v>
      </c>
      <c r="H129" s="162">
        <f>ROUND(IFERROR(VLOOKUP(A129,'NCLB Title III SAI'!$A$13:$G$189,7,FALSE),0),0)</f>
        <v>0</v>
      </c>
      <c r="I129" s="163">
        <f>ROUND(IFERROR(VLOOKUP(A129,'TITLE VI RURAL LI'!$A$13:$G$193,5,FALSE),0),0)</f>
        <v>0</v>
      </c>
    </row>
    <row r="130" spans="1:9" ht="18" x14ac:dyDescent="0.35">
      <c r="A130" s="164" t="s">
        <v>134</v>
      </c>
      <c r="B130" s="165" t="s">
        <v>312</v>
      </c>
      <c r="C130" s="162">
        <f>ROUND(IFERROR(VLOOKUP(A130,'NCLB Title I-A Formula'!$A$13:$G$201,7,FALSE),0),0)</f>
        <v>0</v>
      </c>
      <c r="D130" s="162">
        <f>ROUND(IFERROR(VLOOKUP(A130,'NCLB Title I-C Migrant'!$A$13:$G$201,5,FALSE),0),0)</f>
        <v>0</v>
      </c>
      <c r="E130" s="162">
        <f>ROUND(IFERROR(VLOOKUP(A130,'NCLB Title I-Delinquent'!$A$13:$G$201,5,FALSE),0),0)</f>
        <v>0</v>
      </c>
      <c r="F130" s="162">
        <f>ROUND(IFERROR(VLOOKUP(A130,'NCLB Title II-A Formula'!$A$13:$G$201,7,FALSE),0),0)</f>
        <v>0</v>
      </c>
      <c r="G130" s="162">
        <f>ROUND(IFERROR(VLOOKUP(A130,'NCLB Title III-A '!$A$13:$G$201,7,FALSE),0),0)</f>
        <v>0</v>
      </c>
      <c r="H130" s="162">
        <f>ROUND(IFERROR(VLOOKUP(A130,'NCLB Title III SAI'!$A$13:$G$189,7,FALSE),0),0)</f>
        <v>0</v>
      </c>
      <c r="I130" s="163">
        <f>ROUND(IFERROR(VLOOKUP(A130,'TITLE VI RURAL LI'!$A$13:$G$193,5,FALSE),0),0)</f>
        <v>0</v>
      </c>
    </row>
    <row r="131" spans="1:9" ht="18" x14ac:dyDescent="0.35">
      <c r="A131" s="164" t="s">
        <v>135</v>
      </c>
      <c r="B131" s="165" t="s">
        <v>313</v>
      </c>
      <c r="C131" s="162">
        <f>ROUND(IFERROR(VLOOKUP(A131,'NCLB Title I-A Formula'!$A$13:$G$201,7,FALSE),0),0)</f>
        <v>0</v>
      </c>
      <c r="D131" s="162">
        <f>ROUND(IFERROR(VLOOKUP(A131,'NCLB Title I-C Migrant'!$A$13:$G$201,5,FALSE),0),0)</f>
        <v>0</v>
      </c>
      <c r="E131" s="162">
        <f>ROUND(IFERROR(VLOOKUP(A131,'NCLB Title I-Delinquent'!$A$13:$G$201,5,FALSE),0),0)</f>
        <v>0</v>
      </c>
      <c r="F131" s="162">
        <f>ROUND(IFERROR(VLOOKUP(A131,'NCLB Title II-A Formula'!$A$13:$G$201,7,FALSE),0),0)</f>
        <v>0</v>
      </c>
      <c r="G131" s="162">
        <f>ROUND(IFERROR(VLOOKUP(A131,'NCLB Title III-A '!$A$13:$G$201,7,FALSE),0),0)</f>
        <v>0</v>
      </c>
      <c r="H131" s="162">
        <f>ROUND(IFERROR(VLOOKUP(A131,'NCLB Title III SAI'!$A$13:$G$189,7,FALSE),0),0)</f>
        <v>0</v>
      </c>
      <c r="I131" s="163">
        <f>ROUND(IFERROR(VLOOKUP(A131,'TITLE VI RURAL LI'!$A$13:$G$193,5,FALSE),0),0)</f>
        <v>0</v>
      </c>
    </row>
    <row r="132" spans="1:9" ht="18" x14ac:dyDescent="0.35">
      <c r="A132" s="164" t="s">
        <v>136</v>
      </c>
      <c r="B132" s="165" t="s">
        <v>314</v>
      </c>
      <c r="C132" s="162">
        <f>ROUND(IFERROR(VLOOKUP(A132,'NCLB Title I-A Formula'!$A$13:$G$201,7,FALSE),0),0)</f>
        <v>0</v>
      </c>
      <c r="D132" s="162">
        <f>ROUND(IFERROR(VLOOKUP(A132,'NCLB Title I-C Migrant'!$A$13:$G$201,5,FALSE),0),0)</f>
        <v>0</v>
      </c>
      <c r="E132" s="162">
        <f>ROUND(IFERROR(VLOOKUP(A132,'NCLB Title I-Delinquent'!$A$13:$G$201,5,FALSE),0),0)</f>
        <v>0</v>
      </c>
      <c r="F132" s="162">
        <f>ROUND(IFERROR(VLOOKUP(A132,'NCLB Title II-A Formula'!$A$13:$G$201,7,FALSE),0),0)</f>
        <v>0</v>
      </c>
      <c r="G132" s="162">
        <f>ROUND(IFERROR(VLOOKUP(A132,'NCLB Title III-A '!$A$13:$G$201,7,FALSE),0),0)</f>
        <v>0</v>
      </c>
      <c r="H132" s="162">
        <f>ROUND(IFERROR(VLOOKUP(A132,'NCLB Title III SAI'!$A$13:$G$189,7,FALSE),0),0)</f>
        <v>0</v>
      </c>
      <c r="I132" s="163">
        <f>ROUND(IFERROR(VLOOKUP(A132,'TITLE VI RURAL LI'!$A$13:$G$193,5,FALSE),0),0)</f>
        <v>0</v>
      </c>
    </row>
    <row r="133" spans="1:9" ht="18" x14ac:dyDescent="0.35">
      <c r="A133" s="164" t="s">
        <v>137</v>
      </c>
      <c r="B133" s="165" t="s">
        <v>315</v>
      </c>
      <c r="C133" s="162">
        <f>ROUND(IFERROR(VLOOKUP(A133,'NCLB Title I-A Formula'!$A$13:$G$201,7,FALSE),0),0)</f>
        <v>0</v>
      </c>
      <c r="D133" s="162">
        <f>ROUND(IFERROR(VLOOKUP(A133,'NCLB Title I-C Migrant'!$A$13:$G$201,5,FALSE),0),0)</f>
        <v>0</v>
      </c>
      <c r="E133" s="162">
        <f>ROUND(IFERROR(VLOOKUP(A133,'NCLB Title I-Delinquent'!$A$13:$G$201,5,FALSE),0),0)</f>
        <v>0</v>
      </c>
      <c r="F133" s="162">
        <f>ROUND(IFERROR(VLOOKUP(A133,'NCLB Title II-A Formula'!$A$13:$G$201,7,FALSE),0),0)</f>
        <v>0</v>
      </c>
      <c r="G133" s="162">
        <f>ROUND(IFERROR(VLOOKUP(A133,'NCLB Title III-A '!$A$13:$G$201,7,FALSE),0),0)</f>
        <v>0</v>
      </c>
      <c r="H133" s="162">
        <f>ROUND(IFERROR(VLOOKUP(A133,'NCLB Title III SAI'!$A$13:$G$189,7,FALSE),0),0)</f>
        <v>0</v>
      </c>
      <c r="I133" s="163">
        <f>ROUND(IFERROR(VLOOKUP(A133,'TITLE VI RURAL LI'!$A$13:$G$193,5,FALSE),0),0)</f>
        <v>0</v>
      </c>
    </row>
    <row r="134" spans="1:9" ht="18" x14ac:dyDescent="0.35">
      <c r="A134" s="164" t="s">
        <v>138</v>
      </c>
      <c r="B134" s="165" t="s">
        <v>316</v>
      </c>
      <c r="C134" s="162">
        <f>ROUND(IFERROR(VLOOKUP(A134,'NCLB Title I-A Formula'!$A$13:$G$201,7,FALSE),0),0)</f>
        <v>0</v>
      </c>
      <c r="D134" s="162">
        <f>ROUND(IFERROR(VLOOKUP(A134,'NCLB Title I-C Migrant'!$A$13:$G$201,5,FALSE),0),0)</f>
        <v>0</v>
      </c>
      <c r="E134" s="162">
        <f>ROUND(IFERROR(VLOOKUP(A134,'NCLB Title I-Delinquent'!$A$13:$G$201,5,FALSE),0),0)</f>
        <v>0</v>
      </c>
      <c r="F134" s="162">
        <f>ROUND(IFERROR(VLOOKUP(A134,'NCLB Title II-A Formula'!$A$13:$G$201,7,FALSE),0),0)</f>
        <v>0</v>
      </c>
      <c r="G134" s="162">
        <f>ROUND(IFERROR(VLOOKUP(A134,'NCLB Title III-A '!$A$13:$G$201,7,FALSE),0),0)</f>
        <v>0</v>
      </c>
      <c r="H134" s="162">
        <f>ROUND(IFERROR(VLOOKUP(A134,'NCLB Title III SAI'!$A$13:$G$189,7,FALSE),0),0)</f>
        <v>0</v>
      </c>
      <c r="I134" s="163">
        <f>ROUND(IFERROR(VLOOKUP(A134,'TITLE VI RURAL LI'!$A$13:$G$193,5,FALSE),0),0)</f>
        <v>0</v>
      </c>
    </row>
    <row r="135" spans="1:9" ht="18" x14ac:dyDescent="0.35">
      <c r="A135" s="164" t="s">
        <v>139</v>
      </c>
      <c r="B135" s="165" t="s">
        <v>317</v>
      </c>
      <c r="C135" s="162">
        <f>ROUND(IFERROR(VLOOKUP(A135,'NCLB Title I-A Formula'!$A$13:$G$201,7,FALSE),0),0)</f>
        <v>0</v>
      </c>
      <c r="D135" s="162">
        <f>ROUND(IFERROR(VLOOKUP(A135,'NCLB Title I-C Migrant'!$A$13:$G$201,5,FALSE),0),0)</f>
        <v>0</v>
      </c>
      <c r="E135" s="162">
        <f>ROUND(IFERROR(VLOOKUP(A135,'NCLB Title I-Delinquent'!$A$13:$G$201,5,FALSE),0),0)</f>
        <v>0</v>
      </c>
      <c r="F135" s="162">
        <f>ROUND(IFERROR(VLOOKUP(A135,'NCLB Title II-A Formula'!$A$13:$G$201,7,FALSE),0),0)</f>
        <v>0</v>
      </c>
      <c r="G135" s="162">
        <f>ROUND(IFERROR(VLOOKUP(A135,'NCLB Title III-A '!$A$13:$G$201,7,FALSE),0),0)</f>
        <v>0</v>
      </c>
      <c r="H135" s="162">
        <f>ROUND(IFERROR(VLOOKUP(A135,'NCLB Title III SAI'!$A$13:$G$189,7,FALSE),0),0)</f>
        <v>0</v>
      </c>
      <c r="I135" s="163">
        <f>ROUND(IFERROR(VLOOKUP(A135,'TITLE VI RURAL LI'!$A$13:$G$193,5,FALSE),0),0)</f>
        <v>0</v>
      </c>
    </row>
    <row r="136" spans="1:9" ht="18" x14ac:dyDescent="0.35">
      <c r="A136" s="164" t="s">
        <v>140</v>
      </c>
      <c r="B136" s="165" t="s">
        <v>318</v>
      </c>
      <c r="C136" s="162">
        <f>ROUND(IFERROR(VLOOKUP(A136,'NCLB Title I-A Formula'!$A$13:$G$201,7,FALSE),0),0)</f>
        <v>0</v>
      </c>
      <c r="D136" s="162">
        <f>ROUND(IFERROR(VLOOKUP(A136,'NCLB Title I-C Migrant'!$A$13:$G$201,5,FALSE),0),0)</f>
        <v>0</v>
      </c>
      <c r="E136" s="162">
        <f>ROUND(IFERROR(VLOOKUP(A136,'NCLB Title I-Delinquent'!$A$13:$G$201,5,FALSE),0),0)</f>
        <v>0</v>
      </c>
      <c r="F136" s="162">
        <f>ROUND(IFERROR(VLOOKUP(A136,'NCLB Title II-A Formula'!$A$13:$G$201,7,FALSE),0),0)</f>
        <v>0</v>
      </c>
      <c r="G136" s="162">
        <f>ROUND(IFERROR(VLOOKUP(A136,'NCLB Title III-A '!$A$13:$G$201,7,FALSE),0),0)</f>
        <v>0</v>
      </c>
      <c r="H136" s="162">
        <f>ROUND(IFERROR(VLOOKUP(A136,'NCLB Title III SAI'!$A$13:$G$189,7,FALSE),0),0)</f>
        <v>0</v>
      </c>
      <c r="I136" s="163">
        <f>ROUND(IFERROR(VLOOKUP(A136,'TITLE VI RURAL LI'!$A$13:$G$193,5,FALSE),0),0)</f>
        <v>0</v>
      </c>
    </row>
    <row r="137" spans="1:9" ht="18" x14ac:dyDescent="0.35">
      <c r="A137" s="164" t="s">
        <v>141</v>
      </c>
      <c r="B137" s="165" t="s">
        <v>319</v>
      </c>
      <c r="C137" s="162">
        <f>ROUND(IFERROR(VLOOKUP(A137,'NCLB Title I-A Formula'!$A$13:$G$201,7,FALSE),0),0)</f>
        <v>0</v>
      </c>
      <c r="D137" s="162">
        <f>ROUND(IFERROR(VLOOKUP(A137,'NCLB Title I-C Migrant'!$A$13:$G$201,5,FALSE),0),0)</f>
        <v>0</v>
      </c>
      <c r="E137" s="162">
        <f>ROUND(IFERROR(VLOOKUP(A137,'NCLB Title I-Delinquent'!$A$13:$G$201,5,FALSE),0),0)</f>
        <v>0</v>
      </c>
      <c r="F137" s="162">
        <f>ROUND(IFERROR(VLOOKUP(A137,'NCLB Title II-A Formula'!$A$13:$G$201,7,FALSE),0),0)</f>
        <v>0</v>
      </c>
      <c r="G137" s="162">
        <f>ROUND(IFERROR(VLOOKUP(A137,'NCLB Title III-A '!$A$13:$G$201,7,FALSE),0),0)</f>
        <v>0</v>
      </c>
      <c r="H137" s="162">
        <f>ROUND(IFERROR(VLOOKUP(A137,'NCLB Title III SAI'!$A$13:$G$189,7,FALSE),0),0)</f>
        <v>0</v>
      </c>
      <c r="I137" s="163">
        <f>ROUND(IFERROR(VLOOKUP(A137,'TITLE VI RURAL LI'!$A$13:$G$193,5,FALSE),0),0)</f>
        <v>0</v>
      </c>
    </row>
    <row r="138" spans="1:9" ht="18" x14ac:dyDescent="0.35">
      <c r="A138" s="164" t="s">
        <v>142</v>
      </c>
      <c r="B138" s="165" t="s">
        <v>320</v>
      </c>
      <c r="C138" s="162">
        <f>ROUND(IFERROR(VLOOKUP(A138,'NCLB Title I-A Formula'!$A$13:$G$201,7,FALSE),0),0)</f>
        <v>-87</v>
      </c>
      <c r="D138" s="162">
        <f>ROUND(IFERROR(VLOOKUP(A138,'NCLB Title I-C Migrant'!$A$13:$G$201,5,FALSE),0),0)</f>
        <v>0</v>
      </c>
      <c r="E138" s="162">
        <f>ROUND(IFERROR(VLOOKUP(A138,'NCLB Title I-Delinquent'!$A$13:$G$201,5,FALSE),0),0)</f>
        <v>0</v>
      </c>
      <c r="F138" s="162">
        <f>ROUND(IFERROR(VLOOKUP(A138,'NCLB Title II-A Formula'!$A$13:$G$201,7,FALSE),0),0)</f>
        <v>0</v>
      </c>
      <c r="G138" s="162">
        <f>ROUND(IFERROR(VLOOKUP(A138,'NCLB Title III-A '!$A$13:$G$201,7,FALSE),0),0)</f>
        <v>0</v>
      </c>
      <c r="H138" s="162">
        <f>ROUND(IFERROR(VLOOKUP(A138,'NCLB Title III SAI'!$A$13:$G$189,7,FALSE),0),0)</f>
        <v>0</v>
      </c>
      <c r="I138" s="163">
        <f>ROUND(IFERROR(VLOOKUP(A138,'TITLE VI RURAL LI'!$A$13:$G$193,5,FALSE),0),0)</f>
        <v>0</v>
      </c>
    </row>
    <row r="139" spans="1:9" ht="18" x14ac:dyDescent="0.35">
      <c r="A139" s="164" t="s">
        <v>143</v>
      </c>
      <c r="B139" s="165" t="s">
        <v>321</v>
      </c>
      <c r="C139" s="162">
        <f>ROUND(IFERROR(VLOOKUP(A139,'NCLB Title I-A Formula'!$A$13:$G$201,7,FALSE),0),0)</f>
        <v>0</v>
      </c>
      <c r="D139" s="162">
        <f>ROUND(IFERROR(VLOOKUP(A139,'NCLB Title I-C Migrant'!$A$13:$G$201,5,FALSE),0),0)</f>
        <v>0</v>
      </c>
      <c r="E139" s="162">
        <f>ROUND(IFERROR(VLOOKUP(A139,'NCLB Title I-Delinquent'!$A$13:$G$201,5,FALSE),0),0)</f>
        <v>0</v>
      </c>
      <c r="F139" s="162">
        <f>ROUND(IFERROR(VLOOKUP(A139,'NCLB Title II-A Formula'!$A$13:$G$201,7,FALSE),0),0)</f>
        <v>0</v>
      </c>
      <c r="G139" s="162">
        <f>ROUND(IFERROR(VLOOKUP(A139,'NCLB Title III-A '!$A$13:$G$201,7,FALSE),0),0)</f>
        <v>0</v>
      </c>
      <c r="H139" s="162">
        <f>ROUND(IFERROR(VLOOKUP(A139,'NCLB Title III SAI'!$A$13:$G$189,7,FALSE),0),0)</f>
        <v>0</v>
      </c>
      <c r="I139" s="163">
        <f>ROUND(IFERROR(VLOOKUP(A139,'TITLE VI RURAL LI'!$A$13:$G$193,5,FALSE),0),0)</f>
        <v>0</v>
      </c>
    </row>
    <row r="140" spans="1:9" ht="18" x14ac:dyDescent="0.35">
      <c r="A140" s="164" t="s">
        <v>144</v>
      </c>
      <c r="B140" s="165" t="s">
        <v>322</v>
      </c>
      <c r="C140" s="162">
        <f>ROUND(IFERROR(VLOOKUP(A140,'NCLB Title I-A Formula'!$A$13:$G$201,7,FALSE),0),0)</f>
        <v>0</v>
      </c>
      <c r="D140" s="162">
        <f>ROUND(IFERROR(VLOOKUP(A140,'NCLB Title I-C Migrant'!$A$13:$G$201,5,FALSE),0),0)</f>
        <v>0</v>
      </c>
      <c r="E140" s="162">
        <f>ROUND(IFERROR(VLOOKUP(A140,'NCLB Title I-Delinquent'!$A$13:$G$201,5,FALSE),0),0)</f>
        <v>0</v>
      </c>
      <c r="F140" s="162">
        <f>ROUND(IFERROR(VLOOKUP(A140,'NCLB Title II-A Formula'!$A$13:$G$201,7,FALSE),0),0)</f>
        <v>0</v>
      </c>
      <c r="G140" s="162">
        <f>ROUND(IFERROR(VLOOKUP(A140,'NCLB Title III-A '!$A$13:$G$201,7,FALSE),0),0)</f>
        <v>0</v>
      </c>
      <c r="H140" s="162">
        <f>ROUND(IFERROR(VLOOKUP(A140,'NCLB Title III SAI'!$A$13:$G$189,7,FALSE),0),0)</f>
        <v>0</v>
      </c>
      <c r="I140" s="163">
        <f>ROUND(IFERROR(VLOOKUP(A140,'TITLE VI RURAL LI'!$A$13:$G$193,5,FALSE),0),0)</f>
        <v>0</v>
      </c>
    </row>
    <row r="141" spans="1:9" ht="18" x14ac:dyDescent="0.35">
      <c r="A141" s="164" t="s">
        <v>145</v>
      </c>
      <c r="B141" s="165" t="s">
        <v>323</v>
      </c>
      <c r="C141" s="162">
        <f>ROUND(IFERROR(VLOOKUP(A141,'NCLB Title I-A Formula'!$A$13:$G$201,7,FALSE),0),0)</f>
        <v>0</v>
      </c>
      <c r="D141" s="162">
        <f>ROUND(IFERROR(VLOOKUP(A141,'NCLB Title I-C Migrant'!$A$13:$G$201,5,FALSE),0),0)</f>
        <v>188838</v>
      </c>
      <c r="E141" s="162">
        <f>ROUND(IFERROR(VLOOKUP(A141,'NCLB Title I-Delinquent'!$A$13:$G$201,5,FALSE),0),0)</f>
        <v>0</v>
      </c>
      <c r="F141" s="162">
        <f>ROUND(IFERROR(VLOOKUP(A141,'NCLB Title II-A Formula'!$A$13:$G$201,7,FALSE),0),0)</f>
        <v>0</v>
      </c>
      <c r="G141" s="162">
        <f>ROUND(IFERROR(VLOOKUP(A141,'NCLB Title III-A '!$A$13:$G$201,7,FALSE),0),0)</f>
        <v>0</v>
      </c>
      <c r="H141" s="162">
        <f>ROUND(IFERROR(VLOOKUP(A141,'NCLB Title III SAI'!$A$13:$G$189,7,FALSE),0),0)</f>
        <v>0</v>
      </c>
      <c r="I141" s="163">
        <f>ROUND(IFERROR(VLOOKUP(A141,'TITLE VI RURAL LI'!$A$13:$G$193,5,FALSE),0),0)</f>
        <v>0</v>
      </c>
    </row>
    <row r="142" spans="1:9" ht="18" x14ac:dyDescent="0.35">
      <c r="A142" s="164" t="s">
        <v>146</v>
      </c>
      <c r="B142" s="165" t="s">
        <v>324</v>
      </c>
      <c r="C142" s="162">
        <f>ROUND(IFERROR(VLOOKUP(A142,'NCLB Title I-A Formula'!$A$13:$G$201,7,FALSE),0),0)</f>
        <v>0</v>
      </c>
      <c r="D142" s="162">
        <f>ROUND(IFERROR(VLOOKUP(A142,'NCLB Title I-C Migrant'!$A$13:$G$201,5,FALSE),0),0)</f>
        <v>0</v>
      </c>
      <c r="E142" s="162">
        <f>ROUND(IFERROR(VLOOKUP(A142,'NCLB Title I-Delinquent'!$A$13:$G$201,5,FALSE),0),0)</f>
        <v>0</v>
      </c>
      <c r="F142" s="162">
        <f>ROUND(IFERROR(VLOOKUP(A142,'NCLB Title II-A Formula'!$A$13:$G$201,7,FALSE),0),0)</f>
        <v>0</v>
      </c>
      <c r="G142" s="162">
        <f>ROUND(IFERROR(VLOOKUP(A142,'NCLB Title III-A '!$A$13:$G$201,7,FALSE),0),0)</f>
        <v>0</v>
      </c>
      <c r="H142" s="162">
        <f>ROUND(IFERROR(VLOOKUP(A142,'NCLB Title III SAI'!$A$13:$G$189,7,FALSE),0),0)</f>
        <v>0</v>
      </c>
      <c r="I142" s="163">
        <f>ROUND(IFERROR(VLOOKUP(A142,'TITLE VI RURAL LI'!$A$13:$G$193,5,FALSE),0),0)</f>
        <v>0</v>
      </c>
    </row>
    <row r="143" spans="1:9" ht="18" x14ac:dyDescent="0.35">
      <c r="A143" s="164" t="s">
        <v>147</v>
      </c>
      <c r="B143" s="165" t="s">
        <v>325</v>
      </c>
      <c r="C143" s="162">
        <f>ROUND(IFERROR(VLOOKUP(A143,'NCLB Title I-A Formula'!$A$13:$G$201,7,FALSE),0),0)</f>
        <v>0</v>
      </c>
      <c r="D143" s="162">
        <f>ROUND(IFERROR(VLOOKUP(A143,'NCLB Title I-C Migrant'!$A$13:$G$201,5,FALSE),0),0)</f>
        <v>0</v>
      </c>
      <c r="E143" s="162">
        <f>ROUND(IFERROR(VLOOKUP(A143,'NCLB Title I-Delinquent'!$A$13:$G$201,5,FALSE),0),0)</f>
        <v>0</v>
      </c>
      <c r="F143" s="162">
        <f>ROUND(IFERROR(VLOOKUP(A143,'NCLB Title II-A Formula'!$A$13:$G$201,7,FALSE),0),0)</f>
        <v>0</v>
      </c>
      <c r="G143" s="162">
        <f>ROUND(IFERROR(VLOOKUP(A143,'NCLB Title III-A '!$A$13:$G$201,7,FALSE),0),0)</f>
        <v>0</v>
      </c>
      <c r="H143" s="162">
        <f>ROUND(IFERROR(VLOOKUP(A143,'NCLB Title III SAI'!$A$13:$G$189,7,FALSE),0),0)</f>
        <v>0</v>
      </c>
      <c r="I143" s="163">
        <f>ROUND(IFERROR(VLOOKUP(A143,'TITLE VI RURAL LI'!$A$13:$G$193,5,FALSE),0),0)</f>
        <v>0</v>
      </c>
    </row>
    <row r="144" spans="1:9" ht="18" x14ac:dyDescent="0.35">
      <c r="A144" s="164" t="s">
        <v>148</v>
      </c>
      <c r="B144" s="165" t="s">
        <v>326</v>
      </c>
      <c r="C144" s="162">
        <f>ROUND(IFERROR(VLOOKUP(A144,'NCLB Title I-A Formula'!$A$13:$G$201,7,FALSE),0),0)</f>
        <v>0</v>
      </c>
      <c r="D144" s="162">
        <f>ROUND(IFERROR(VLOOKUP(A144,'NCLB Title I-C Migrant'!$A$13:$G$201,5,FALSE),0),0)</f>
        <v>0</v>
      </c>
      <c r="E144" s="162">
        <f>ROUND(IFERROR(VLOOKUP(A144,'NCLB Title I-Delinquent'!$A$13:$G$201,5,FALSE),0),0)</f>
        <v>0</v>
      </c>
      <c r="F144" s="162">
        <f>ROUND(IFERROR(VLOOKUP(A144,'NCLB Title II-A Formula'!$A$13:$G$201,7,FALSE),0),0)</f>
        <v>0</v>
      </c>
      <c r="G144" s="162">
        <f>ROUND(IFERROR(VLOOKUP(A144,'NCLB Title III-A '!$A$13:$G$201,7,FALSE),0),0)</f>
        <v>0</v>
      </c>
      <c r="H144" s="162">
        <f>ROUND(IFERROR(VLOOKUP(A144,'NCLB Title III SAI'!$A$13:$G$189,7,FALSE),0),0)</f>
        <v>0</v>
      </c>
      <c r="I144" s="163">
        <f>ROUND(IFERROR(VLOOKUP(A144,'TITLE VI RURAL LI'!$A$13:$G$193,5,FALSE),0),0)</f>
        <v>0</v>
      </c>
    </row>
    <row r="145" spans="1:9" ht="18" x14ac:dyDescent="0.35">
      <c r="A145" s="164" t="s">
        <v>149</v>
      </c>
      <c r="B145" s="165" t="s">
        <v>327</v>
      </c>
      <c r="C145" s="162">
        <f>ROUND(IFERROR(VLOOKUP(A145,'NCLB Title I-A Formula'!$A$13:$G$201,7,FALSE),0),0)</f>
        <v>0</v>
      </c>
      <c r="D145" s="162">
        <f>ROUND(IFERROR(VLOOKUP(A145,'NCLB Title I-C Migrant'!$A$13:$G$201,5,FALSE),0),0)</f>
        <v>0</v>
      </c>
      <c r="E145" s="162">
        <f>ROUND(IFERROR(VLOOKUP(A145,'NCLB Title I-Delinquent'!$A$13:$G$201,5,FALSE),0),0)</f>
        <v>0</v>
      </c>
      <c r="F145" s="162">
        <f>ROUND(IFERROR(VLOOKUP(A145,'NCLB Title II-A Formula'!$A$13:$G$201,7,FALSE),0),0)</f>
        <v>0</v>
      </c>
      <c r="G145" s="162">
        <f>ROUND(IFERROR(VLOOKUP(A145,'NCLB Title III-A '!$A$13:$G$201,7,FALSE),0),0)</f>
        <v>0</v>
      </c>
      <c r="H145" s="162">
        <f>ROUND(IFERROR(VLOOKUP(A145,'NCLB Title III SAI'!$A$13:$G$189,7,FALSE),0),0)</f>
        <v>0</v>
      </c>
      <c r="I145" s="163">
        <f>ROUND(IFERROR(VLOOKUP(A145,'TITLE VI RURAL LI'!$A$13:$G$193,5,FALSE),0),0)</f>
        <v>0</v>
      </c>
    </row>
    <row r="146" spans="1:9" ht="18" x14ac:dyDescent="0.35">
      <c r="A146" s="164" t="s">
        <v>150</v>
      </c>
      <c r="B146" s="165" t="s">
        <v>328</v>
      </c>
      <c r="C146" s="162">
        <f>ROUND(IFERROR(VLOOKUP(A146,'NCLB Title I-A Formula'!$A$13:$G$201,7,FALSE),0),0)</f>
        <v>0</v>
      </c>
      <c r="D146" s="162">
        <f>ROUND(IFERROR(VLOOKUP(A146,'NCLB Title I-C Migrant'!$A$13:$G$201,5,FALSE),0),0)</f>
        <v>0</v>
      </c>
      <c r="E146" s="162">
        <f>ROUND(IFERROR(VLOOKUP(A146,'NCLB Title I-Delinquent'!$A$13:$G$201,5,FALSE),0),0)</f>
        <v>0</v>
      </c>
      <c r="F146" s="162">
        <f>ROUND(IFERROR(VLOOKUP(A146,'NCLB Title II-A Formula'!$A$13:$G$201,7,FALSE),0),0)</f>
        <v>0</v>
      </c>
      <c r="G146" s="162">
        <f>ROUND(IFERROR(VLOOKUP(A146,'NCLB Title III-A '!$A$13:$G$201,7,FALSE),0),0)</f>
        <v>0</v>
      </c>
      <c r="H146" s="162">
        <f>ROUND(IFERROR(VLOOKUP(A146,'NCLB Title III SAI'!$A$13:$G$189,7,FALSE),0),0)</f>
        <v>0</v>
      </c>
      <c r="I146" s="163">
        <f>ROUND(IFERROR(VLOOKUP(A146,'TITLE VI RURAL LI'!$A$13:$G$193,5,FALSE),0),0)</f>
        <v>0</v>
      </c>
    </row>
    <row r="147" spans="1:9" ht="18" x14ac:dyDescent="0.35">
      <c r="A147" s="164" t="s">
        <v>151</v>
      </c>
      <c r="B147" s="165" t="s">
        <v>329</v>
      </c>
      <c r="C147" s="162">
        <f>ROUND(IFERROR(VLOOKUP(A147,'NCLB Title I-A Formula'!$A$13:$G$201,7,FALSE),0),0)</f>
        <v>0</v>
      </c>
      <c r="D147" s="162">
        <f>ROUND(IFERROR(VLOOKUP(A147,'NCLB Title I-C Migrant'!$A$13:$G$201,5,FALSE),0),0)</f>
        <v>0</v>
      </c>
      <c r="E147" s="162">
        <f>ROUND(IFERROR(VLOOKUP(A147,'NCLB Title I-Delinquent'!$A$13:$G$201,5,FALSE),0),0)</f>
        <v>0</v>
      </c>
      <c r="F147" s="162">
        <f>ROUND(IFERROR(VLOOKUP(A147,'NCLB Title II-A Formula'!$A$13:$G$201,7,FALSE),0),0)</f>
        <v>0</v>
      </c>
      <c r="G147" s="162">
        <f>ROUND(IFERROR(VLOOKUP(A147,'NCLB Title III-A '!$A$13:$G$201,7,FALSE),0),0)</f>
        <v>0</v>
      </c>
      <c r="H147" s="162">
        <f>ROUND(IFERROR(VLOOKUP(A147,'NCLB Title III SAI'!$A$13:$G$189,7,FALSE),0),0)</f>
        <v>0</v>
      </c>
      <c r="I147" s="163">
        <f>ROUND(IFERROR(VLOOKUP(A147,'TITLE VI RURAL LI'!$A$13:$G$193,5,FALSE),0),0)</f>
        <v>0</v>
      </c>
    </row>
    <row r="148" spans="1:9" ht="18" x14ac:dyDescent="0.35">
      <c r="A148" s="164" t="s">
        <v>152</v>
      </c>
      <c r="B148" s="165" t="s">
        <v>330</v>
      </c>
      <c r="C148" s="162">
        <f>ROUND(IFERROR(VLOOKUP(A148,'NCLB Title I-A Formula'!$A$13:$G$201,7,FALSE),0),0)</f>
        <v>0</v>
      </c>
      <c r="D148" s="162">
        <f>ROUND(IFERROR(VLOOKUP(A148,'NCLB Title I-C Migrant'!$A$13:$G$201,5,FALSE),0),0)</f>
        <v>0</v>
      </c>
      <c r="E148" s="162">
        <f>ROUND(IFERROR(VLOOKUP(A148,'NCLB Title I-Delinquent'!$A$13:$G$201,5,FALSE),0),0)</f>
        <v>0</v>
      </c>
      <c r="F148" s="162">
        <f>ROUND(IFERROR(VLOOKUP(A148,'NCLB Title II-A Formula'!$A$13:$G$201,7,FALSE),0),0)</f>
        <v>0</v>
      </c>
      <c r="G148" s="162">
        <f>ROUND(IFERROR(VLOOKUP(A148,'NCLB Title III-A '!$A$13:$G$201,7,FALSE),0),0)</f>
        <v>0</v>
      </c>
      <c r="H148" s="162">
        <f>ROUND(IFERROR(VLOOKUP(A148,'NCLB Title III SAI'!$A$13:$G$189,7,FALSE),0),0)</f>
        <v>0</v>
      </c>
      <c r="I148" s="163">
        <f>ROUND(IFERROR(VLOOKUP(A148,'TITLE VI RURAL LI'!$A$13:$G$193,5,FALSE),0),0)</f>
        <v>0</v>
      </c>
    </row>
    <row r="149" spans="1:9" ht="18" x14ac:dyDescent="0.35">
      <c r="A149" s="164" t="s">
        <v>153</v>
      </c>
      <c r="B149" s="165" t="s">
        <v>331</v>
      </c>
      <c r="C149" s="162">
        <f>ROUND(IFERROR(VLOOKUP(A149,'NCLB Title I-A Formula'!$A$13:$G$201,7,FALSE),0),0)</f>
        <v>0</v>
      </c>
      <c r="D149" s="162">
        <f>ROUND(IFERROR(VLOOKUP(A149,'NCLB Title I-C Migrant'!$A$13:$G$201,5,FALSE),0),0)</f>
        <v>0</v>
      </c>
      <c r="E149" s="162">
        <f>ROUND(IFERROR(VLOOKUP(A149,'NCLB Title I-Delinquent'!$A$13:$G$201,5,FALSE),0),0)</f>
        <v>0</v>
      </c>
      <c r="F149" s="162">
        <f>ROUND(IFERROR(VLOOKUP(A149,'NCLB Title II-A Formula'!$A$13:$G$201,7,FALSE),0),0)</f>
        <v>0</v>
      </c>
      <c r="G149" s="162">
        <f>ROUND(IFERROR(VLOOKUP(A149,'NCLB Title III-A '!$A$13:$G$201,7,FALSE),0),0)</f>
        <v>0</v>
      </c>
      <c r="H149" s="162">
        <f>ROUND(IFERROR(VLOOKUP(A149,'NCLB Title III SAI'!$A$13:$G$189,7,FALSE),0),0)</f>
        <v>0</v>
      </c>
      <c r="I149" s="163">
        <f>ROUND(IFERROR(VLOOKUP(A149,'TITLE VI RURAL LI'!$A$13:$G$193,5,FALSE),0),0)</f>
        <v>0</v>
      </c>
    </row>
    <row r="150" spans="1:9" ht="18" x14ac:dyDescent="0.35">
      <c r="A150" s="164" t="s">
        <v>154</v>
      </c>
      <c r="B150" s="165" t="s">
        <v>332</v>
      </c>
      <c r="C150" s="162">
        <f>ROUND(IFERROR(VLOOKUP(A150,'NCLB Title I-A Formula'!$A$13:$G$201,7,FALSE),0),0)</f>
        <v>0</v>
      </c>
      <c r="D150" s="162">
        <f>ROUND(IFERROR(VLOOKUP(A150,'NCLB Title I-C Migrant'!$A$13:$G$201,5,FALSE),0),0)</f>
        <v>0</v>
      </c>
      <c r="E150" s="162">
        <f>ROUND(IFERROR(VLOOKUP(A150,'NCLB Title I-Delinquent'!$A$13:$G$201,5,FALSE),0),0)</f>
        <v>0</v>
      </c>
      <c r="F150" s="162">
        <f>ROUND(IFERROR(VLOOKUP(A150,'NCLB Title II-A Formula'!$A$13:$G$201,7,FALSE),0),0)</f>
        <v>0</v>
      </c>
      <c r="G150" s="162">
        <f>ROUND(IFERROR(VLOOKUP(A150,'NCLB Title III-A '!$A$13:$G$201,7,FALSE),0),0)</f>
        <v>0</v>
      </c>
      <c r="H150" s="162">
        <f>ROUND(IFERROR(VLOOKUP(A150,'NCLB Title III SAI'!$A$13:$G$189,7,FALSE),0),0)</f>
        <v>0</v>
      </c>
      <c r="I150" s="163">
        <f>ROUND(IFERROR(VLOOKUP(A150,'TITLE VI RURAL LI'!$A$13:$G$193,5,FALSE),0),0)</f>
        <v>0</v>
      </c>
    </row>
    <row r="151" spans="1:9" ht="18" x14ac:dyDescent="0.35">
      <c r="A151" s="164" t="s">
        <v>155</v>
      </c>
      <c r="B151" s="165" t="s">
        <v>333</v>
      </c>
      <c r="C151" s="162">
        <f>ROUND(IFERROR(VLOOKUP(A151,'NCLB Title I-A Formula'!$A$13:$G$201,7,FALSE),0),0)</f>
        <v>0</v>
      </c>
      <c r="D151" s="162">
        <f>ROUND(IFERROR(VLOOKUP(A151,'NCLB Title I-C Migrant'!$A$13:$G$201,5,FALSE),0),0)</f>
        <v>0</v>
      </c>
      <c r="E151" s="162">
        <f>ROUND(IFERROR(VLOOKUP(A151,'NCLB Title I-Delinquent'!$A$13:$G$201,5,FALSE),0),0)</f>
        <v>0</v>
      </c>
      <c r="F151" s="162">
        <f>ROUND(IFERROR(VLOOKUP(A151,'NCLB Title II-A Formula'!$A$13:$G$201,7,FALSE),0),0)</f>
        <v>1919</v>
      </c>
      <c r="G151" s="162">
        <f>ROUND(IFERROR(VLOOKUP(A151,'NCLB Title III-A '!$A$13:$G$201,7,FALSE),0),0)</f>
        <v>0</v>
      </c>
      <c r="H151" s="162">
        <f>ROUND(IFERROR(VLOOKUP(A151,'NCLB Title III SAI'!$A$13:$G$189,7,FALSE),0),0)</f>
        <v>0</v>
      </c>
      <c r="I151" s="163">
        <f>ROUND(IFERROR(VLOOKUP(A151,'TITLE VI RURAL LI'!$A$13:$G$193,5,FALSE),0),0)</f>
        <v>0</v>
      </c>
    </row>
    <row r="152" spans="1:9" ht="18" x14ac:dyDescent="0.35">
      <c r="A152" s="164" t="s">
        <v>156</v>
      </c>
      <c r="B152" s="165" t="s">
        <v>334</v>
      </c>
      <c r="C152" s="162">
        <f>ROUND(IFERROR(VLOOKUP(A152,'NCLB Title I-A Formula'!$A$13:$G$201,7,FALSE),0),0)</f>
        <v>0</v>
      </c>
      <c r="D152" s="162">
        <f>ROUND(IFERROR(VLOOKUP(A152,'NCLB Title I-C Migrant'!$A$13:$G$201,5,FALSE),0),0)</f>
        <v>0</v>
      </c>
      <c r="E152" s="162">
        <f>ROUND(IFERROR(VLOOKUP(A152,'NCLB Title I-Delinquent'!$A$13:$G$201,5,FALSE),0),0)</f>
        <v>0</v>
      </c>
      <c r="F152" s="162">
        <f>ROUND(IFERROR(VLOOKUP(A152,'NCLB Title II-A Formula'!$A$13:$G$201,7,FALSE),0),0)</f>
        <v>0</v>
      </c>
      <c r="G152" s="162">
        <f>ROUND(IFERROR(VLOOKUP(A152,'NCLB Title III-A '!$A$13:$G$201,7,FALSE),0),0)</f>
        <v>0</v>
      </c>
      <c r="H152" s="162">
        <f>ROUND(IFERROR(VLOOKUP(A152,'NCLB Title III SAI'!$A$13:$G$189,7,FALSE),0),0)</f>
        <v>0</v>
      </c>
      <c r="I152" s="163">
        <f>ROUND(IFERROR(VLOOKUP(A152,'TITLE VI RURAL LI'!$A$13:$G$193,5,FALSE),0),0)</f>
        <v>0</v>
      </c>
    </row>
    <row r="153" spans="1:9" ht="18" x14ac:dyDescent="0.35">
      <c r="A153" s="164" t="s">
        <v>157</v>
      </c>
      <c r="B153" s="165" t="s">
        <v>335</v>
      </c>
      <c r="C153" s="162">
        <f>ROUND(IFERROR(VLOOKUP(A153,'NCLB Title I-A Formula'!$A$13:$G$201,7,FALSE),0),0)</f>
        <v>0</v>
      </c>
      <c r="D153" s="162">
        <f>ROUND(IFERROR(VLOOKUP(A153,'NCLB Title I-C Migrant'!$A$13:$G$201,5,FALSE),0),0)</f>
        <v>0</v>
      </c>
      <c r="E153" s="162">
        <f>ROUND(IFERROR(VLOOKUP(A153,'NCLB Title I-Delinquent'!$A$13:$G$201,5,FALSE),0),0)</f>
        <v>0</v>
      </c>
      <c r="F153" s="162">
        <f>ROUND(IFERROR(VLOOKUP(A153,'NCLB Title II-A Formula'!$A$13:$G$201,7,FALSE),0),0)</f>
        <v>0</v>
      </c>
      <c r="G153" s="162">
        <f>ROUND(IFERROR(VLOOKUP(A153,'NCLB Title III-A '!$A$13:$G$201,7,FALSE),0),0)</f>
        <v>0</v>
      </c>
      <c r="H153" s="162">
        <f>ROUND(IFERROR(VLOOKUP(A153,'NCLB Title III SAI'!$A$13:$G$189,7,FALSE),0),0)</f>
        <v>0</v>
      </c>
      <c r="I153" s="163">
        <f>ROUND(IFERROR(VLOOKUP(A153,'TITLE VI RURAL LI'!$A$13:$G$193,5,FALSE),0),0)</f>
        <v>0</v>
      </c>
    </row>
    <row r="154" spans="1:9" ht="18" x14ac:dyDescent="0.35">
      <c r="A154" s="164" t="s">
        <v>158</v>
      </c>
      <c r="B154" s="165" t="s">
        <v>336</v>
      </c>
      <c r="C154" s="162">
        <f>ROUND(IFERROR(VLOOKUP(A154,'NCLB Title I-A Formula'!$A$13:$G$201,7,FALSE),0),0)</f>
        <v>0</v>
      </c>
      <c r="D154" s="162">
        <f>ROUND(IFERROR(VLOOKUP(A154,'NCLB Title I-C Migrant'!$A$13:$G$201,5,FALSE),0),0)</f>
        <v>0</v>
      </c>
      <c r="E154" s="162">
        <f>ROUND(IFERROR(VLOOKUP(A154,'NCLB Title I-Delinquent'!$A$13:$G$201,5,FALSE),0),0)</f>
        <v>0</v>
      </c>
      <c r="F154" s="162">
        <f>ROUND(IFERROR(VLOOKUP(A154,'NCLB Title II-A Formula'!$A$13:$G$201,7,FALSE),0),0)</f>
        <v>0</v>
      </c>
      <c r="G154" s="162">
        <f>ROUND(IFERROR(VLOOKUP(A154,'NCLB Title III-A '!$A$13:$G$201,7,FALSE),0),0)</f>
        <v>0</v>
      </c>
      <c r="H154" s="162">
        <f>ROUND(IFERROR(VLOOKUP(A154,'NCLB Title III SAI'!$A$13:$G$189,7,FALSE),0),0)</f>
        <v>0</v>
      </c>
      <c r="I154" s="163">
        <f>ROUND(IFERROR(VLOOKUP(A154,'TITLE VI RURAL LI'!$A$13:$G$193,5,FALSE),0),0)</f>
        <v>0</v>
      </c>
    </row>
    <row r="155" spans="1:9" ht="18" x14ac:dyDescent="0.35">
      <c r="A155" s="164" t="s">
        <v>159</v>
      </c>
      <c r="B155" s="165" t="s">
        <v>337</v>
      </c>
      <c r="C155" s="162">
        <f>ROUND(IFERROR(VLOOKUP(A155,'NCLB Title I-A Formula'!$A$13:$G$201,7,FALSE),0),0)</f>
        <v>0</v>
      </c>
      <c r="D155" s="162">
        <f>ROUND(IFERROR(VLOOKUP(A155,'NCLB Title I-C Migrant'!$A$13:$G$201,5,FALSE),0),0)</f>
        <v>0</v>
      </c>
      <c r="E155" s="162">
        <f>ROUND(IFERROR(VLOOKUP(A155,'NCLB Title I-Delinquent'!$A$13:$G$201,5,FALSE),0),0)</f>
        <v>0</v>
      </c>
      <c r="F155" s="162">
        <f>ROUND(IFERROR(VLOOKUP(A155,'NCLB Title II-A Formula'!$A$13:$G$201,7,FALSE),0),0)</f>
        <v>0</v>
      </c>
      <c r="G155" s="162">
        <f>ROUND(IFERROR(VLOOKUP(A155,'NCLB Title III-A '!$A$13:$G$201,7,FALSE),0),0)</f>
        <v>0</v>
      </c>
      <c r="H155" s="162">
        <f>ROUND(IFERROR(VLOOKUP(A155,'NCLB Title III SAI'!$A$13:$G$189,7,FALSE),0),0)</f>
        <v>0</v>
      </c>
      <c r="I155" s="163">
        <f>ROUND(IFERROR(VLOOKUP(A155,'TITLE VI RURAL LI'!$A$13:$G$193,5,FALSE),0),0)</f>
        <v>0</v>
      </c>
    </row>
    <row r="156" spans="1:9" ht="18" x14ac:dyDescent="0.35">
      <c r="A156" s="164" t="s">
        <v>160</v>
      </c>
      <c r="B156" s="165" t="s">
        <v>338</v>
      </c>
      <c r="C156" s="162">
        <f>ROUND(IFERROR(VLOOKUP(A156,'NCLB Title I-A Formula'!$A$13:$G$201,7,FALSE),0),0)</f>
        <v>0</v>
      </c>
      <c r="D156" s="162">
        <f>ROUND(IFERROR(VLOOKUP(A156,'NCLB Title I-C Migrant'!$A$13:$G$201,5,FALSE),0),0)</f>
        <v>0</v>
      </c>
      <c r="E156" s="162">
        <f>ROUND(IFERROR(VLOOKUP(A156,'NCLB Title I-Delinquent'!$A$13:$G$201,5,FALSE),0),0)</f>
        <v>0</v>
      </c>
      <c r="F156" s="162">
        <f>ROUND(IFERROR(VLOOKUP(A156,'NCLB Title II-A Formula'!$A$13:$G$201,7,FALSE),0),0)</f>
        <v>0</v>
      </c>
      <c r="G156" s="162">
        <f>ROUND(IFERROR(VLOOKUP(A156,'NCLB Title III-A '!$A$13:$G$201,7,FALSE),0),0)</f>
        <v>0</v>
      </c>
      <c r="H156" s="162">
        <f>ROUND(IFERROR(VLOOKUP(A156,'NCLB Title III SAI'!$A$13:$G$189,7,FALSE),0),0)</f>
        <v>0</v>
      </c>
      <c r="I156" s="163">
        <f>ROUND(IFERROR(VLOOKUP(A156,'TITLE VI RURAL LI'!$A$13:$G$193,5,FALSE),0),0)</f>
        <v>0</v>
      </c>
    </row>
    <row r="157" spans="1:9" ht="18" x14ac:dyDescent="0.35">
      <c r="A157" s="164" t="s">
        <v>161</v>
      </c>
      <c r="B157" s="165" t="s">
        <v>476</v>
      </c>
      <c r="C157" s="162">
        <f>ROUND(IFERROR(VLOOKUP(A157,'NCLB Title I-A Formula'!$A$13:$G$201,7,FALSE),0),0)</f>
        <v>0</v>
      </c>
      <c r="D157" s="162">
        <f>ROUND(IFERROR(VLOOKUP(A157,'NCLB Title I-C Migrant'!$A$13:$G$201,5,FALSE),0),0)</f>
        <v>0</v>
      </c>
      <c r="E157" s="162">
        <f>ROUND(IFERROR(VLOOKUP(A157,'NCLB Title I-Delinquent'!$A$13:$G$201,5,FALSE),0),0)</f>
        <v>0</v>
      </c>
      <c r="F157" s="162">
        <f>ROUND(IFERROR(VLOOKUP(A157,'NCLB Title II-A Formula'!$A$13:$G$201,7,FALSE),0),0)</f>
        <v>0</v>
      </c>
      <c r="G157" s="162">
        <f>ROUND(IFERROR(VLOOKUP(A157,'NCLB Title III-A '!$A$13:$G$201,7,FALSE),0),0)</f>
        <v>0</v>
      </c>
      <c r="H157" s="162">
        <f>ROUND(IFERROR(VLOOKUP(A157,'NCLB Title III SAI'!$A$13:$G$189,7,FALSE),0),0)</f>
        <v>0</v>
      </c>
      <c r="I157" s="163">
        <f>ROUND(IFERROR(VLOOKUP(A157,'TITLE VI RURAL LI'!$A$13:$G$193,5,FALSE),0),0)</f>
        <v>0</v>
      </c>
    </row>
    <row r="158" spans="1:9" ht="18" x14ac:dyDescent="0.35">
      <c r="A158" s="164" t="s">
        <v>162</v>
      </c>
      <c r="B158" s="165" t="s">
        <v>340</v>
      </c>
      <c r="C158" s="162">
        <f>ROUND(IFERROR(VLOOKUP(A158,'NCLB Title I-A Formula'!$A$13:$G$201,7,FALSE),0),0)</f>
        <v>0</v>
      </c>
      <c r="D158" s="162">
        <f>ROUND(IFERROR(VLOOKUP(A158,'NCLB Title I-C Migrant'!$A$13:$G$201,5,FALSE),0),0)</f>
        <v>0</v>
      </c>
      <c r="E158" s="162">
        <f>ROUND(IFERROR(VLOOKUP(A158,'NCLB Title I-Delinquent'!$A$13:$G$201,5,FALSE),0),0)</f>
        <v>0</v>
      </c>
      <c r="F158" s="162">
        <f>ROUND(IFERROR(VLOOKUP(A158,'NCLB Title II-A Formula'!$A$13:$G$201,7,FALSE),0),0)</f>
        <v>0</v>
      </c>
      <c r="G158" s="162">
        <f>ROUND(IFERROR(VLOOKUP(A158,'NCLB Title III-A '!$A$13:$G$201,7,FALSE),0),0)</f>
        <v>0</v>
      </c>
      <c r="H158" s="162">
        <f>ROUND(IFERROR(VLOOKUP(A158,'NCLB Title III SAI'!$A$13:$G$189,7,FALSE),0),0)</f>
        <v>0</v>
      </c>
      <c r="I158" s="163">
        <f>ROUND(IFERROR(VLOOKUP(A158,'TITLE VI RURAL LI'!$A$13:$G$193,5,FALSE),0),0)</f>
        <v>0</v>
      </c>
    </row>
    <row r="159" spans="1:9" ht="18" x14ac:dyDescent="0.35">
      <c r="A159" s="164" t="s">
        <v>163</v>
      </c>
      <c r="B159" s="165" t="s">
        <v>341</v>
      </c>
      <c r="C159" s="162">
        <f>ROUND(IFERROR(VLOOKUP(A159,'NCLB Title I-A Formula'!$A$13:$G$201,7,FALSE),0),0)</f>
        <v>0</v>
      </c>
      <c r="D159" s="162">
        <f>ROUND(IFERROR(VLOOKUP(A159,'NCLB Title I-C Migrant'!$A$13:$G$201,5,FALSE),0),0)</f>
        <v>0</v>
      </c>
      <c r="E159" s="162">
        <f>ROUND(IFERROR(VLOOKUP(A159,'NCLB Title I-Delinquent'!$A$13:$G$201,5,FALSE),0),0)</f>
        <v>0</v>
      </c>
      <c r="F159" s="162">
        <f>ROUND(IFERROR(VLOOKUP(A159,'NCLB Title II-A Formula'!$A$13:$G$201,7,FALSE),0),0)</f>
        <v>0</v>
      </c>
      <c r="G159" s="162">
        <f>ROUND(IFERROR(VLOOKUP(A159,'NCLB Title III-A '!$A$13:$G$201,7,FALSE),0),0)</f>
        <v>0</v>
      </c>
      <c r="H159" s="162">
        <f>ROUND(IFERROR(VLOOKUP(A159,'NCLB Title III SAI'!$A$13:$G$189,7,FALSE),0),0)</f>
        <v>0</v>
      </c>
      <c r="I159" s="163">
        <f>ROUND(IFERROR(VLOOKUP(A159,'TITLE VI RURAL LI'!$A$13:$G$193,5,FALSE),0),0)</f>
        <v>0</v>
      </c>
    </row>
    <row r="160" spans="1:9" ht="18" x14ac:dyDescent="0.35">
      <c r="A160" s="164" t="s">
        <v>164</v>
      </c>
      <c r="B160" s="165" t="s">
        <v>342</v>
      </c>
      <c r="C160" s="162">
        <f>ROUND(IFERROR(VLOOKUP(A160,'NCLB Title I-A Formula'!$A$13:$G$201,7,FALSE),0),0)</f>
        <v>0</v>
      </c>
      <c r="D160" s="162">
        <f>ROUND(IFERROR(VLOOKUP(A160,'NCLB Title I-C Migrant'!$A$13:$G$201,5,FALSE),0),0)</f>
        <v>0</v>
      </c>
      <c r="E160" s="162">
        <f>ROUND(IFERROR(VLOOKUP(A160,'NCLB Title I-Delinquent'!$A$13:$G$201,5,FALSE),0),0)</f>
        <v>0</v>
      </c>
      <c r="F160" s="162">
        <f>ROUND(IFERROR(VLOOKUP(A160,'NCLB Title II-A Formula'!$A$13:$G$201,7,FALSE),0),0)</f>
        <v>0</v>
      </c>
      <c r="G160" s="162">
        <f>ROUND(IFERROR(VLOOKUP(A160,'NCLB Title III-A '!$A$13:$G$201,7,FALSE),0),0)</f>
        <v>0</v>
      </c>
      <c r="H160" s="162">
        <f>ROUND(IFERROR(VLOOKUP(A160,'NCLB Title III SAI'!$A$13:$G$189,7,FALSE),0),0)</f>
        <v>0</v>
      </c>
      <c r="I160" s="163">
        <f>ROUND(IFERROR(VLOOKUP(A160,'TITLE VI RURAL LI'!$A$13:$G$193,5,FALSE),0),0)</f>
        <v>0</v>
      </c>
    </row>
    <row r="161" spans="1:9" ht="18" x14ac:dyDescent="0.35">
      <c r="A161" s="164" t="s">
        <v>165</v>
      </c>
      <c r="B161" s="165" t="s">
        <v>343</v>
      </c>
      <c r="C161" s="162">
        <f>ROUND(IFERROR(VLOOKUP(A161,'NCLB Title I-A Formula'!$A$13:$G$201,7,FALSE),0),0)</f>
        <v>0</v>
      </c>
      <c r="D161" s="162">
        <f>ROUND(IFERROR(VLOOKUP(A161,'NCLB Title I-C Migrant'!$A$13:$G$201,5,FALSE),0),0)</f>
        <v>0</v>
      </c>
      <c r="E161" s="162">
        <f>ROUND(IFERROR(VLOOKUP(A161,'NCLB Title I-Delinquent'!$A$13:$G$201,5,FALSE),0),0)</f>
        <v>0</v>
      </c>
      <c r="F161" s="162">
        <f>ROUND(IFERROR(VLOOKUP(A161,'NCLB Title II-A Formula'!$A$13:$G$201,7,FALSE),0),0)</f>
        <v>0</v>
      </c>
      <c r="G161" s="162">
        <f>ROUND(IFERROR(VLOOKUP(A161,'NCLB Title III-A '!$A$13:$G$201,7,FALSE),0),0)</f>
        <v>0</v>
      </c>
      <c r="H161" s="162">
        <f>ROUND(IFERROR(VLOOKUP(A161,'NCLB Title III SAI'!$A$13:$G$189,7,FALSE),0),0)</f>
        <v>0</v>
      </c>
      <c r="I161" s="163">
        <f>ROUND(IFERROR(VLOOKUP(A161,'TITLE VI RURAL LI'!$A$13:$G$193,5,FALSE),0),0)</f>
        <v>0</v>
      </c>
    </row>
    <row r="162" spans="1:9" ht="18" x14ac:dyDescent="0.35">
      <c r="A162" s="164" t="s">
        <v>166</v>
      </c>
      <c r="B162" s="165" t="s">
        <v>344</v>
      </c>
      <c r="C162" s="162">
        <f>ROUND(IFERROR(VLOOKUP(A162,'NCLB Title I-A Formula'!$A$13:$G$201,7,FALSE),0),0)</f>
        <v>0</v>
      </c>
      <c r="D162" s="162">
        <f>ROUND(IFERROR(VLOOKUP(A162,'NCLB Title I-C Migrant'!$A$13:$G$201,5,FALSE),0),0)</f>
        <v>0</v>
      </c>
      <c r="E162" s="162">
        <f>ROUND(IFERROR(VLOOKUP(A162,'NCLB Title I-Delinquent'!$A$13:$G$201,5,FALSE),0),0)</f>
        <v>0</v>
      </c>
      <c r="F162" s="162">
        <f>ROUND(IFERROR(VLOOKUP(A162,'NCLB Title II-A Formula'!$A$13:$G$201,7,FALSE),0),0)</f>
        <v>0</v>
      </c>
      <c r="G162" s="162">
        <f>ROUND(IFERROR(VLOOKUP(A162,'NCLB Title III-A '!$A$13:$G$201,7,FALSE),0),0)</f>
        <v>0</v>
      </c>
      <c r="H162" s="162">
        <f>ROUND(IFERROR(VLOOKUP(A162,'NCLB Title III SAI'!$A$13:$G$189,7,FALSE),0),0)</f>
        <v>0</v>
      </c>
      <c r="I162" s="163">
        <f>ROUND(IFERROR(VLOOKUP(A162,'TITLE VI RURAL LI'!$A$13:$G$193,5,FALSE),0),0)</f>
        <v>0</v>
      </c>
    </row>
    <row r="163" spans="1:9" ht="18" x14ac:dyDescent="0.35">
      <c r="A163" s="164" t="s">
        <v>167</v>
      </c>
      <c r="B163" s="165" t="s">
        <v>345</v>
      </c>
      <c r="C163" s="162">
        <f>ROUND(IFERROR(VLOOKUP(A163,'NCLB Title I-A Formula'!$A$13:$G$201,7,FALSE),0),0)</f>
        <v>0</v>
      </c>
      <c r="D163" s="162">
        <f>ROUND(IFERROR(VLOOKUP(A163,'NCLB Title I-C Migrant'!$A$13:$G$201,5,FALSE),0),0)</f>
        <v>0</v>
      </c>
      <c r="E163" s="162">
        <f>ROUND(IFERROR(VLOOKUP(A163,'NCLB Title I-Delinquent'!$A$13:$G$201,5,FALSE),0),0)</f>
        <v>0</v>
      </c>
      <c r="F163" s="162">
        <f>ROUND(IFERROR(VLOOKUP(A163,'NCLB Title II-A Formula'!$A$13:$G$201,7,FALSE),0),0)</f>
        <v>0</v>
      </c>
      <c r="G163" s="162">
        <f>ROUND(IFERROR(VLOOKUP(A163,'NCLB Title III-A '!$A$13:$G$201,7,FALSE),0),0)</f>
        <v>0</v>
      </c>
      <c r="H163" s="162">
        <f>ROUND(IFERROR(VLOOKUP(A163,'NCLB Title III SAI'!$A$13:$G$189,7,FALSE),0),0)</f>
        <v>0</v>
      </c>
      <c r="I163" s="163">
        <f>ROUND(IFERROR(VLOOKUP(A163,'TITLE VI RURAL LI'!$A$13:$G$193,5,FALSE),0),0)</f>
        <v>0</v>
      </c>
    </row>
    <row r="164" spans="1:9" ht="18" x14ac:dyDescent="0.35">
      <c r="A164" s="164" t="s">
        <v>168</v>
      </c>
      <c r="B164" s="165" t="s">
        <v>346</v>
      </c>
      <c r="C164" s="162">
        <f>ROUND(IFERROR(VLOOKUP(A164,'NCLB Title I-A Formula'!$A$13:$G$201,7,FALSE),0),0)</f>
        <v>0</v>
      </c>
      <c r="D164" s="162">
        <f>ROUND(IFERROR(VLOOKUP(A164,'NCLB Title I-C Migrant'!$A$13:$G$201,5,FALSE),0),0)</f>
        <v>0</v>
      </c>
      <c r="E164" s="162">
        <f>ROUND(IFERROR(VLOOKUP(A164,'NCLB Title I-Delinquent'!$A$13:$G$201,5,FALSE),0),0)</f>
        <v>0</v>
      </c>
      <c r="F164" s="162">
        <f>ROUND(IFERROR(VLOOKUP(A164,'NCLB Title II-A Formula'!$A$13:$G$201,7,FALSE),0),0)</f>
        <v>0</v>
      </c>
      <c r="G164" s="162">
        <f>ROUND(IFERROR(VLOOKUP(A164,'NCLB Title III-A '!$A$13:$G$201,7,FALSE),0),0)</f>
        <v>0</v>
      </c>
      <c r="H164" s="162">
        <f>ROUND(IFERROR(VLOOKUP(A164,'NCLB Title III SAI'!$A$13:$G$189,7,FALSE),0),0)</f>
        <v>0</v>
      </c>
      <c r="I164" s="163">
        <f>ROUND(IFERROR(VLOOKUP(A164,'TITLE VI RURAL LI'!$A$13:$G$193,5,FALSE),0),0)</f>
        <v>0</v>
      </c>
    </row>
    <row r="165" spans="1:9" ht="18" x14ac:dyDescent="0.35">
      <c r="A165" s="164" t="s">
        <v>169</v>
      </c>
      <c r="B165" s="165" t="s">
        <v>347</v>
      </c>
      <c r="C165" s="162">
        <f>ROUND(IFERROR(VLOOKUP(A165,'NCLB Title I-A Formula'!$A$13:$G$201,7,FALSE),0),0)</f>
        <v>0</v>
      </c>
      <c r="D165" s="162">
        <f>ROUND(IFERROR(VLOOKUP(A165,'NCLB Title I-C Migrant'!$A$13:$G$201,5,FALSE),0),0)</f>
        <v>0</v>
      </c>
      <c r="E165" s="162">
        <f>ROUND(IFERROR(VLOOKUP(A165,'NCLB Title I-Delinquent'!$A$13:$G$201,5,FALSE),0),0)</f>
        <v>0</v>
      </c>
      <c r="F165" s="162">
        <f>ROUND(IFERROR(VLOOKUP(A165,'NCLB Title II-A Formula'!$A$13:$G$201,7,FALSE),0),0)</f>
        <v>0</v>
      </c>
      <c r="G165" s="162">
        <f>ROUND(IFERROR(VLOOKUP(A165,'NCLB Title III-A '!$A$13:$G$201,7,FALSE),0),0)</f>
        <v>0</v>
      </c>
      <c r="H165" s="162">
        <f>ROUND(IFERROR(VLOOKUP(A165,'NCLB Title III SAI'!$A$13:$G$189,7,FALSE),0),0)</f>
        <v>0</v>
      </c>
      <c r="I165" s="163">
        <f>ROUND(IFERROR(VLOOKUP(A165,'TITLE VI RURAL LI'!$A$13:$G$193,5,FALSE),0),0)</f>
        <v>0</v>
      </c>
    </row>
    <row r="166" spans="1:9" ht="18" x14ac:dyDescent="0.35">
      <c r="A166" s="164" t="s">
        <v>170</v>
      </c>
      <c r="B166" s="165" t="s">
        <v>348</v>
      </c>
      <c r="C166" s="162">
        <f>ROUND(IFERROR(VLOOKUP(A166,'NCLB Title I-A Formula'!$A$13:$G$201,7,FALSE),0),0)</f>
        <v>0</v>
      </c>
      <c r="D166" s="162">
        <f>ROUND(IFERROR(VLOOKUP(A166,'NCLB Title I-C Migrant'!$A$13:$G$201,5,FALSE),0),0)</f>
        <v>0</v>
      </c>
      <c r="E166" s="162">
        <f>ROUND(IFERROR(VLOOKUP(A166,'NCLB Title I-Delinquent'!$A$13:$G$201,5,FALSE),0),0)</f>
        <v>0</v>
      </c>
      <c r="F166" s="162">
        <f>ROUND(IFERROR(VLOOKUP(A166,'NCLB Title II-A Formula'!$A$13:$G$201,7,FALSE),0),0)</f>
        <v>0</v>
      </c>
      <c r="G166" s="162">
        <f>ROUND(IFERROR(VLOOKUP(A166,'NCLB Title III-A '!$A$13:$G$201,7,FALSE),0),0)</f>
        <v>0</v>
      </c>
      <c r="H166" s="162">
        <f>ROUND(IFERROR(VLOOKUP(A166,'NCLB Title III SAI'!$A$13:$G$189,7,FALSE),0),0)</f>
        <v>0</v>
      </c>
      <c r="I166" s="163">
        <f>ROUND(IFERROR(VLOOKUP(A166,'TITLE VI RURAL LI'!$A$13:$G$193,5,FALSE),0),0)</f>
        <v>0</v>
      </c>
    </row>
    <row r="167" spans="1:9" ht="18" x14ac:dyDescent="0.35">
      <c r="A167" s="164" t="s">
        <v>171</v>
      </c>
      <c r="B167" s="165" t="s">
        <v>349</v>
      </c>
      <c r="C167" s="162">
        <f>ROUND(IFERROR(VLOOKUP(A167,'NCLB Title I-A Formula'!$A$13:$G$201,7,FALSE),0),0)</f>
        <v>0</v>
      </c>
      <c r="D167" s="162">
        <f>ROUND(IFERROR(VLOOKUP(A167,'NCLB Title I-C Migrant'!$A$13:$G$201,5,FALSE),0),0)</f>
        <v>0</v>
      </c>
      <c r="E167" s="162">
        <f>ROUND(IFERROR(VLOOKUP(A167,'NCLB Title I-Delinquent'!$A$13:$G$201,5,FALSE),0),0)</f>
        <v>0</v>
      </c>
      <c r="F167" s="162">
        <f>ROUND(IFERROR(VLOOKUP(A167,'NCLB Title II-A Formula'!$A$13:$G$201,7,FALSE),0),0)</f>
        <v>0</v>
      </c>
      <c r="G167" s="162">
        <f>ROUND(IFERROR(VLOOKUP(A167,'NCLB Title III-A '!$A$13:$G$201,7,FALSE),0),0)</f>
        <v>0</v>
      </c>
      <c r="H167" s="162">
        <f>ROUND(IFERROR(VLOOKUP(A167,'NCLB Title III SAI'!$A$13:$G$189,7,FALSE),0),0)</f>
        <v>0</v>
      </c>
      <c r="I167" s="163">
        <f>ROUND(IFERROR(VLOOKUP(A167,'TITLE VI RURAL LI'!$A$13:$G$193,5,FALSE),0),0)</f>
        <v>0</v>
      </c>
    </row>
    <row r="168" spans="1:9" ht="18" x14ac:dyDescent="0.35">
      <c r="A168" s="164" t="s">
        <v>172</v>
      </c>
      <c r="B168" s="165" t="s">
        <v>477</v>
      </c>
      <c r="C168" s="162">
        <f>ROUND(IFERROR(VLOOKUP(A168,'NCLB Title I-A Formula'!$A$13:$G$201,7,FALSE),0),0)</f>
        <v>0</v>
      </c>
      <c r="D168" s="162">
        <f>ROUND(IFERROR(VLOOKUP(A168,'NCLB Title I-C Migrant'!$A$13:$G$201,5,FALSE),0),0)</f>
        <v>0</v>
      </c>
      <c r="E168" s="162">
        <f>ROUND(IFERROR(VLOOKUP(A168,'NCLB Title I-Delinquent'!$A$13:$G$201,5,FALSE),0),0)</f>
        <v>0</v>
      </c>
      <c r="F168" s="162">
        <f>ROUND(IFERROR(VLOOKUP(A168,'NCLB Title II-A Formula'!$A$13:$G$201,7,FALSE),0),0)</f>
        <v>0</v>
      </c>
      <c r="G168" s="162">
        <f>ROUND(IFERROR(VLOOKUP(A168,'NCLB Title III-A '!$A$13:$G$201,7,FALSE),0),0)</f>
        <v>0</v>
      </c>
      <c r="H168" s="162">
        <f>ROUND(IFERROR(VLOOKUP(A168,'NCLB Title III SAI'!$A$13:$G$189,7,FALSE),0),0)</f>
        <v>0</v>
      </c>
      <c r="I168" s="163">
        <f>ROUND(IFERROR(VLOOKUP(A168,'TITLE VI RURAL LI'!$A$13:$G$193,5,FALSE),0),0)</f>
        <v>0</v>
      </c>
    </row>
    <row r="169" spans="1:9" ht="18" x14ac:dyDescent="0.35">
      <c r="A169" s="164" t="s">
        <v>173</v>
      </c>
      <c r="B169" s="165" t="s">
        <v>350</v>
      </c>
      <c r="C169" s="162">
        <f>ROUND(IFERROR(VLOOKUP(A169,'NCLB Title I-A Formula'!$A$13:$G$201,7,FALSE),0),0)</f>
        <v>0</v>
      </c>
      <c r="D169" s="162">
        <f>ROUND(IFERROR(VLOOKUP(A169,'NCLB Title I-C Migrant'!$A$13:$G$201,5,FALSE),0),0)</f>
        <v>0</v>
      </c>
      <c r="E169" s="162">
        <f>ROUND(IFERROR(VLOOKUP(A169,'NCLB Title I-Delinquent'!$A$13:$G$201,5,FALSE),0),0)</f>
        <v>0</v>
      </c>
      <c r="F169" s="162">
        <f>ROUND(IFERROR(VLOOKUP(A169,'NCLB Title II-A Formula'!$A$13:$G$201,7,FALSE),0),0)</f>
        <v>0</v>
      </c>
      <c r="G169" s="162">
        <f>ROUND(IFERROR(VLOOKUP(A169,'NCLB Title III-A '!$A$13:$G$201,7,FALSE),0),0)</f>
        <v>0</v>
      </c>
      <c r="H169" s="162">
        <f>ROUND(IFERROR(VLOOKUP(A169,'NCLB Title III SAI'!$A$13:$G$189,7,FALSE),0),0)</f>
        <v>0</v>
      </c>
      <c r="I169" s="163">
        <f>ROUND(IFERROR(VLOOKUP(A169,'TITLE VI RURAL LI'!$A$13:$G$193,5,FALSE),0),0)</f>
        <v>0</v>
      </c>
    </row>
    <row r="170" spans="1:9" ht="18" x14ac:dyDescent="0.35">
      <c r="A170" s="164" t="s">
        <v>174</v>
      </c>
      <c r="B170" s="165" t="s">
        <v>351</v>
      </c>
      <c r="C170" s="162">
        <f>ROUND(IFERROR(VLOOKUP(A170,'NCLB Title I-A Formula'!$A$13:$G$201,7,FALSE),0),0)</f>
        <v>0</v>
      </c>
      <c r="D170" s="162">
        <f>ROUND(IFERROR(VLOOKUP(A170,'NCLB Title I-C Migrant'!$A$13:$G$201,5,FALSE),0),0)</f>
        <v>0</v>
      </c>
      <c r="E170" s="162">
        <f>ROUND(IFERROR(VLOOKUP(A170,'NCLB Title I-Delinquent'!$A$13:$G$201,5,FALSE),0),0)</f>
        <v>0</v>
      </c>
      <c r="F170" s="162">
        <f>ROUND(IFERROR(VLOOKUP(A170,'NCLB Title II-A Formula'!$A$13:$G$201,7,FALSE),0),0)</f>
        <v>0</v>
      </c>
      <c r="G170" s="162">
        <f>ROUND(IFERROR(VLOOKUP(A170,'NCLB Title III-A '!$A$13:$G$201,7,FALSE),0),0)</f>
        <v>0</v>
      </c>
      <c r="H170" s="162">
        <f>ROUND(IFERROR(VLOOKUP(A170,'NCLB Title III SAI'!$A$13:$G$189,7,FALSE),0),0)</f>
        <v>0</v>
      </c>
      <c r="I170" s="163">
        <f>ROUND(IFERROR(VLOOKUP(A170,'TITLE VI RURAL LI'!$A$13:$G$193,5,FALSE),0),0)</f>
        <v>0</v>
      </c>
    </row>
    <row r="171" spans="1:9" ht="18" x14ac:dyDescent="0.35">
      <c r="A171" s="164" t="s">
        <v>175</v>
      </c>
      <c r="B171" s="165" t="s">
        <v>352</v>
      </c>
      <c r="C171" s="162">
        <f>ROUND(IFERROR(VLOOKUP(A171,'NCLB Title I-A Formula'!$A$13:$G$201,7,FALSE),0),0)</f>
        <v>0</v>
      </c>
      <c r="D171" s="162">
        <f>ROUND(IFERROR(VLOOKUP(A171,'NCLB Title I-C Migrant'!$A$13:$G$201,5,FALSE),0),0)</f>
        <v>0</v>
      </c>
      <c r="E171" s="162">
        <f>ROUND(IFERROR(VLOOKUP(A171,'NCLB Title I-Delinquent'!$A$13:$G$201,5,FALSE),0),0)</f>
        <v>0</v>
      </c>
      <c r="F171" s="162">
        <f>ROUND(IFERROR(VLOOKUP(A171,'NCLB Title II-A Formula'!$A$13:$G$201,7,FALSE),0),0)</f>
        <v>0</v>
      </c>
      <c r="G171" s="162">
        <f>ROUND(IFERROR(VLOOKUP(A171,'NCLB Title III-A '!$A$13:$G$201,7,FALSE),0),0)</f>
        <v>0</v>
      </c>
      <c r="H171" s="162">
        <f>ROUND(IFERROR(VLOOKUP(A171,'NCLB Title III SAI'!$A$13:$G$189,7,FALSE),0),0)</f>
        <v>0</v>
      </c>
      <c r="I171" s="163">
        <f>ROUND(IFERROR(VLOOKUP(A171,'TITLE VI RURAL LI'!$A$13:$G$193,5,FALSE),0),0)</f>
        <v>0</v>
      </c>
    </row>
    <row r="172" spans="1:9" ht="18" x14ac:dyDescent="0.35">
      <c r="A172" s="164" t="s">
        <v>176</v>
      </c>
      <c r="B172" s="165" t="s">
        <v>353</v>
      </c>
      <c r="C172" s="162">
        <f>ROUND(IFERROR(VLOOKUP(A172,'NCLB Title I-A Formula'!$A$13:$G$201,7,FALSE),0),0)</f>
        <v>0</v>
      </c>
      <c r="D172" s="162">
        <f>ROUND(IFERROR(VLOOKUP(A172,'NCLB Title I-C Migrant'!$A$13:$G$201,5,FALSE),0),0)</f>
        <v>0</v>
      </c>
      <c r="E172" s="162">
        <f>ROUND(IFERROR(VLOOKUP(A172,'NCLB Title I-Delinquent'!$A$13:$G$201,5,FALSE),0),0)</f>
        <v>0</v>
      </c>
      <c r="F172" s="162">
        <f>ROUND(IFERROR(VLOOKUP(A172,'NCLB Title II-A Formula'!$A$13:$G$201,7,FALSE),0),0)</f>
        <v>0</v>
      </c>
      <c r="G172" s="162">
        <f>ROUND(IFERROR(VLOOKUP(A172,'NCLB Title III-A '!$A$13:$G$201,7,FALSE),0),0)</f>
        <v>0</v>
      </c>
      <c r="H172" s="162">
        <f>ROUND(IFERROR(VLOOKUP(A172,'NCLB Title III SAI'!$A$13:$G$189,7,FALSE),0),0)</f>
        <v>0</v>
      </c>
      <c r="I172" s="163">
        <f>ROUND(IFERROR(VLOOKUP(A172,'TITLE VI RURAL LI'!$A$13:$G$193,5,FALSE),0),0)</f>
        <v>0</v>
      </c>
    </row>
    <row r="173" spans="1:9" ht="18" x14ac:dyDescent="0.35">
      <c r="A173" s="164" t="s">
        <v>177</v>
      </c>
      <c r="B173" s="165" t="s">
        <v>354</v>
      </c>
      <c r="C173" s="162">
        <f>ROUND(IFERROR(VLOOKUP(A173,'NCLB Title I-A Formula'!$A$13:$G$201,7,FALSE),0),0)</f>
        <v>0</v>
      </c>
      <c r="D173" s="162">
        <f>ROUND(IFERROR(VLOOKUP(A173,'NCLB Title I-C Migrant'!$A$13:$G$201,5,FALSE),0),0)</f>
        <v>0</v>
      </c>
      <c r="E173" s="162">
        <f>ROUND(IFERROR(VLOOKUP(A173,'NCLB Title I-Delinquent'!$A$13:$G$201,5,FALSE),0),0)</f>
        <v>0</v>
      </c>
      <c r="F173" s="162">
        <f>ROUND(IFERROR(VLOOKUP(A173,'NCLB Title II-A Formula'!$A$13:$G$201,7,FALSE),0),0)</f>
        <v>0</v>
      </c>
      <c r="G173" s="162">
        <f>ROUND(IFERROR(VLOOKUP(A173,'NCLB Title III-A '!$A$13:$G$201,7,FALSE),0),0)</f>
        <v>0</v>
      </c>
      <c r="H173" s="162">
        <f>ROUND(IFERROR(VLOOKUP(A173,'NCLB Title III SAI'!$A$13:$G$189,7,FALSE),0),0)</f>
        <v>0</v>
      </c>
      <c r="I173" s="163">
        <f>ROUND(IFERROR(VLOOKUP(A173,'TITLE VI RURAL LI'!$A$13:$G$193,5,FALSE),0),0)</f>
        <v>0</v>
      </c>
    </row>
    <row r="174" spans="1:9" ht="18" x14ac:dyDescent="0.35">
      <c r="A174" s="164" t="s">
        <v>178</v>
      </c>
      <c r="B174" s="165" t="s">
        <v>355</v>
      </c>
      <c r="C174" s="162">
        <f>ROUND(IFERROR(VLOOKUP(A174,'NCLB Title I-A Formula'!$A$13:$G$201,7,FALSE),0),0)</f>
        <v>0</v>
      </c>
      <c r="D174" s="162">
        <f>ROUND(IFERROR(VLOOKUP(A174,'NCLB Title I-C Migrant'!$A$13:$G$201,5,FALSE),0),0)</f>
        <v>0</v>
      </c>
      <c r="E174" s="162">
        <f>ROUND(IFERROR(VLOOKUP(A174,'NCLB Title I-Delinquent'!$A$13:$G$201,5,FALSE),0),0)</f>
        <v>0</v>
      </c>
      <c r="F174" s="162">
        <f>ROUND(IFERROR(VLOOKUP(A174,'NCLB Title II-A Formula'!$A$13:$G$201,7,FALSE),0),0)</f>
        <v>0</v>
      </c>
      <c r="G174" s="162">
        <f>ROUND(IFERROR(VLOOKUP(A174,'NCLB Title III-A '!$A$13:$G$201,7,FALSE),0),0)</f>
        <v>0</v>
      </c>
      <c r="H174" s="162">
        <f>ROUND(IFERROR(VLOOKUP(A174,'NCLB Title III SAI'!$A$13:$G$189,7,FALSE),0),0)</f>
        <v>0</v>
      </c>
      <c r="I174" s="163">
        <f>ROUND(IFERROR(VLOOKUP(A174,'TITLE VI RURAL LI'!$A$13:$G$193,5,FALSE),0),0)</f>
        <v>0</v>
      </c>
    </row>
    <row r="175" spans="1:9" ht="18" x14ac:dyDescent="0.35">
      <c r="A175" s="164" t="s">
        <v>179</v>
      </c>
      <c r="B175" s="165" t="s">
        <v>356</v>
      </c>
      <c r="C175" s="162">
        <f>ROUND(IFERROR(VLOOKUP(A175,'NCLB Title I-A Formula'!$A$13:$G$201,7,FALSE),0),0)</f>
        <v>0</v>
      </c>
      <c r="D175" s="162">
        <f>ROUND(IFERROR(VLOOKUP(A175,'NCLB Title I-C Migrant'!$A$13:$G$201,5,FALSE),0),0)</f>
        <v>0</v>
      </c>
      <c r="E175" s="162">
        <f>ROUND(IFERROR(VLOOKUP(A175,'NCLB Title I-Delinquent'!$A$13:$G$201,5,FALSE),0),0)</f>
        <v>0</v>
      </c>
      <c r="F175" s="162">
        <f>ROUND(IFERROR(VLOOKUP(A175,'NCLB Title II-A Formula'!$A$13:$G$201,7,FALSE),0),0)</f>
        <v>0</v>
      </c>
      <c r="G175" s="162">
        <f>ROUND(IFERROR(VLOOKUP(A175,'NCLB Title III-A '!$A$13:$G$201,7,FALSE),0),0)</f>
        <v>0</v>
      </c>
      <c r="H175" s="162">
        <f>ROUND(IFERROR(VLOOKUP(A175,'NCLB Title III SAI'!$A$13:$G$189,7,FALSE),0),0)</f>
        <v>0</v>
      </c>
      <c r="I175" s="163">
        <f>ROUND(IFERROR(VLOOKUP(A175,'TITLE VI RURAL LI'!$A$13:$G$193,5,FALSE),0),0)</f>
        <v>0</v>
      </c>
    </row>
    <row r="176" spans="1:9" ht="18" x14ac:dyDescent="0.35">
      <c r="A176" s="164" t="s">
        <v>180</v>
      </c>
      <c r="B176" s="165" t="s">
        <v>357</v>
      </c>
      <c r="C176" s="162">
        <f>ROUND(IFERROR(VLOOKUP(A176,'NCLB Title I-A Formula'!$A$13:$G$201,7,FALSE),0),0)</f>
        <v>0</v>
      </c>
      <c r="D176" s="162">
        <f>ROUND(IFERROR(VLOOKUP(A176,'NCLB Title I-C Migrant'!$A$13:$G$201,5,FALSE),0),0)</f>
        <v>0</v>
      </c>
      <c r="E176" s="162">
        <f>ROUND(IFERROR(VLOOKUP(A176,'NCLB Title I-Delinquent'!$A$13:$G$201,5,FALSE),0),0)</f>
        <v>0</v>
      </c>
      <c r="F176" s="162">
        <f>ROUND(IFERROR(VLOOKUP(A176,'NCLB Title II-A Formula'!$A$13:$G$201,7,FALSE),0),0)</f>
        <v>0</v>
      </c>
      <c r="G176" s="162">
        <f>ROUND(IFERROR(VLOOKUP(A176,'NCLB Title III-A '!$A$13:$G$201,7,FALSE),0),0)</f>
        <v>0</v>
      </c>
      <c r="H176" s="162">
        <f>ROUND(IFERROR(VLOOKUP(A176,'NCLB Title III SAI'!$A$13:$G$189,7,FALSE),0),0)</f>
        <v>0</v>
      </c>
      <c r="I176" s="163">
        <f>ROUND(IFERROR(VLOOKUP(A176,'TITLE VI RURAL LI'!$A$13:$G$193,5,FALSE),0),0)</f>
        <v>0</v>
      </c>
    </row>
    <row r="177" spans="1:9" ht="18" x14ac:dyDescent="0.35">
      <c r="A177" s="164" t="s">
        <v>181</v>
      </c>
      <c r="B177" s="165" t="s">
        <v>358</v>
      </c>
      <c r="C177" s="162">
        <f>ROUND(IFERROR(VLOOKUP(A177,'NCLB Title I-A Formula'!$A$13:$G$201,7,FALSE),0),0)</f>
        <v>0</v>
      </c>
      <c r="D177" s="162">
        <f>ROUND(IFERROR(VLOOKUP(A177,'NCLB Title I-C Migrant'!$A$13:$G$201,5,FALSE),0),0)</f>
        <v>0</v>
      </c>
      <c r="E177" s="162">
        <f>ROUND(IFERROR(VLOOKUP(A177,'NCLB Title I-Delinquent'!$A$13:$G$201,5,FALSE),0),0)</f>
        <v>0</v>
      </c>
      <c r="F177" s="162">
        <f>ROUND(IFERROR(VLOOKUP(A177,'NCLB Title II-A Formula'!$A$13:$G$201,7,FALSE),0),0)</f>
        <v>0</v>
      </c>
      <c r="G177" s="162">
        <f>ROUND(IFERROR(VLOOKUP(A177,'NCLB Title III-A '!$A$13:$G$201,7,FALSE),0),0)</f>
        <v>0</v>
      </c>
      <c r="H177" s="162">
        <f>ROUND(IFERROR(VLOOKUP(A177,'NCLB Title III SAI'!$A$13:$G$189,7,FALSE),0),0)</f>
        <v>0</v>
      </c>
      <c r="I177" s="163">
        <f>ROUND(IFERROR(VLOOKUP(A177,'TITLE VI RURAL LI'!$A$13:$G$193,5,FALSE),0),0)</f>
        <v>0</v>
      </c>
    </row>
    <row r="178" spans="1:9" ht="18" x14ac:dyDescent="0.35">
      <c r="A178" s="164" t="s">
        <v>182</v>
      </c>
      <c r="B178" s="165" t="s">
        <v>359</v>
      </c>
      <c r="C178" s="162">
        <f>ROUND(IFERROR(VLOOKUP(A178,'NCLB Title I-A Formula'!$A$13:$G$201,7,FALSE),0),0)</f>
        <v>0</v>
      </c>
      <c r="D178" s="162">
        <f>ROUND(IFERROR(VLOOKUP(A178,'NCLB Title I-C Migrant'!$A$13:$G$201,5,FALSE),0),0)</f>
        <v>0</v>
      </c>
      <c r="E178" s="162">
        <f>ROUND(IFERROR(VLOOKUP(A178,'NCLB Title I-Delinquent'!$A$13:$G$201,5,FALSE),0),0)</f>
        <v>0</v>
      </c>
      <c r="F178" s="162">
        <f>ROUND(IFERROR(VLOOKUP(A178,'NCLB Title II-A Formula'!$A$13:$G$201,7,FALSE),0),0)</f>
        <v>0</v>
      </c>
      <c r="G178" s="162">
        <f>ROUND(IFERROR(VLOOKUP(A178,'NCLB Title III-A '!$A$13:$G$201,7,FALSE),0),0)</f>
        <v>0</v>
      </c>
      <c r="H178" s="162">
        <f>ROUND(IFERROR(VLOOKUP(A178,'NCLB Title III SAI'!$A$13:$G$189,7,FALSE),0),0)</f>
        <v>0</v>
      </c>
      <c r="I178" s="163">
        <f>ROUND(IFERROR(VLOOKUP(A178,'TITLE VI RURAL LI'!$A$13:$G$193,5,FALSE),0),0)</f>
        <v>0</v>
      </c>
    </row>
    <row r="179" spans="1:9" ht="18" x14ac:dyDescent="0.35">
      <c r="A179" s="164" t="s">
        <v>183</v>
      </c>
      <c r="B179" s="165" t="s">
        <v>360</v>
      </c>
      <c r="C179" s="162">
        <f>ROUND(IFERROR(VLOOKUP(A179,'NCLB Title I-A Formula'!$A$13:$G$201,7,FALSE),0),0)</f>
        <v>0</v>
      </c>
      <c r="D179" s="162">
        <f>ROUND(IFERROR(VLOOKUP(A179,'NCLB Title I-C Migrant'!$A$13:$G$201,5,FALSE),0),0)</f>
        <v>0</v>
      </c>
      <c r="E179" s="162">
        <f>ROUND(IFERROR(VLOOKUP(A179,'NCLB Title I-Delinquent'!$A$13:$G$201,5,FALSE),0),0)</f>
        <v>0</v>
      </c>
      <c r="F179" s="162">
        <f>ROUND(IFERROR(VLOOKUP(A179,'NCLB Title II-A Formula'!$A$13:$G$201,7,FALSE),0),0)</f>
        <v>0</v>
      </c>
      <c r="G179" s="162">
        <f>ROUND(IFERROR(VLOOKUP(A179,'NCLB Title III-A '!$A$13:$G$201,7,FALSE),0),0)</f>
        <v>0</v>
      </c>
      <c r="H179" s="162">
        <f>ROUND(IFERROR(VLOOKUP(A179,'NCLB Title III SAI'!$A$13:$G$189,7,FALSE),0),0)</f>
        <v>0</v>
      </c>
      <c r="I179" s="163">
        <f>ROUND(IFERROR(VLOOKUP(A179,'TITLE VI RURAL LI'!$A$13:$G$193,5,FALSE),0),0)</f>
        <v>0</v>
      </c>
    </row>
    <row r="180" spans="1:9" ht="18" x14ac:dyDescent="0.35">
      <c r="A180" s="164" t="s">
        <v>184</v>
      </c>
      <c r="B180" s="165" t="s">
        <v>361</v>
      </c>
      <c r="C180" s="162">
        <f>ROUND(IFERROR(VLOOKUP(A180,'NCLB Title I-A Formula'!$A$13:$G$201,7,FALSE),0),0)</f>
        <v>0</v>
      </c>
      <c r="D180" s="162">
        <f>ROUND(IFERROR(VLOOKUP(A180,'NCLB Title I-C Migrant'!$A$13:$G$201,5,FALSE),0),0)</f>
        <v>0</v>
      </c>
      <c r="E180" s="162">
        <f>ROUND(IFERROR(VLOOKUP(A180,'NCLB Title I-Delinquent'!$A$13:$G$201,5,FALSE),0),0)</f>
        <v>0</v>
      </c>
      <c r="F180" s="162">
        <f>ROUND(IFERROR(VLOOKUP(A180,'NCLB Title II-A Formula'!$A$13:$G$201,7,FALSE),0),0)</f>
        <v>0</v>
      </c>
      <c r="G180" s="162">
        <f>ROUND(IFERROR(VLOOKUP(A180,'NCLB Title III-A '!$A$13:$G$201,7,FALSE),0),0)</f>
        <v>0</v>
      </c>
      <c r="H180" s="162">
        <f>ROUND(IFERROR(VLOOKUP(A180,'NCLB Title III SAI'!$A$13:$G$189,7,FALSE),0),0)</f>
        <v>0</v>
      </c>
      <c r="I180" s="163">
        <f>ROUND(IFERROR(VLOOKUP(A180,'TITLE VI RURAL LI'!$A$13:$G$193,5,FALSE),0),0)</f>
        <v>0</v>
      </c>
    </row>
    <row r="181" spans="1:9" ht="18" x14ac:dyDescent="0.35">
      <c r="A181" s="164" t="s">
        <v>185</v>
      </c>
      <c r="B181" s="165" t="s">
        <v>362</v>
      </c>
      <c r="C181" s="162">
        <f>ROUND(IFERROR(VLOOKUP(A181,'NCLB Title I-A Formula'!$A$13:$G$201,7,FALSE),0),0)</f>
        <v>0</v>
      </c>
      <c r="D181" s="162">
        <f>ROUND(IFERROR(VLOOKUP(A181,'NCLB Title I-C Migrant'!$A$13:$G$201,5,FALSE),0),0)</f>
        <v>0</v>
      </c>
      <c r="E181" s="162">
        <f>ROUND(IFERROR(VLOOKUP(A181,'NCLB Title I-Delinquent'!$A$13:$G$201,5,FALSE),0),0)</f>
        <v>0</v>
      </c>
      <c r="F181" s="162">
        <f>ROUND(IFERROR(VLOOKUP(A181,'NCLB Title II-A Formula'!$A$13:$G$201,7,FALSE),0),0)</f>
        <v>0</v>
      </c>
      <c r="G181" s="162">
        <f>ROUND(IFERROR(VLOOKUP(A181,'NCLB Title III-A '!$A$13:$G$201,7,FALSE),0),0)</f>
        <v>0</v>
      </c>
      <c r="H181" s="162">
        <f>ROUND(IFERROR(VLOOKUP(A181,'NCLB Title III SAI'!$A$13:$G$189,7,FALSE),0),0)</f>
        <v>0</v>
      </c>
      <c r="I181" s="163">
        <f>ROUND(IFERROR(VLOOKUP(A181,'TITLE VI RURAL LI'!$A$13:$G$193,5,FALSE),0),0)</f>
        <v>0</v>
      </c>
    </row>
    <row r="182" spans="1:9" ht="18" x14ac:dyDescent="0.35">
      <c r="A182" s="237" t="s">
        <v>522</v>
      </c>
      <c r="B182" s="165" t="s">
        <v>364</v>
      </c>
      <c r="C182" s="162">
        <f>ROUND(IFERROR(VLOOKUP(A182,'NCLB Title I-A Formula'!$A$13:$G$201,7,FALSE),0),0)</f>
        <v>0</v>
      </c>
      <c r="D182" s="162">
        <f>ROUND(IFERROR(VLOOKUP(A182,'NCLB Title I-C Migrant'!$A$13:$G$201,5,FALSE),0),0)</f>
        <v>0</v>
      </c>
      <c r="E182" s="162">
        <f>ROUND(IFERROR(VLOOKUP(A182,'NCLB Title I-Delinquent'!$A$13:$G$201,5,FALSE),0),0)</f>
        <v>0</v>
      </c>
      <c r="F182" s="162">
        <f>ROUND(IFERROR(VLOOKUP(A182,'NCLB Title II-A Formula'!$A$13:$G$201,7,FALSE),0),0)</f>
        <v>0</v>
      </c>
      <c r="G182" s="162">
        <f>ROUND(IFERROR(VLOOKUP(A182,'NCLB Title III-A '!$A$13:$G$201,7,FALSE),0),0)</f>
        <v>0</v>
      </c>
      <c r="H182" s="162">
        <f>ROUND(IFERROR(VLOOKUP(A182,'NCLB Title III SAI'!$A$13:$G$189,7,FALSE),0),0)</f>
        <v>0</v>
      </c>
      <c r="I182" s="163">
        <f>ROUND(IFERROR(VLOOKUP(A182,'TITLE VI RURAL LI'!$A$13:$G$193,5,FALSE),0),0)</f>
        <v>0</v>
      </c>
    </row>
    <row r="183" spans="1:9" ht="18" x14ac:dyDescent="0.35">
      <c r="A183" s="164" t="s">
        <v>366</v>
      </c>
      <c r="B183" s="165" t="s">
        <v>365</v>
      </c>
      <c r="C183" s="162">
        <f>ROUND(IFERROR(VLOOKUP(A183,'NCLB Title I-A Formula'!$A$13:$G$201,7,FALSE),0),0)</f>
        <v>0</v>
      </c>
      <c r="D183" s="162">
        <f>ROUND(IFERROR(VLOOKUP(A183,'NCLB Title I-C Migrant'!$A$13:$G$201,5,FALSE),0),0)</f>
        <v>0</v>
      </c>
      <c r="E183" s="162">
        <f>ROUND(IFERROR(VLOOKUP(A183,'NCLB Title I-Delinquent'!$A$13:$G$201,5,FALSE),0),0)</f>
        <v>0</v>
      </c>
      <c r="F183" s="162">
        <f>ROUND(IFERROR(VLOOKUP(A183,'NCLB Title II-A Formula'!$A$13:$G$201,7,FALSE),0),0)</f>
        <v>0</v>
      </c>
      <c r="G183" s="162">
        <f>ROUND(IFERROR(VLOOKUP(A183,'NCLB Title III-A '!$A$13:$G$201,7,FALSE),0),0)</f>
        <v>0</v>
      </c>
      <c r="H183" s="162">
        <f>ROUND(IFERROR(VLOOKUP(A183,'NCLB Title III SAI'!$A$13:$G$189,7,FALSE),0),0)</f>
        <v>0</v>
      </c>
      <c r="I183" s="163">
        <f>ROUND(IFERROR(VLOOKUP(A183,'TITLE VI RURAL LI'!$A$13:$G$193,5,FALSE),0),0)</f>
        <v>0</v>
      </c>
    </row>
    <row r="184" spans="1:9" ht="18" x14ac:dyDescent="0.35">
      <c r="A184" s="166" t="s">
        <v>374</v>
      </c>
      <c r="B184" s="167" t="s">
        <v>379</v>
      </c>
      <c r="C184" s="162">
        <f>ROUND(IFERROR(VLOOKUP(A184,'NCLB Title I-A Formula'!$A$13:$G$201,7,FALSE),0),0)</f>
        <v>0</v>
      </c>
      <c r="D184" s="162">
        <f>ROUND(IFERROR(VLOOKUP(A184,'NCLB Title I-C Migrant'!$A$13:$G$201,5,FALSE),0),0)</f>
        <v>0</v>
      </c>
      <c r="E184" s="162">
        <f>ROUND(IFERROR(VLOOKUP(A184,'NCLB Title I-Delinquent'!$A$13:$G$201,5,FALSE),0),0)</f>
        <v>0</v>
      </c>
      <c r="F184" s="162">
        <f>ROUND(IFERROR(VLOOKUP(A184,'NCLB Title II-A Formula'!$A$13:$G$201,7,FALSE),0),0)</f>
        <v>0</v>
      </c>
      <c r="G184" s="162">
        <f>ROUND(IFERROR(VLOOKUP(A184,'NCLB Title III-A '!$A$13:$G$201,7,FALSE),0),0)</f>
        <v>0</v>
      </c>
      <c r="H184" s="162">
        <f>ROUND(IFERROR(VLOOKUP(A184,'NCLB Title III SAI'!$A$13:$G$189,7,FALSE),0),0)</f>
        <v>0</v>
      </c>
      <c r="I184" s="163">
        <f>ROUND(IFERROR(VLOOKUP(A184,'TITLE VI RURAL LI'!$A$13:$G$193,5,FALSE),0),0)</f>
        <v>0</v>
      </c>
    </row>
    <row r="185" spans="1:9" ht="18" x14ac:dyDescent="0.35">
      <c r="A185" s="166" t="s">
        <v>375</v>
      </c>
      <c r="B185" s="167" t="s">
        <v>380</v>
      </c>
      <c r="C185" s="162">
        <f>ROUND(IFERROR(VLOOKUP(A185,'NCLB Title I-A Formula'!$A$13:$G$201,7,FALSE),0),0)</f>
        <v>0</v>
      </c>
      <c r="D185" s="162">
        <f>ROUND(IFERROR(VLOOKUP(A185,'NCLB Title I-C Migrant'!$A$13:$G$201,5,FALSE),0),0)</f>
        <v>116688</v>
      </c>
      <c r="E185" s="162">
        <f>ROUND(IFERROR(VLOOKUP(A185,'NCLB Title I-Delinquent'!$A$13:$G$201,5,FALSE),0),0)</f>
        <v>0</v>
      </c>
      <c r="F185" s="162">
        <f>ROUND(IFERROR(VLOOKUP(A185,'NCLB Title II-A Formula'!$A$13:$G$201,7,FALSE),0),0)</f>
        <v>0</v>
      </c>
      <c r="G185" s="162">
        <f>ROUND(IFERROR(VLOOKUP(A185,'NCLB Title III-A '!$A$13:$G$201,7,FALSE),0),0)</f>
        <v>0</v>
      </c>
      <c r="H185" s="162">
        <f>ROUND(IFERROR(VLOOKUP(A185,'NCLB Title III SAI'!$A$13:$G$189,7,FALSE),0),0)</f>
        <v>0</v>
      </c>
      <c r="I185" s="163">
        <f>ROUND(IFERROR(VLOOKUP(A185,'TITLE VI RURAL LI'!$A$13:$G$193,5,FALSE),0),0)</f>
        <v>0</v>
      </c>
    </row>
    <row r="186" spans="1:9" ht="18" x14ac:dyDescent="0.35">
      <c r="A186" s="166" t="s">
        <v>376</v>
      </c>
      <c r="B186" s="168" t="s">
        <v>381</v>
      </c>
      <c r="C186" s="162">
        <f>ROUND(IFERROR(VLOOKUP(A186,'NCLB Title I-A Formula'!$A$13:$G$201,7,FALSE),0),0)</f>
        <v>0</v>
      </c>
      <c r="D186" s="162">
        <f>ROUND(IFERROR(VLOOKUP(A186,'NCLB Title I-C Migrant'!$A$13:$G$201,5,FALSE),0),0)</f>
        <v>0</v>
      </c>
      <c r="E186" s="162">
        <f>ROUND(IFERROR(VLOOKUP(A186,'NCLB Title I-Delinquent'!$A$13:$G$201,5,FALSE),0),0)</f>
        <v>0</v>
      </c>
      <c r="F186" s="162">
        <f>ROUND(IFERROR(VLOOKUP(A186,'NCLB Title II-A Formula'!$A$13:$G$201,7,FALSE),0),0)</f>
        <v>1</v>
      </c>
      <c r="G186" s="162">
        <f>ROUND(IFERROR(VLOOKUP(A186,'NCLB Title III-A '!$A$13:$G$201,7,FALSE),0),0)</f>
        <v>0</v>
      </c>
      <c r="H186" s="162">
        <f>ROUND(IFERROR(VLOOKUP(A186,'NCLB Title III SAI'!$A$13:$G$189,7,FALSE),0),0)</f>
        <v>0</v>
      </c>
      <c r="I186" s="163">
        <f>ROUND(IFERROR(VLOOKUP(A186,'TITLE VI RURAL LI'!$A$13:$G$193,5,FALSE),0),0)</f>
        <v>0</v>
      </c>
    </row>
    <row r="187" spans="1:9" ht="18" x14ac:dyDescent="0.35">
      <c r="A187" s="166" t="s">
        <v>524</v>
      </c>
      <c r="B187" s="168" t="s">
        <v>408</v>
      </c>
      <c r="C187" s="162">
        <f>ROUND(IFERROR(VLOOKUP(A187,'NCLB Title I-A Formula'!$A$13:$G$201,7,FALSE),0),0)</f>
        <v>0</v>
      </c>
      <c r="D187" s="162">
        <f>ROUND(IFERROR(VLOOKUP(A187,'NCLB Title I-C Migrant'!$A$13:$G$201,5,FALSE),0),0)</f>
        <v>0</v>
      </c>
      <c r="E187" s="162">
        <f>ROUND(IFERROR(VLOOKUP(A187,'NCLB Title I-Delinquent'!$A$13:$G$201,5,FALSE),0),0)</f>
        <v>0</v>
      </c>
      <c r="F187" s="162">
        <f>ROUND(IFERROR(VLOOKUP(A187,'NCLB Title II-A Formula'!$A$13:$G$201,7,FALSE),0),0)</f>
        <v>0</v>
      </c>
      <c r="G187" s="162">
        <f>ROUND(IFERROR(VLOOKUP(A187,'NCLB Title III-A '!$A$13:$G$201,7,FALSE),0),0)</f>
        <v>1154</v>
      </c>
      <c r="H187" s="162">
        <f>ROUND(IFERROR(VLOOKUP(A187,'NCLB Title III SAI'!$A$13:$G$189,7,FALSE),0),0)</f>
        <v>0</v>
      </c>
      <c r="I187" s="163">
        <f>ROUND(IFERROR(VLOOKUP(A187,'TITLE VI RURAL LI'!$A$13:$G$193,5,FALSE),0),0)</f>
        <v>0</v>
      </c>
    </row>
    <row r="188" spans="1:9" ht="18" x14ac:dyDescent="0.35">
      <c r="A188" s="166" t="s">
        <v>525</v>
      </c>
      <c r="B188" s="168" t="s">
        <v>409</v>
      </c>
      <c r="C188" s="162">
        <f>ROUND(IFERROR(VLOOKUP(A188,'NCLB Title I-A Formula'!$A$13:$G$201,7,FALSE),0),0)</f>
        <v>0</v>
      </c>
      <c r="D188" s="162">
        <f>ROUND(IFERROR(VLOOKUP(A188,'NCLB Title I-C Migrant'!$A$13:$G$201,5,FALSE),0),0)</f>
        <v>54328</v>
      </c>
      <c r="E188" s="162">
        <f>ROUND(IFERROR(VLOOKUP(A188,'NCLB Title I-Delinquent'!$A$13:$G$201,5,FALSE),0),0)</f>
        <v>0</v>
      </c>
      <c r="F188" s="162">
        <f>ROUND(IFERROR(VLOOKUP(A188,'NCLB Title II-A Formula'!$A$13:$G$201,7,FALSE),0),0)</f>
        <v>0</v>
      </c>
      <c r="G188" s="162">
        <f>ROUND(IFERROR(VLOOKUP(A188,'NCLB Title III-A '!$A$13:$G$201,7,FALSE),0),0)</f>
        <v>5799</v>
      </c>
      <c r="H188" s="162">
        <f>ROUND(IFERROR(VLOOKUP(A188,'NCLB Title III SAI'!$A$13:$G$189,7,FALSE),0),0)</f>
        <v>0</v>
      </c>
      <c r="I188" s="163">
        <f>ROUND(IFERROR(VLOOKUP(A188,'TITLE VI RURAL LI'!$A$13:$G$193,5,FALSE),0),0)</f>
        <v>0</v>
      </c>
    </row>
    <row r="189" spans="1:9" ht="18" x14ac:dyDescent="0.35">
      <c r="A189" s="166" t="s">
        <v>523</v>
      </c>
      <c r="B189" s="168" t="s">
        <v>393</v>
      </c>
      <c r="C189" s="162">
        <f>ROUND(IFERROR(VLOOKUP(A189,'NCLB Title I-A Formula'!$A$13:$G$201,7,FALSE),0),0)</f>
        <v>0</v>
      </c>
      <c r="D189" s="162">
        <f>ROUND(IFERROR(VLOOKUP(A189,'NCLB Title I-C Migrant'!$A$13:$G$201,5,FALSE),0),0)</f>
        <v>0</v>
      </c>
      <c r="E189" s="162">
        <f>ROUND(IFERROR(VLOOKUP(A189,'NCLB Title I-Delinquent'!$A$13:$G$201,5,FALSE),0),0)</f>
        <v>0</v>
      </c>
      <c r="F189" s="162">
        <f>ROUND(IFERROR(VLOOKUP(A189,'NCLB Title II-A Formula'!$A$13:$G$201,7,FALSE),0),0)</f>
        <v>0</v>
      </c>
      <c r="G189" s="162">
        <f>ROUND(IFERROR(VLOOKUP(A189,'NCLB Title III-A '!$A$13:$G$201,7,FALSE),0),0)</f>
        <v>0</v>
      </c>
      <c r="H189" s="162">
        <f>ROUND(IFERROR(VLOOKUP(A189,'NCLB Title III SAI'!$A$13:$G$189,7,FALSE),0),0)</f>
        <v>0</v>
      </c>
      <c r="I189" s="163">
        <f>ROUND(IFERROR(VLOOKUP(A189,'TITLE VI RURAL LI'!$A$13:$G$193,5,FALSE),0),0)</f>
        <v>0</v>
      </c>
    </row>
    <row r="190" spans="1:9" ht="18" x14ac:dyDescent="0.35">
      <c r="A190" s="166" t="s">
        <v>526</v>
      </c>
      <c r="B190" s="168" t="s">
        <v>434</v>
      </c>
      <c r="C190" s="162">
        <f>ROUND(IFERROR(VLOOKUP(A190,'NCLB Title I-A Formula'!$A$13:$G$201,7,FALSE),0),0)</f>
        <v>0</v>
      </c>
      <c r="D190" s="162">
        <f>ROUND(IFERROR(VLOOKUP(A190,'NCLB Title I-C Migrant'!$A$13:$G$201,5,FALSE),0),0)</f>
        <v>0</v>
      </c>
      <c r="E190" s="162">
        <f>ROUND(IFERROR(VLOOKUP(A190,'NCLB Title I-Delinquent'!$A$13:$G$201,5,FALSE),0),0)</f>
        <v>0</v>
      </c>
      <c r="F190" s="162">
        <f>ROUND(IFERROR(VLOOKUP(A190,'NCLB Title II-A Formula'!$A$13:$G$201,7,FALSE),0),0)</f>
        <v>0</v>
      </c>
      <c r="G190" s="162">
        <f>ROUND(IFERROR(VLOOKUP(A190,'NCLB Title III-A '!$A$13:$G$201,7,FALSE),0),0)</f>
        <v>0</v>
      </c>
      <c r="H190" s="162">
        <f>ROUND(IFERROR(VLOOKUP(A190,'NCLB Title III SAI'!$A$13:$G$189,7,FALSE),0),0)</f>
        <v>0</v>
      </c>
      <c r="I190" s="163">
        <f>ROUND(IFERROR(VLOOKUP(A190,'TITLE VI RURAL LI'!$A$13:$G$193,5,FALSE),0),0)</f>
        <v>0</v>
      </c>
    </row>
    <row r="191" spans="1:9" ht="18" x14ac:dyDescent="0.35">
      <c r="A191" s="166" t="s">
        <v>377</v>
      </c>
      <c r="B191" s="167" t="s">
        <v>382</v>
      </c>
      <c r="C191" s="162">
        <f>ROUND(IFERROR(VLOOKUP(A191,'NCLB Title I-A Formula'!$A$13:$G$201,7,FALSE),0),0)</f>
        <v>0</v>
      </c>
      <c r="D191" s="162">
        <f>ROUND(IFERROR(VLOOKUP(A191,'NCLB Title I-C Migrant'!$A$13:$G$201,5,FALSE),0),0)</f>
        <v>0</v>
      </c>
      <c r="E191" s="162">
        <f>ROUND(IFERROR(VLOOKUP(A191,'NCLB Title I-Delinquent'!$A$13:$G$201,5,FALSE),0),0)</f>
        <v>0</v>
      </c>
      <c r="F191" s="162">
        <f>ROUND(IFERROR(VLOOKUP(A191,'NCLB Title II-A Formula'!$A$13:$G$201,7,FALSE),0),0)</f>
        <v>0</v>
      </c>
      <c r="G191" s="162">
        <f>'NCLB Title III-A '!G200</f>
        <v>0</v>
      </c>
      <c r="H191" s="162">
        <f>ROUND(IFERROR(VLOOKUP(A191,'NCLB Title III SAI'!$A$13:$G$189,7,FALSE),0),0)</f>
        <v>0</v>
      </c>
      <c r="I191" s="163">
        <f>ROUND(IFERROR(VLOOKUP(A191,'TITLE VI RURAL LI'!$A$13:$G$193,5,FALSE),0),0)</f>
        <v>0</v>
      </c>
    </row>
    <row r="192" spans="1:9" ht="18.600000000000001" thickBot="1" x14ac:dyDescent="0.4">
      <c r="A192" s="169" t="s">
        <v>378</v>
      </c>
      <c r="B192" s="170" t="s">
        <v>383</v>
      </c>
      <c r="C192" s="171">
        <f>ROUND(IFERROR(VLOOKUP(A192,'NCLB Title I-A Formula'!$A$13:$G$201,7,FALSE),0),0)</f>
        <v>0</v>
      </c>
      <c r="D192" s="171">
        <f>ROUND(IFERROR(VLOOKUP(A192,'NCLB Title I-C Migrant'!$A$13:$G$201,5,FALSE),0),0)</f>
        <v>0</v>
      </c>
      <c r="E192" s="171">
        <f>ROUND(IFERROR(VLOOKUP(A192,'NCLB Title I-Delinquent'!$A$13:$G$201,5,FALSE),0),0)</f>
        <v>0</v>
      </c>
      <c r="F192" s="171">
        <f>ROUND(IFERROR(VLOOKUP(A192,'NCLB Title II-A Formula'!$A$13:$G$201,7,FALSE),0),0)</f>
        <v>0</v>
      </c>
      <c r="G192" s="171">
        <f>'NCLB Title III-A '!G201</f>
        <v>0</v>
      </c>
      <c r="H192" s="171">
        <f>ROUND(IFERROR(VLOOKUP(A192,'NCLB Title III SAI'!$A$13:$G$189,7,FALSE),0),0)</f>
        <v>0</v>
      </c>
      <c r="I192" s="238">
        <f>ROUND(IFERROR(VLOOKUP(A192,'TITLE VI RURAL LI'!$A$13:$G$193,5,FALSE),0),0)</f>
        <v>0</v>
      </c>
    </row>
    <row r="193" spans="1:9" ht="18" x14ac:dyDescent="0.35">
      <c r="A193" s="172"/>
      <c r="B193" s="172"/>
      <c r="C193" s="173"/>
      <c r="D193" s="173"/>
      <c r="E193" s="173"/>
      <c r="F193" s="173"/>
      <c r="G193" s="173"/>
      <c r="H193" s="173"/>
      <c r="I193" s="173"/>
    </row>
    <row r="194" spans="1:9" ht="18" x14ac:dyDescent="0.35">
      <c r="A194" s="172"/>
      <c r="B194" s="172"/>
      <c r="C194" s="173">
        <f t="shared" ref="C194:I194" si="0">SUM(C4:C193)</f>
        <v>13039</v>
      </c>
      <c r="D194" s="173">
        <f t="shared" si="0"/>
        <v>380771</v>
      </c>
      <c r="E194" s="173">
        <f t="shared" si="0"/>
        <v>0</v>
      </c>
      <c r="F194" s="173">
        <f t="shared" si="0"/>
        <v>18621</v>
      </c>
      <c r="G194" s="173">
        <f t="shared" si="0"/>
        <v>6953</v>
      </c>
      <c r="H194" s="173">
        <f t="shared" si="0"/>
        <v>264396</v>
      </c>
      <c r="I194" s="173">
        <f t="shared" si="0"/>
        <v>28675</v>
      </c>
    </row>
    <row r="195" spans="1:9" x14ac:dyDescent="0.3">
      <c r="A195" s="174"/>
      <c r="B195" s="174"/>
      <c r="C195" s="175"/>
      <c r="D195" s="175"/>
      <c r="E195" s="175"/>
      <c r="F195" s="175"/>
      <c r="G195" s="175"/>
      <c r="H195" s="175"/>
      <c r="I195" s="175"/>
    </row>
    <row r="196" spans="1:9" x14ac:dyDescent="0.3">
      <c r="A196" s="174"/>
      <c r="B196" s="174"/>
      <c r="C196" s="175"/>
      <c r="D196" s="175"/>
      <c r="E196" s="175"/>
      <c r="F196" s="175"/>
      <c r="G196" s="175"/>
      <c r="H196" s="175"/>
      <c r="I196" s="175"/>
    </row>
    <row r="197" spans="1:9" x14ac:dyDescent="0.3">
      <c r="C197" s="159"/>
      <c r="D197" s="159"/>
      <c r="E197" s="159"/>
      <c r="F197" s="159"/>
      <c r="G197" s="159"/>
      <c r="H197" s="159"/>
      <c r="I197" s="159"/>
    </row>
    <row r="198" spans="1:9" x14ac:dyDescent="0.3">
      <c r="C198" s="159"/>
      <c r="D198" s="159"/>
      <c r="E198" s="159"/>
      <c r="F198" s="159"/>
      <c r="G198" s="159"/>
      <c r="H198" s="159"/>
      <c r="I198" s="159"/>
    </row>
    <row r="199" spans="1:9" x14ac:dyDescent="0.3">
      <c r="C199" s="159"/>
      <c r="D199" s="159"/>
      <c r="E199" s="159"/>
      <c r="F199" s="159"/>
      <c r="G199" s="159"/>
      <c r="H199" s="159"/>
      <c r="I199" s="159"/>
    </row>
    <row r="200" spans="1:9" x14ac:dyDescent="0.3">
      <c r="C200" s="159"/>
      <c r="D200" s="159"/>
      <c r="E200" s="159"/>
      <c r="F200" s="159"/>
      <c r="G200" s="159"/>
      <c r="H200" s="159"/>
      <c r="I200" s="159"/>
    </row>
    <row r="201" spans="1:9" x14ac:dyDescent="0.3">
      <c r="C201" s="159"/>
      <c r="D201" s="159"/>
      <c r="E201" s="159"/>
      <c r="F201" s="159"/>
      <c r="G201" s="159"/>
      <c r="H201" s="159"/>
      <c r="I201" s="159"/>
    </row>
    <row r="202" spans="1:9" x14ac:dyDescent="0.3">
      <c r="C202" s="159"/>
      <c r="D202" s="159"/>
      <c r="E202" s="159"/>
      <c r="F202" s="159"/>
      <c r="G202" s="159"/>
      <c r="H202" s="159"/>
      <c r="I202" s="159"/>
    </row>
    <row r="203" spans="1:9" x14ac:dyDescent="0.3">
      <c r="C203" s="159"/>
      <c r="D203" s="159"/>
      <c r="E203" s="159"/>
      <c r="F203" s="159"/>
      <c r="G203" s="159"/>
      <c r="H203" s="159"/>
      <c r="I203" s="159"/>
    </row>
    <row r="204" spans="1:9" x14ac:dyDescent="0.3">
      <c r="C204" s="159"/>
      <c r="D204" s="159"/>
      <c r="E204" s="159"/>
      <c r="F204" s="159"/>
      <c r="G204" s="159"/>
      <c r="H204" s="159"/>
      <c r="I204" s="159"/>
    </row>
    <row r="205" spans="1:9" x14ac:dyDescent="0.3">
      <c r="C205" s="159"/>
      <c r="D205" s="159"/>
      <c r="E205" s="159"/>
      <c r="F205" s="159"/>
      <c r="G205" s="159"/>
      <c r="H205" s="159"/>
      <c r="I205" s="159"/>
    </row>
    <row r="206" spans="1:9" x14ac:dyDescent="0.3">
      <c r="C206" s="159"/>
      <c r="D206" s="159"/>
      <c r="E206" s="159"/>
      <c r="F206" s="159"/>
      <c r="G206" s="159"/>
      <c r="H206" s="159"/>
      <c r="I206" s="159"/>
    </row>
    <row r="207" spans="1:9" x14ac:dyDescent="0.3">
      <c r="C207" s="159"/>
      <c r="D207" s="159"/>
      <c r="E207" s="159"/>
      <c r="F207" s="159"/>
      <c r="G207" s="159"/>
      <c r="H207" s="159"/>
      <c r="I207" s="159"/>
    </row>
    <row r="208" spans="1:9" x14ac:dyDescent="0.3">
      <c r="C208" s="159"/>
      <c r="D208" s="159"/>
      <c r="E208" s="159"/>
      <c r="F208" s="159"/>
      <c r="G208" s="159"/>
      <c r="H208" s="159"/>
      <c r="I208" s="159"/>
    </row>
    <row r="209" spans="3:9" x14ac:dyDescent="0.3">
      <c r="C209" s="159"/>
      <c r="D209" s="159"/>
      <c r="E209" s="159"/>
      <c r="F209" s="159"/>
      <c r="G209" s="159"/>
      <c r="H209" s="159"/>
      <c r="I209" s="159"/>
    </row>
    <row r="210" spans="3:9" x14ac:dyDescent="0.3">
      <c r="C210" s="159"/>
      <c r="D210" s="159"/>
      <c r="E210" s="159"/>
      <c r="F210" s="159"/>
      <c r="G210" s="159"/>
      <c r="H210" s="159"/>
      <c r="I210" s="159"/>
    </row>
    <row r="211" spans="3:9" x14ac:dyDescent="0.3">
      <c r="C211" s="159"/>
      <c r="D211" s="159"/>
      <c r="E211" s="159"/>
      <c r="F211" s="159"/>
      <c r="G211" s="159"/>
      <c r="H211" s="159"/>
      <c r="I211" s="159"/>
    </row>
    <row r="212" spans="3:9" x14ac:dyDescent="0.3">
      <c r="C212" s="159"/>
      <c r="D212" s="159"/>
      <c r="E212" s="159"/>
      <c r="F212" s="159"/>
      <c r="G212" s="159"/>
      <c r="H212" s="159"/>
      <c r="I212" s="159"/>
    </row>
    <row r="213" spans="3:9" x14ac:dyDescent="0.3">
      <c r="C213" s="159"/>
      <c r="D213" s="159"/>
      <c r="E213" s="159"/>
      <c r="F213" s="159"/>
      <c r="G213" s="159"/>
      <c r="H213" s="159"/>
      <c r="I213" s="159"/>
    </row>
    <row r="214" spans="3:9" x14ac:dyDescent="0.3">
      <c r="C214" s="159"/>
      <c r="D214" s="159"/>
      <c r="E214" s="159"/>
      <c r="F214" s="159"/>
      <c r="G214" s="159"/>
      <c r="H214" s="159"/>
      <c r="I214" s="159"/>
    </row>
    <row r="215" spans="3:9" x14ac:dyDescent="0.3">
      <c r="C215" s="159"/>
      <c r="D215" s="159"/>
      <c r="E215" s="159"/>
      <c r="F215" s="159"/>
      <c r="G215" s="159"/>
      <c r="H215" s="159"/>
      <c r="I215" s="159"/>
    </row>
    <row r="216" spans="3:9" x14ac:dyDescent="0.3">
      <c r="C216" s="159"/>
      <c r="D216" s="159"/>
      <c r="E216" s="159"/>
      <c r="F216" s="159"/>
      <c r="G216" s="159"/>
      <c r="H216" s="159"/>
      <c r="I216" s="159"/>
    </row>
    <row r="217" spans="3:9" x14ac:dyDescent="0.3">
      <c r="C217" s="159"/>
      <c r="D217" s="159"/>
      <c r="E217" s="159"/>
      <c r="F217" s="159"/>
      <c r="G217" s="159"/>
      <c r="H217" s="159"/>
      <c r="I217" s="159"/>
    </row>
    <row r="218" spans="3:9" x14ac:dyDescent="0.3">
      <c r="C218" s="159"/>
      <c r="D218" s="159"/>
      <c r="E218" s="159"/>
      <c r="F218" s="159"/>
      <c r="G218" s="159"/>
      <c r="H218" s="159"/>
      <c r="I218" s="159"/>
    </row>
    <row r="219" spans="3:9" x14ac:dyDescent="0.3">
      <c r="C219" s="159"/>
      <c r="D219" s="159"/>
      <c r="E219" s="159"/>
      <c r="F219" s="159"/>
      <c r="G219" s="159"/>
      <c r="H219" s="159"/>
      <c r="I219" s="159"/>
    </row>
    <row r="220" spans="3:9" x14ac:dyDescent="0.3">
      <c r="C220" s="159"/>
      <c r="D220" s="159"/>
      <c r="E220" s="159"/>
      <c r="F220" s="159"/>
      <c r="G220" s="159"/>
      <c r="H220" s="159"/>
      <c r="I220" s="159"/>
    </row>
    <row r="221" spans="3:9" x14ac:dyDescent="0.3">
      <c r="C221" s="159"/>
      <c r="D221" s="159"/>
      <c r="E221" s="159"/>
      <c r="F221" s="159"/>
      <c r="G221" s="159"/>
      <c r="H221" s="159"/>
      <c r="I221" s="159"/>
    </row>
    <row r="222" spans="3:9" x14ac:dyDescent="0.3">
      <c r="C222" s="159"/>
      <c r="D222" s="159"/>
      <c r="E222" s="159"/>
      <c r="F222" s="159"/>
      <c r="G222" s="159"/>
      <c r="H222" s="159"/>
      <c r="I222" s="159"/>
    </row>
    <row r="223" spans="3:9" x14ac:dyDescent="0.3">
      <c r="C223" s="159"/>
      <c r="D223" s="159"/>
      <c r="E223" s="159"/>
      <c r="F223" s="159"/>
      <c r="G223" s="159"/>
      <c r="H223" s="159"/>
      <c r="I223" s="159"/>
    </row>
    <row r="224" spans="3:9" x14ac:dyDescent="0.3">
      <c r="C224" s="159"/>
      <c r="D224" s="159"/>
      <c r="E224" s="159"/>
      <c r="F224" s="159"/>
      <c r="G224" s="159"/>
      <c r="H224" s="159"/>
      <c r="I224" s="159"/>
    </row>
    <row r="225" spans="3:9" x14ac:dyDescent="0.3">
      <c r="C225" s="159"/>
      <c r="D225" s="159"/>
      <c r="E225" s="159"/>
      <c r="F225" s="159"/>
      <c r="G225" s="159"/>
      <c r="H225" s="159"/>
      <c r="I225" s="159"/>
    </row>
  </sheetData>
  <sheetProtection password="EF32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9CCFF"/>
  </sheetPr>
  <dimension ref="A1:AM229"/>
  <sheetViews>
    <sheetView zoomScaleNormal="100" workbookViewId="0">
      <pane xSplit="7" ySplit="12" topLeftCell="H13" activePane="bottomRight" state="frozen"/>
      <selection activeCell="E155" sqref="E155"/>
      <selection pane="topRight" activeCell="E155" sqref="E155"/>
      <selection pane="bottomLeft" activeCell="E155" sqref="E155"/>
      <selection pane="bottomRight" activeCell="H13" sqref="H13"/>
    </sheetView>
  </sheetViews>
  <sheetFormatPr defaultColWidth="9.109375" defaultRowHeight="14.4" x14ac:dyDescent="0.3"/>
  <cols>
    <col min="1" max="1" width="9.109375" style="13"/>
    <col min="2" max="2" width="25.88671875" style="13" customWidth="1"/>
    <col min="3" max="3" width="18.5546875" style="13" customWidth="1"/>
    <col min="4" max="4" width="18.33203125" style="13" customWidth="1"/>
    <col min="5" max="5" width="12.44140625" style="13" customWidth="1"/>
    <col min="6" max="6" width="15.6640625" style="13" customWidth="1"/>
    <col min="7" max="7" width="17.5546875" style="13" bestFit="1" customWidth="1"/>
    <col min="8" max="36" width="15.6640625" style="13" customWidth="1"/>
    <col min="37" max="16384" width="9.109375" style="13"/>
  </cols>
  <sheetData>
    <row r="1" spans="1:39" s="176" customFormat="1" ht="21" x14ac:dyDescent="0.4">
      <c r="A1" s="177" t="s">
        <v>0</v>
      </c>
      <c r="B1" s="178"/>
      <c r="C1" s="179" t="s">
        <v>7</v>
      </c>
      <c r="D1" s="179"/>
      <c r="E1" s="179"/>
      <c r="F1" s="177"/>
      <c r="G1" s="177"/>
      <c r="H1" s="180"/>
      <c r="I1" s="180"/>
      <c r="J1" s="179" t="str">
        <f>C1</f>
        <v>Title I-A Formula</v>
      </c>
      <c r="K1" s="177"/>
      <c r="L1" s="177"/>
      <c r="M1" s="177"/>
      <c r="N1" s="177"/>
      <c r="O1" s="179" t="str">
        <f>C1</f>
        <v>Title I-A Formula</v>
      </c>
      <c r="P1" s="180"/>
      <c r="Q1" s="180"/>
      <c r="R1" s="179"/>
      <c r="S1" s="179"/>
      <c r="T1" s="179" t="str">
        <f>C1</f>
        <v>Title I-A Formula</v>
      </c>
      <c r="U1" s="177"/>
      <c r="V1" s="177"/>
      <c r="W1" s="177"/>
      <c r="X1" s="180"/>
      <c r="Y1" s="179" t="str">
        <f>C1</f>
        <v>Title I-A Formula</v>
      </c>
      <c r="Z1" s="179"/>
      <c r="AA1" s="179"/>
      <c r="AB1" s="177"/>
      <c r="AC1" s="177"/>
      <c r="AD1" s="177"/>
      <c r="AE1" s="179" t="str">
        <f>C1</f>
        <v>Title I-A Formula</v>
      </c>
      <c r="AF1" s="180"/>
      <c r="AG1" s="180"/>
      <c r="AH1" s="179"/>
      <c r="AI1" s="179"/>
      <c r="AJ1" s="179"/>
    </row>
    <row r="2" spans="1:39" s="176" customFormat="1" ht="15.6" x14ac:dyDescent="0.3">
      <c r="A2" s="181" t="s">
        <v>1</v>
      </c>
      <c r="B2" s="178"/>
      <c r="C2" s="182" t="s">
        <v>367</v>
      </c>
      <c r="D2" s="182"/>
      <c r="E2" s="182"/>
      <c r="F2" s="181"/>
      <c r="G2" s="181"/>
      <c r="H2" s="180"/>
      <c r="I2" s="180"/>
      <c r="J2" s="181" t="str">
        <f>"FY"&amp;C4</f>
        <v>FY2014-15</v>
      </c>
      <c r="K2" s="181"/>
      <c r="L2" s="183"/>
      <c r="M2" s="183"/>
      <c r="N2" s="181"/>
      <c r="O2" s="181" t="str">
        <f>"FY"&amp;C4</f>
        <v>FY2014-15</v>
      </c>
      <c r="P2" s="181"/>
      <c r="Q2" s="181"/>
      <c r="R2" s="181"/>
      <c r="S2" s="181"/>
      <c r="T2" s="181" t="str">
        <f>"FY"&amp;C4</f>
        <v>FY2014-15</v>
      </c>
      <c r="U2" s="183"/>
      <c r="V2" s="181"/>
      <c r="W2" s="181"/>
      <c r="X2" s="181"/>
      <c r="Y2" s="181" t="str">
        <f>"FY"&amp;C4</f>
        <v>FY2014-15</v>
      </c>
      <c r="Z2" s="181"/>
      <c r="AA2" s="181"/>
      <c r="AB2" s="183"/>
      <c r="AC2" s="183"/>
      <c r="AD2" s="181"/>
      <c r="AE2" s="181" t="str">
        <f>"FY"&amp;C4</f>
        <v>FY2014-15</v>
      </c>
      <c r="AF2" s="181"/>
      <c r="AG2" s="181"/>
      <c r="AH2" s="181"/>
      <c r="AI2" s="181"/>
      <c r="AJ2" s="181"/>
    </row>
    <row r="3" spans="1:39" s="176" customFormat="1" ht="15.6" x14ac:dyDescent="0.3">
      <c r="A3" s="181" t="s">
        <v>4</v>
      </c>
      <c r="B3" s="178"/>
      <c r="C3" s="183">
        <v>4010</v>
      </c>
      <c r="D3" s="183"/>
      <c r="E3" s="183"/>
      <c r="F3" s="181"/>
      <c r="G3" s="181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</row>
    <row r="4" spans="1:39" s="176" customFormat="1" ht="21" x14ac:dyDescent="0.4">
      <c r="A4" s="181" t="s">
        <v>2</v>
      </c>
      <c r="B4" s="178"/>
      <c r="C4" s="179" t="s">
        <v>461</v>
      </c>
      <c r="D4" s="183"/>
      <c r="E4" s="183"/>
      <c r="F4" s="181"/>
      <c r="G4" s="18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</row>
    <row r="5" spans="1:39" s="176" customFormat="1" ht="15.6" x14ac:dyDescent="0.3">
      <c r="A5" s="181" t="s">
        <v>435</v>
      </c>
      <c r="B5" s="178"/>
      <c r="C5" s="181" t="s">
        <v>536</v>
      </c>
      <c r="D5" s="181"/>
      <c r="E5" s="181"/>
      <c r="F5" s="181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</row>
    <row r="6" spans="1:39" s="176" customFormat="1" ht="15.6" x14ac:dyDescent="0.3">
      <c r="A6" s="181" t="s">
        <v>5</v>
      </c>
      <c r="B6" s="178"/>
      <c r="C6" s="181" t="s">
        <v>368</v>
      </c>
      <c r="D6" s="181"/>
      <c r="E6" s="181"/>
      <c r="F6" s="181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</row>
    <row r="7" spans="1:39" s="176" customFormat="1" ht="15.6" x14ac:dyDescent="0.3">
      <c r="A7" s="181"/>
      <c r="B7" s="178"/>
      <c r="C7" s="181" t="s">
        <v>458</v>
      </c>
      <c r="D7" s="181"/>
      <c r="E7" s="181"/>
      <c r="F7" s="181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</row>
    <row r="8" spans="1:39" s="176" customFormat="1" ht="15.6" x14ac:dyDescent="0.3">
      <c r="A8" s="181"/>
      <c r="B8" s="178"/>
      <c r="C8" s="181"/>
      <c r="D8" s="181"/>
      <c r="E8" s="181"/>
      <c r="F8" s="181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1:39" s="176" customFormat="1" ht="15.6" x14ac:dyDescent="0.3">
      <c r="A9" s="181" t="s">
        <v>384</v>
      </c>
      <c r="B9" s="178"/>
      <c r="C9" s="181" t="s">
        <v>462</v>
      </c>
      <c r="D9" s="181"/>
      <c r="E9" s="181"/>
      <c r="F9" s="181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</row>
    <row r="10" spans="1:39" s="176" customFormat="1" ht="15.6" x14ac:dyDescent="0.3">
      <c r="A10" s="181" t="s">
        <v>385</v>
      </c>
      <c r="B10" s="178"/>
      <c r="C10" s="181" t="s">
        <v>386</v>
      </c>
      <c r="D10" s="181"/>
      <c r="E10" s="181"/>
      <c r="F10" s="181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</row>
    <row r="11" spans="1:39" s="176" customFormat="1" ht="16.2" thickBot="1" x14ac:dyDescent="0.35">
      <c r="A11" s="181" t="s">
        <v>436</v>
      </c>
      <c r="B11" s="178"/>
      <c r="C11" s="181" t="s">
        <v>463</v>
      </c>
      <c r="D11" s="181"/>
      <c r="E11" s="181"/>
      <c r="F11" s="181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</row>
    <row r="12" spans="1:39" s="79" customFormat="1" ht="48.75" customHeight="1" thickBot="1" x14ac:dyDescent="0.35">
      <c r="A12" s="107" t="s">
        <v>369</v>
      </c>
      <c r="B12" s="108" t="s">
        <v>370</v>
      </c>
      <c r="C12" s="208" t="s">
        <v>371</v>
      </c>
      <c r="D12" s="116" t="s">
        <v>390</v>
      </c>
      <c r="E12" s="110" t="s">
        <v>432</v>
      </c>
      <c r="F12" s="116" t="s">
        <v>372</v>
      </c>
      <c r="G12" s="148" t="s">
        <v>373</v>
      </c>
      <c r="H12" s="111" t="s">
        <v>442</v>
      </c>
      <c r="I12" s="111" t="s">
        <v>443</v>
      </c>
      <c r="J12" s="111" t="s">
        <v>444</v>
      </c>
      <c r="K12" s="111" t="s">
        <v>446</v>
      </c>
      <c r="L12" s="111" t="s">
        <v>447</v>
      </c>
      <c r="M12" s="111" t="s">
        <v>448</v>
      </c>
      <c r="N12" s="111" t="s">
        <v>449</v>
      </c>
      <c r="O12" s="111" t="s">
        <v>450</v>
      </c>
      <c r="P12" s="111" t="s">
        <v>451</v>
      </c>
      <c r="Q12" s="111" t="s">
        <v>452</v>
      </c>
      <c r="R12" s="111" t="s">
        <v>453</v>
      </c>
      <c r="S12" s="111" t="s">
        <v>454</v>
      </c>
      <c r="T12" s="111" t="s">
        <v>455</v>
      </c>
      <c r="U12" s="111" t="s">
        <v>456</v>
      </c>
      <c r="V12" s="111" t="s">
        <v>457</v>
      </c>
      <c r="W12" s="111" t="s">
        <v>464</v>
      </c>
      <c r="X12" s="111" t="s">
        <v>465</v>
      </c>
      <c r="Y12" s="111" t="s">
        <v>466</v>
      </c>
      <c r="Z12" s="111" t="s">
        <v>527</v>
      </c>
      <c r="AA12" s="111" t="s">
        <v>528</v>
      </c>
      <c r="AB12" s="111" t="s">
        <v>529</v>
      </c>
      <c r="AC12" s="111" t="s">
        <v>530</v>
      </c>
      <c r="AD12" s="111" t="s">
        <v>531</v>
      </c>
      <c r="AE12" s="111" t="s">
        <v>532</v>
      </c>
      <c r="AF12" s="111" t="s">
        <v>533</v>
      </c>
      <c r="AG12" s="111" t="s">
        <v>534</v>
      </c>
      <c r="AH12" s="111" t="s">
        <v>535</v>
      </c>
      <c r="AI12" s="111" t="s">
        <v>543</v>
      </c>
      <c r="AJ12" s="111" t="s">
        <v>544</v>
      </c>
    </row>
    <row r="13" spans="1:39" s="7" customFormat="1" ht="18.600000000000001" thickBot="1" x14ac:dyDescent="0.4">
      <c r="A13" s="226" t="s">
        <v>8</v>
      </c>
      <c r="B13" s="113" t="s">
        <v>186</v>
      </c>
      <c r="C13" s="243">
        <v>1213143.0666424895</v>
      </c>
      <c r="D13" s="244"/>
      <c r="E13" s="243"/>
      <c r="F13" s="243">
        <f>SUM(H13:AJ13)</f>
        <v>1213143</v>
      </c>
      <c r="G13" s="243">
        <f t="shared" ref="G13:G15" si="0">ROUND(IF(ISBLANK(E13),C13-F13,C13-E13),0)</f>
        <v>0</v>
      </c>
      <c r="H13" s="245"/>
      <c r="I13" s="245"/>
      <c r="J13" s="245"/>
      <c r="K13" s="245"/>
      <c r="L13" s="245"/>
      <c r="M13" s="245">
        <f>106681+116263</f>
        <v>222944</v>
      </c>
      <c r="N13" s="245">
        <v>91588</v>
      </c>
      <c r="O13" s="245"/>
      <c r="P13" s="245">
        <f>79442+86388</f>
        <v>165830</v>
      </c>
      <c r="Q13" s="245">
        <v>83097</v>
      </c>
      <c r="R13" s="245">
        <v>84073</v>
      </c>
      <c r="S13" s="245"/>
      <c r="T13" s="245">
        <v>92731</v>
      </c>
      <c r="U13" s="245"/>
      <c r="V13" s="245">
        <v>372983</v>
      </c>
      <c r="W13" s="245"/>
      <c r="X13" s="245">
        <v>89283</v>
      </c>
      <c r="Y13" s="245">
        <v>10614</v>
      </c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75"/>
      <c r="AL13" s="75"/>
      <c r="AM13" s="75"/>
    </row>
    <row r="14" spans="1:39" s="7" customFormat="1" ht="18.600000000000001" thickBot="1" x14ac:dyDescent="0.4">
      <c r="A14" s="227" t="s">
        <v>9</v>
      </c>
      <c r="B14" s="51" t="s">
        <v>187</v>
      </c>
      <c r="C14" s="243">
        <v>4723447.4204860926</v>
      </c>
      <c r="D14" s="246"/>
      <c r="E14" s="243"/>
      <c r="F14" s="243">
        <f t="shared" ref="F14:F77" si="1">SUM(H14:AJ14)</f>
        <v>4723447</v>
      </c>
      <c r="G14" s="243">
        <f t="shared" si="0"/>
        <v>0</v>
      </c>
      <c r="H14" s="245"/>
      <c r="I14" s="245"/>
      <c r="J14" s="245"/>
      <c r="K14" s="245"/>
      <c r="L14" s="245"/>
      <c r="M14" s="245"/>
      <c r="N14" s="245">
        <v>615088</v>
      </c>
      <c r="O14" s="245">
        <v>485017</v>
      </c>
      <c r="P14" s="245"/>
      <c r="Q14" s="245">
        <v>867071</v>
      </c>
      <c r="R14" s="245"/>
      <c r="S14" s="245">
        <v>920666</v>
      </c>
      <c r="T14" s="245"/>
      <c r="U14" s="245"/>
      <c r="V14" s="245"/>
      <c r="W14" s="245">
        <v>1381510</v>
      </c>
      <c r="X14" s="245">
        <v>120242</v>
      </c>
      <c r="Y14" s="245">
        <v>333853</v>
      </c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75"/>
      <c r="AL14" s="75"/>
      <c r="AM14" s="75"/>
    </row>
    <row r="15" spans="1:39" s="7" customFormat="1" ht="18.600000000000001" thickBot="1" x14ac:dyDescent="0.4">
      <c r="A15" s="227" t="s">
        <v>10</v>
      </c>
      <c r="B15" s="51" t="s">
        <v>188</v>
      </c>
      <c r="C15" s="243">
        <v>2455579.4373565707</v>
      </c>
      <c r="D15" s="246"/>
      <c r="E15" s="243"/>
      <c r="F15" s="243">
        <f t="shared" si="1"/>
        <v>2455579</v>
      </c>
      <c r="G15" s="243">
        <f t="shared" si="0"/>
        <v>0</v>
      </c>
      <c r="H15" s="245"/>
      <c r="I15" s="245"/>
      <c r="J15" s="245"/>
      <c r="K15" s="245"/>
      <c r="L15" s="245">
        <v>143712</v>
      </c>
      <c r="M15" s="245">
        <v>201920</v>
      </c>
      <c r="N15" s="245">
        <v>178312</v>
      </c>
      <c r="O15" s="245">
        <v>147018</v>
      </c>
      <c r="P15" s="245">
        <v>187670</v>
      </c>
      <c r="Q15" s="245">
        <v>174984</v>
      </c>
      <c r="R15" s="245">
        <v>193867</v>
      </c>
      <c r="S15" s="245">
        <v>198115</v>
      </c>
      <c r="T15" s="245">
        <v>231934</v>
      </c>
      <c r="U15" s="245">
        <v>260319</v>
      </c>
      <c r="V15" s="245"/>
      <c r="W15" s="245"/>
      <c r="X15" s="245"/>
      <c r="Y15" s="245">
        <f>22424+506278+9026</f>
        <v>537728</v>
      </c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75"/>
      <c r="AL15" s="75"/>
      <c r="AM15" s="75"/>
    </row>
    <row r="16" spans="1:39" s="7" customFormat="1" ht="18.600000000000001" thickBot="1" x14ac:dyDescent="0.4">
      <c r="A16" s="227" t="s">
        <v>11</v>
      </c>
      <c r="B16" s="205" t="s">
        <v>460</v>
      </c>
      <c r="C16" s="243">
        <v>1466538.6715056235</v>
      </c>
      <c r="D16" s="246"/>
      <c r="E16" s="243"/>
      <c r="F16" s="243">
        <f t="shared" si="1"/>
        <v>1466539</v>
      </c>
      <c r="G16" s="243">
        <f>ROUND(IF(ISBLANK(E16),C16-F16,C16-E16),0)</f>
        <v>0</v>
      </c>
      <c r="H16" s="245"/>
      <c r="I16" s="245"/>
      <c r="J16" s="245"/>
      <c r="K16" s="245"/>
      <c r="L16" s="245"/>
      <c r="M16" s="245"/>
      <c r="N16" s="245">
        <v>329751</v>
      </c>
      <c r="O16" s="245">
        <v>169716</v>
      </c>
      <c r="P16" s="245"/>
      <c r="Q16" s="245">
        <v>120295</v>
      </c>
      <c r="R16" s="245">
        <v>133738</v>
      </c>
      <c r="S16" s="245"/>
      <c r="T16" s="245">
        <v>178806</v>
      </c>
      <c r="U16" s="245"/>
      <c r="V16" s="245">
        <v>351721</v>
      </c>
      <c r="W16" s="245"/>
      <c r="X16" s="245"/>
      <c r="Y16" s="245"/>
      <c r="Z16" s="245">
        <v>182512</v>
      </c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75"/>
      <c r="AL16" s="75"/>
      <c r="AM16" s="75"/>
    </row>
    <row r="17" spans="1:39" s="7" customFormat="1" ht="18.600000000000001" thickBot="1" x14ac:dyDescent="0.4">
      <c r="A17" s="227" t="s">
        <v>12</v>
      </c>
      <c r="B17" s="51" t="s">
        <v>190</v>
      </c>
      <c r="C17" s="243">
        <v>119794</v>
      </c>
      <c r="D17" s="286">
        <v>9025</v>
      </c>
      <c r="E17" s="243">
        <f>IF(ISBLANK(D17),,C17)</f>
        <v>119794</v>
      </c>
      <c r="F17" s="243">
        <f t="shared" si="1"/>
        <v>0</v>
      </c>
      <c r="G17" s="243">
        <f t="shared" ref="G17:G43" si="2">ROUND(IF(ISBLANK(E17),C17-F17,C17-E17),0)</f>
        <v>0</v>
      </c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75"/>
      <c r="AL17" s="75"/>
      <c r="AM17" s="75"/>
    </row>
    <row r="18" spans="1:39" s="7" customFormat="1" ht="18.600000000000001" thickBot="1" x14ac:dyDescent="0.4">
      <c r="A18" s="227" t="s">
        <v>13</v>
      </c>
      <c r="B18" s="51" t="s">
        <v>191</v>
      </c>
      <c r="C18" s="243">
        <v>71401</v>
      </c>
      <c r="D18" s="286">
        <v>9025</v>
      </c>
      <c r="E18" s="243">
        <f>IF(ISBLANK(D18),,C18)</f>
        <v>71401</v>
      </c>
      <c r="F18" s="243">
        <f t="shared" si="1"/>
        <v>0</v>
      </c>
      <c r="G18" s="243">
        <f t="shared" si="2"/>
        <v>0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75"/>
      <c r="AL18" s="75"/>
      <c r="AM18" s="75"/>
    </row>
    <row r="19" spans="1:39" s="7" customFormat="1" ht="18.600000000000001" thickBot="1" x14ac:dyDescent="0.4">
      <c r="A19" s="227" t="s">
        <v>14</v>
      </c>
      <c r="B19" s="51" t="s">
        <v>192</v>
      </c>
      <c r="C19" s="243">
        <v>3383203.0308556468</v>
      </c>
      <c r="D19" s="246"/>
      <c r="E19" s="243"/>
      <c r="F19" s="243">
        <f t="shared" si="1"/>
        <v>3383203</v>
      </c>
      <c r="G19" s="243">
        <f t="shared" si="2"/>
        <v>0</v>
      </c>
      <c r="H19" s="245"/>
      <c r="I19" s="245"/>
      <c r="J19" s="245"/>
      <c r="K19" s="245"/>
      <c r="L19" s="245">
        <v>250033</v>
      </c>
      <c r="M19" s="245">
        <v>250101</v>
      </c>
      <c r="N19" s="245">
        <v>238800</v>
      </c>
      <c r="O19" s="245">
        <v>356007</v>
      </c>
      <c r="P19" s="245">
        <v>245783</v>
      </c>
      <c r="Q19" s="245">
        <v>271239</v>
      </c>
      <c r="R19" s="245">
        <v>446520</v>
      </c>
      <c r="S19" s="245">
        <v>275484</v>
      </c>
      <c r="T19" s="245">
        <v>256140</v>
      </c>
      <c r="U19" s="245">
        <v>184726</v>
      </c>
      <c r="V19" s="245">
        <v>202624</v>
      </c>
      <c r="W19" s="245">
        <v>210948</v>
      </c>
      <c r="X19" s="245">
        <v>194798</v>
      </c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75"/>
      <c r="AL19" s="75"/>
      <c r="AM19" s="75"/>
    </row>
    <row r="20" spans="1:39" s="7" customFormat="1" ht="18.600000000000001" thickBot="1" x14ac:dyDescent="0.4">
      <c r="A20" s="227" t="s">
        <v>15</v>
      </c>
      <c r="B20" s="51" t="s">
        <v>193</v>
      </c>
      <c r="C20" s="243">
        <v>751920.25000831019</v>
      </c>
      <c r="D20" s="246"/>
      <c r="E20" s="243"/>
      <c r="F20" s="243">
        <f t="shared" si="1"/>
        <v>751920</v>
      </c>
      <c r="G20" s="243">
        <f t="shared" si="2"/>
        <v>0</v>
      </c>
      <c r="H20" s="245"/>
      <c r="I20" s="245"/>
      <c r="J20" s="245"/>
      <c r="K20" s="245">
        <v>49240</v>
      </c>
      <c r="L20" s="245">
        <v>68665</v>
      </c>
      <c r="M20" s="245">
        <v>61393</v>
      </c>
      <c r="N20" s="245">
        <v>55072</v>
      </c>
      <c r="O20" s="245">
        <v>52172</v>
      </c>
      <c r="P20" s="245">
        <v>46280</v>
      </c>
      <c r="Q20" s="245">
        <v>64150</v>
      </c>
      <c r="R20" s="245">
        <v>50523</v>
      </c>
      <c r="S20" s="245">
        <v>53532</v>
      </c>
      <c r="T20" s="245">
        <v>123928</v>
      </c>
      <c r="U20" s="245">
        <v>69152</v>
      </c>
      <c r="V20" s="245">
        <v>47235</v>
      </c>
      <c r="W20" s="245">
        <v>10578</v>
      </c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75"/>
      <c r="AL20" s="75"/>
      <c r="AM20" s="75"/>
    </row>
    <row r="21" spans="1:39" s="7" customFormat="1" ht="18.600000000000001" thickBot="1" x14ac:dyDescent="0.4">
      <c r="A21" s="227" t="s">
        <v>16</v>
      </c>
      <c r="B21" s="51" t="s">
        <v>194</v>
      </c>
      <c r="C21" s="243">
        <v>110340.21680173629</v>
      </c>
      <c r="D21" s="246"/>
      <c r="E21" s="243"/>
      <c r="F21" s="243">
        <f t="shared" si="1"/>
        <v>110340</v>
      </c>
      <c r="G21" s="243">
        <f t="shared" si="2"/>
        <v>0</v>
      </c>
      <c r="H21" s="245"/>
      <c r="I21" s="245"/>
      <c r="J21" s="245"/>
      <c r="K21" s="245"/>
      <c r="L21" s="245"/>
      <c r="M21" s="245"/>
      <c r="N21" s="245"/>
      <c r="O21" s="245"/>
      <c r="P21" s="245">
        <v>89003</v>
      </c>
      <c r="Q21" s="245"/>
      <c r="R21" s="245"/>
      <c r="S21" s="245">
        <v>21311</v>
      </c>
      <c r="T21" s="245"/>
      <c r="U21" s="245"/>
      <c r="V21" s="245"/>
      <c r="W21" s="245"/>
      <c r="X21" s="245"/>
      <c r="Y21" s="245"/>
      <c r="Z21" s="245"/>
      <c r="AA21" s="245">
        <v>26</v>
      </c>
      <c r="AB21" s="245"/>
      <c r="AC21" s="245"/>
      <c r="AD21" s="245"/>
      <c r="AE21" s="245"/>
      <c r="AF21" s="245"/>
      <c r="AG21" s="245"/>
      <c r="AH21" s="245"/>
      <c r="AI21" s="245"/>
      <c r="AJ21" s="245"/>
      <c r="AK21" s="75"/>
      <c r="AL21" s="75"/>
      <c r="AM21" s="75"/>
    </row>
    <row r="22" spans="1:39" s="7" customFormat="1" ht="18.600000000000001" thickBot="1" x14ac:dyDescent="0.4">
      <c r="A22" s="227" t="s">
        <v>17</v>
      </c>
      <c r="B22" s="51" t="s">
        <v>195</v>
      </c>
      <c r="C22" s="243">
        <v>674328.30892965326</v>
      </c>
      <c r="D22" s="246"/>
      <c r="E22" s="243"/>
      <c r="F22" s="243">
        <f t="shared" si="1"/>
        <v>674328</v>
      </c>
      <c r="G22" s="243">
        <f t="shared" si="2"/>
        <v>0</v>
      </c>
      <c r="H22" s="245"/>
      <c r="I22" s="245"/>
      <c r="J22" s="245"/>
      <c r="K22" s="245">
        <v>122295</v>
      </c>
      <c r="L22" s="245"/>
      <c r="M22" s="245">
        <v>8734</v>
      </c>
      <c r="N22" s="245">
        <v>41908</v>
      </c>
      <c r="O22" s="245">
        <v>45952</v>
      </c>
      <c r="P22" s="245">
        <v>47022</v>
      </c>
      <c r="Q22" s="245">
        <v>67615</v>
      </c>
      <c r="R22" s="245">
        <v>49021</v>
      </c>
      <c r="S22" s="245">
        <f>55646+66494</f>
        <v>122140</v>
      </c>
      <c r="T22" s="245"/>
      <c r="U22" s="245">
        <v>72629</v>
      </c>
      <c r="V22" s="245">
        <v>47835</v>
      </c>
      <c r="W22" s="245">
        <v>49177</v>
      </c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75"/>
      <c r="AL22" s="75"/>
      <c r="AM22" s="75"/>
    </row>
    <row r="23" spans="1:39" s="7" customFormat="1" ht="18.600000000000001" thickBot="1" x14ac:dyDescent="0.4">
      <c r="A23" s="227" t="s">
        <v>18</v>
      </c>
      <c r="B23" s="51" t="s">
        <v>196</v>
      </c>
      <c r="C23" s="243">
        <v>745212.81478197756</v>
      </c>
      <c r="D23" s="246"/>
      <c r="E23" s="243"/>
      <c r="F23" s="243">
        <f t="shared" si="1"/>
        <v>745213</v>
      </c>
      <c r="G23" s="243">
        <f t="shared" si="2"/>
        <v>0</v>
      </c>
      <c r="H23" s="245"/>
      <c r="I23" s="245"/>
      <c r="J23" s="245"/>
      <c r="K23" s="245"/>
      <c r="L23" s="245"/>
      <c r="M23" s="245"/>
      <c r="N23" s="245"/>
      <c r="O23" s="245">
        <v>220673</v>
      </c>
      <c r="P23" s="245"/>
      <c r="Q23" s="245"/>
      <c r="R23" s="245">
        <v>252822</v>
      </c>
      <c r="S23" s="245">
        <v>84274</v>
      </c>
      <c r="T23" s="245"/>
      <c r="U23" s="245">
        <v>123449</v>
      </c>
      <c r="V23" s="245"/>
      <c r="W23" s="245"/>
      <c r="X23" s="245"/>
      <c r="Y23" s="245">
        <v>63995</v>
      </c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75"/>
      <c r="AL23" s="75"/>
      <c r="AM23" s="75"/>
    </row>
    <row r="24" spans="1:39" s="7" customFormat="1" ht="18.600000000000001" thickBot="1" x14ac:dyDescent="0.4">
      <c r="A24" s="227" t="s">
        <v>19</v>
      </c>
      <c r="B24" s="51" t="s">
        <v>197</v>
      </c>
      <c r="C24" s="243">
        <v>4335873.5846984684</v>
      </c>
      <c r="D24" s="246"/>
      <c r="E24" s="243"/>
      <c r="F24" s="243">
        <f t="shared" si="1"/>
        <v>4335874</v>
      </c>
      <c r="G24" s="243">
        <f t="shared" si="2"/>
        <v>0</v>
      </c>
      <c r="H24" s="245"/>
      <c r="I24" s="245"/>
      <c r="J24" s="245"/>
      <c r="K24" s="245"/>
      <c r="L24" s="245"/>
      <c r="M24" s="245"/>
      <c r="N24" s="245"/>
      <c r="O24" s="245">
        <v>525259</v>
      </c>
      <c r="P24" s="245">
        <v>390487</v>
      </c>
      <c r="Q24" s="245">
        <v>306570</v>
      </c>
      <c r="R24" s="245"/>
      <c r="S24" s="245">
        <f>437165+424331</f>
        <v>861496</v>
      </c>
      <c r="T24" s="245">
        <v>430214</v>
      </c>
      <c r="U24" s="245">
        <v>505908</v>
      </c>
      <c r="V24" s="245"/>
      <c r="W24" s="245"/>
      <c r="X24" s="245">
        <f>147883+974006</f>
        <v>1121889</v>
      </c>
      <c r="Y24" s="245">
        <v>194051</v>
      </c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75"/>
      <c r="AL24" s="75"/>
      <c r="AM24" s="75"/>
    </row>
    <row r="25" spans="1:39" s="7" customFormat="1" ht="18.600000000000001" thickBot="1" x14ac:dyDescent="0.4">
      <c r="A25" s="227" t="s">
        <v>20</v>
      </c>
      <c r="B25" s="51" t="s">
        <v>198</v>
      </c>
      <c r="C25" s="243">
        <v>1209103.9971849804</v>
      </c>
      <c r="D25" s="246"/>
      <c r="E25" s="243"/>
      <c r="F25" s="243">
        <f t="shared" si="1"/>
        <v>1209104</v>
      </c>
      <c r="G25" s="243">
        <f>ROUND(IF(ISBLANK(E25),C25-F25,C25-E25),0)</f>
        <v>0</v>
      </c>
      <c r="H25" s="245"/>
      <c r="I25" s="245"/>
      <c r="J25" s="245"/>
      <c r="K25" s="245"/>
      <c r="L25" s="245"/>
      <c r="M25" s="245">
        <v>62641</v>
      </c>
      <c r="N25" s="245">
        <v>114236</v>
      </c>
      <c r="O25" s="245">
        <v>101646</v>
      </c>
      <c r="P25" s="245">
        <v>108013</v>
      </c>
      <c r="Q25" s="245">
        <v>106099</v>
      </c>
      <c r="R25" s="245">
        <v>93475</v>
      </c>
      <c r="S25" s="245"/>
      <c r="T25" s="245">
        <v>105787</v>
      </c>
      <c r="U25" s="245">
        <v>179699</v>
      </c>
      <c r="V25" s="245"/>
      <c r="W25" s="245"/>
      <c r="X25" s="245"/>
      <c r="Y25" s="245">
        <v>312349</v>
      </c>
      <c r="Z25" s="245">
        <v>25159</v>
      </c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75"/>
      <c r="AL25" s="75"/>
      <c r="AM25" s="75"/>
    </row>
    <row r="26" spans="1:39" s="7" customFormat="1" ht="18.600000000000001" thickBot="1" x14ac:dyDescent="0.4">
      <c r="A26" s="227" t="s">
        <v>21</v>
      </c>
      <c r="B26" s="51" t="s">
        <v>199</v>
      </c>
      <c r="C26" s="243">
        <v>34954</v>
      </c>
      <c r="D26" s="286">
        <v>9025</v>
      </c>
      <c r="E26" s="243">
        <f>IF(ISBLANK(D26),,C26)</f>
        <v>34954</v>
      </c>
      <c r="F26" s="243">
        <f t="shared" si="1"/>
        <v>0</v>
      </c>
      <c r="G26" s="243">
        <f t="shared" si="2"/>
        <v>0</v>
      </c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75"/>
      <c r="AL26" s="75"/>
      <c r="AM26" s="75"/>
    </row>
    <row r="27" spans="1:39" s="7" customFormat="1" ht="18.600000000000001" thickBot="1" x14ac:dyDescent="0.4">
      <c r="A27" s="227" t="s">
        <v>22</v>
      </c>
      <c r="B27" s="51" t="s">
        <v>200</v>
      </c>
      <c r="C27" s="243">
        <v>11230776.836503405</v>
      </c>
      <c r="D27" s="286"/>
      <c r="E27" s="243"/>
      <c r="F27" s="243">
        <f t="shared" si="1"/>
        <v>11230777</v>
      </c>
      <c r="G27" s="243">
        <f t="shared" si="2"/>
        <v>0</v>
      </c>
      <c r="H27" s="245"/>
      <c r="I27" s="245"/>
      <c r="J27" s="245"/>
      <c r="K27" s="245"/>
      <c r="L27" s="245">
        <v>228933</v>
      </c>
      <c r="M27" s="245">
        <v>929741</v>
      </c>
      <c r="N27" s="245"/>
      <c r="O27" s="245">
        <v>1681515</v>
      </c>
      <c r="P27" s="245">
        <v>768354</v>
      </c>
      <c r="Q27" s="245">
        <v>809200</v>
      </c>
      <c r="R27" s="245">
        <v>887252</v>
      </c>
      <c r="S27" s="245">
        <v>798584</v>
      </c>
      <c r="T27" s="245">
        <v>1113752</v>
      </c>
      <c r="U27" s="245">
        <v>605402</v>
      </c>
      <c r="V27" s="245"/>
      <c r="W27" s="245">
        <v>213006</v>
      </c>
      <c r="X27" s="245">
        <v>2212454</v>
      </c>
      <c r="Y27" s="245">
        <v>821501</v>
      </c>
      <c r="Z27" s="245">
        <v>161083</v>
      </c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75"/>
      <c r="AL27" s="75"/>
      <c r="AM27" s="75"/>
    </row>
    <row r="28" spans="1:39" s="7" customFormat="1" ht="18.600000000000001" thickBot="1" x14ac:dyDescent="0.4">
      <c r="A28" s="227" t="s">
        <v>23</v>
      </c>
      <c r="B28" s="51" t="s">
        <v>201</v>
      </c>
      <c r="C28" s="243">
        <v>64284</v>
      </c>
      <c r="D28" s="286">
        <v>9025</v>
      </c>
      <c r="E28" s="243">
        <f>IF(ISBLANK(D28),,C28)</f>
        <v>64284</v>
      </c>
      <c r="F28" s="243">
        <f t="shared" si="1"/>
        <v>0</v>
      </c>
      <c r="G28" s="243">
        <f t="shared" si="2"/>
        <v>0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75"/>
      <c r="AL28" s="75"/>
      <c r="AM28" s="75"/>
    </row>
    <row r="29" spans="1:39" s="7" customFormat="1" ht="18.600000000000001" thickBot="1" x14ac:dyDescent="0.4">
      <c r="A29" s="227" t="s">
        <v>24</v>
      </c>
      <c r="B29" s="51" t="s">
        <v>202</v>
      </c>
      <c r="C29" s="243">
        <v>352666.15112253133</v>
      </c>
      <c r="D29" s="286"/>
      <c r="E29" s="243"/>
      <c r="F29" s="243">
        <f t="shared" si="1"/>
        <v>352666</v>
      </c>
      <c r="G29" s="243">
        <f>ROUND(IF(ISBLANK(E29),C29-F29,C29-E29),0)</f>
        <v>0</v>
      </c>
      <c r="H29" s="245"/>
      <c r="I29" s="245"/>
      <c r="J29" s="245"/>
      <c r="K29" s="245">
        <f>56894+31616</f>
        <v>88510</v>
      </c>
      <c r="L29" s="245">
        <v>21338</v>
      </c>
      <c r="M29" s="245">
        <v>29386</v>
      </c>
      <c r="N29" s="245">
        <v>28591</v>
      </c>
      <c r="O29" s="245">
        <v>35442</v>
      </c>
      <c r="P29" s="245">
        <v>30122</v>
      </c>
      <c r="Q29" s="245">
        <v>27185</v>
      </c>
      <c r="R29" s="245"/>
      <c r="S29" s="245"/>
      <c r="T29" s="245">
        <v>91390</v>
      </c>
      <c r="U29" s="245"/>
      <c r="V29" s="245"/>
      <c r="W29" s="245"/>
      <c r="X29" s="245">
        <f>132+570</f>
        <v>702</v>
      </c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75"/>
      <c r="AL29" s="75"/>
      <c r="AM29" s="75"/>
    </row>
    <row r="30" spans="1:39" s="7" customFormat="1" ht="18.600000000000001" thickBot="1" x14ac:dyDescent="0.4">
      <c r="A30" s="227" t="s">
        <v>25</v>
      </c>
      <c r="B30" s="51" t="s">
        <v>203</v>
      </c>
      <c r="C30" s="243">
        <v>50480.730446928465</v>
      </c>
      <c r="D30" s="286"/>
      <c r="E30" s="243"/>
      <c r="F30" s="243">
        <f t="shared" si="1"/>
        <v>50481</v>
      </c>
      <c r="G30" s="243">
        <f t="shared" si="2"/>
        <v>0</v>
      </c>
      <c r="H30" s="245"/>
      <c r="I30" s="245"/>
      <c r="J30" s="245"/>
      <c r="K30" s="245"/>
      <c r="L30" s="245"/>
      <c r="M30" s="245">
        <v>14687</v>
      </c>
      <c r="N30" s="245"/>
      <c r="O30" s="245"/>
      <c r="P30" s="245"/>
      <c r="Q30" s="245"/>
      <c r="R30" s="245">
        <v>20851</v>
      </c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>
        <v>14943</v>
      </c>
      <c r="AD30" s="245"/>
      <c r="AE30" s="245"/>
      <c r="AF30" s="245"/>
      <c r="AG30" s="245"/>
      <c r="AH30" s="245"/>
      <c r="AI30" s="245"/>
      <c r="AJ30" s="245"/>
      <c r="AK30" s="75"/>
      <c r="AL30" s="75"/>
      <c r="AM30" s="75"/>
    </row>
    <row r="31" spans="1:39" s="7" customFormat="1" ht="18.600000000000001" thickBot="1" x14ac:dyDescent="0.4">
      <c r="A31" s="227" t="s">
        <v>26</v>
      </c>
      <c r="B31" s="51" t="s">
        <v>204</v>
      </c>
      <c r="C31" s="243">
        <v>18269.353725340741</v>
      </c>
      <c r="D31" s="286"/>
      <c r="E31" s="243"/>
      <c r="F31" s="243">
        <f t="shared" si="1"/>
        <v>18269</v>
      </c>
      <c r="G31" s="243">
        <f t="shared" si="2"/>
        <v>0</v>
      </c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>
        <v>10790</v>
      </c>
      <c r="S31" s="245">
        <v>6204</v>
      </c>
      <c r="T31" s="245"/>
      <c r="U31" s="245"/>
      <c r="V31" s="245"/>
      <c r="W31" s="245"/>
      <c r="X31" s="245"/>
      <c r="Y31" s="245"/>
      <c r="Z31" s="245"/>
      <c r="AA31" s="245"/>
      <c r="AB31" s="245">
        <v>1275</v>
      </c>
      <c r="AC31" s="245"/>
      <c r="AD31" s="245"/>
      <c r="AE31" s="245"/>
      <c r="AF31" s="245"/>
      <c r="AG31" s="245"/>
      <c r="AH31" s="245"/>
      <c r="AI31" s="245"/>
      <c r="AJ31" s="245"/>
      <c r="AK31" s="75"/>
      <c r="AL31" s="75"/>
      <c r="AM31" s="75"/>
    </row>
    <row r="32" spans="1:39" s="7" customFormat="1" ht="18.600000000000001" thickBot="1" x14ac:dyDescent="0.4">
      <c r="A32" s="227" t="s">
        <v>27</v>
      </c>
      <c r="B32" s="51" t="s">
        <v>205</v>
      </c>
      <c r="C32" s="243">
        <v>70493.519904434885</v>
      </c>
      <c r="D32" s="286"/>
      <c r="E32" s="243"/>
      <c r="F32" s="243">
        <f t="shared" si="1"/>
        <v>70494</v>
      </c>
      <c r="G32" s="243">
        <f t="shared" si="2"/>
        <v>0</v>
      </c>
      <c r="H32" s="245"/>
      <c r="I32" s="245"/>
      <c r="J32" s="245"/>
      <c r="K32" s="245"/>
      <c r="L32" s="245"/>
      <c r="M32" s="245">
        <v>19406</v>
      </c>
      <c r="N32" s="245"/>
      <c r="O32" s="245"/>
      <c r="P32" s="245"/>
      <c r="Q32" s="245">
        <v>33469</v>
      </c>
      <c r="R32" s="245"/>
      <c r="S32" s="245">
        <v>10237</v>
      </c>
      <c r="T32" s="245">
        <v>6483</v>
      </c>
      <c r="U32" s="245"/>
      <c r="V32" s="245"/>
      <c r="W32" s="245"/>
      <c r="X32" s="245"/>
      <c r="Y32" s="245"/>
      <c r="Z32" s="245"/>
      <c r="AA32" s="245"/>
      <c r="AB32" s="245"/>
      <c r="AC32" s="245"/>
      <c r="AD32" s="245">
        <v>899</v>
      </c>
      <c r="AE32" s="245"/>
      <c r="AF32" s="245"/>
      <c r="AG32" s="245"/>
      <c r="AH32" s="245"/>
      <c r="AI32" s="245"/>
      <c r="AJ32" s="245"/>
      <c r="AK32" s="75"/>
      <c r="AL32" s="75"/>
      <c r="AM32" s="75"/>
    </row>
    <row r="33" spans="1:39" s="7" customFormat="1" ht="18.600000000000001" thickBot="1" x14ac:dyDescent="0.4">
      <c r="A33" s="227" t="s">
        <v>28</v>
      </c>
      <c r="B33" s="51" t="s">
        <v>206</v>
      </c>
      <c r="C33" s="243">
        <v>906.31199299999253</v>
      </c>
      <c r="D33" s="286"/>
      <c r="E33" s="243"/>
      <c r="F33" s="243">
        <f t="shared" si="1"/>
        <v>906</v>
      </c>
      <c r="G33" s="243">
        <f t="shared" si="2"/>
        <v>0</v>
      </c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>
        <v>906</v>
      </c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75"/>
      <c r="AL33" s="75"/>
      <c r="AM33" s="75"/>
    </row>
    <row r="34" spans="1:39" s="7" customFormat="1" ht="18.600000000000001" thickBot="1" x14ac:dyDescent="0.4">
      <c r="A34" s="227" t="s">
        <v>29</v>
      </c>
      <c r="B34" s="51" t="s">
        <v>207</v>
      </c>
      <c r="C34" s="243">
        <v>1997.8535800838051</v>
      </c>
      <c r="D34" s="286"/>
      <c r="E34" s="243"/>
      <c r="F34" s="243">
        <f t="shared" si="1"/>
        <v>2000</v>
      </c>
      <c r="G34" s="243">
        <f t="shared" si="2"/>
        <v>-2</v>
      </c>
      <c r="H34" s="245"/>
      <c r="I34" s="245"/>
      <c r="J34" s="245"/>
      <c r="K34" s="245"/>
      <c r="L34" s="245"/>
      <c r="M34" s="245"/>
      <c r="N34" s="245"/>
      <c r="O34" s="245"/>
      <c r="P34" s="245">
        <v>2000</v>
      </c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75"/>
      <c r="AL34" s="75"/>
      <c r="AM34" s="75"/>
    </row>
    <row r="35" spans="1:39" s="7" customFormat="1" ht="18.600000000000001" thickBot="1" x14ac:dyDescent="0.4">
      <c r="A35" s="227" t="s">
        <v>30</v>
      </c>
      <c r="B35" s="51" t="s">
        <v>208</v>
      </c>
      <c r="C35" s="243">
        <v>241777.90406587542</v>
      </c>
      <c r="D35" s="286"/>
      <c r="E35" s="243"/>
      <c r="F35" s="243">
        <f t="shared" si="1"/>
        <v>241778</v>
      </c>
      <c r="G35" s="243">
        <f>ROUND(IF(ISBLANK(E35),C35-F35,C35-E35),0)</f>
        <v>0</v>
      </c>
      <c r="H35" s="245"/>
      <c r="I35" s="245"/>
      <c r="J35" s="245"/>
      <c r="K35" s="245">
        <v>69149</v>
      </c>
      <c r="L35" s="245"/>
      <c r="M35" s="245"/>
      <c r="N35" s="245">
        <v>48985</v>
      </c>
      <c r="O35" s="245"/>
      <c r="P35" s="245"/>
      <c r="Q35" s="245"/>
      <c r="R35" s="245"/>
      <c r="S35" s="245">
        <v>80550</v>
      </c>
      <c r="T35" s="245"/>
      <c r="U35" s="245"/>
      <c r="V35" s="245"/>
      <c r="W35" s="245"/>
      <c r="X35" s="245">
        <v>43094</v>
      </c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75"/>
      <c r="AL35" s="75"/>
      <c r="AM35" s="75"/>
    </row>
    <row r="36" spans="1:39" s="7" customFormat="1" ht="18.600000000000001" thickBot="1" x14ac:dyDescent="0.4">
      <c r="A36" s="227" t="s">
        <v>31</v>
      </c>
      <c r="B36" s="51" t="s">
        <v>209</v>
      </c>
      <c r="C36" s="243">
        <v>28707.834907151082</v>
      </c>
      <c r="D36" s="286"/>
      <c r="E36" s="243"/>
      <c r="F36" s="243">
        <f t="shared" si="1"/>
        <v>28708</v>
      </c>
      <c r="G36" s="243">
        <f t="shared" si="2"/>
        <v>0</v>
      </c>
      <c r="H36" s="245"/>
      <c r="I36" s="245"/>
      <c r="J36" s="245"/>
      <c r="K36" s="245"/>
      <c r="L36" s="245"/>
      <c r="M36" s="245"/>
      <c r="N36" s="245"/>
      <c r="O36" s="245"/>
      <c r="P36" s="245">
        <v>14580</v>
      </c>
      <c r="Q36" s="245"/>
      <c r="R36" s="245"/>
      <c r="S36" s="245">
        <v>14128</v>
      </c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75"/>
      <c r="AL36" s="75"/>
      <c r="AM36" s="75"/>
    </row>
    <row r="37" spans="1:39" s="7" customFormat="1" ht="18.600000000000001" thickBot="1" x14ac:dyDescent="0.4">
      <c r="A37" s="227" t="s">
        <v>32</v>
      </c>
      <c r="B37" s="51" t="s">
        <v>210</v>
      </c>
      <c r="C37" s="243">
        <v>3001362.4622866297</v>
      </c>
      <c r="D37" s="286"/>
      <c r="E37" s="243"/>
      <c r="F37" s="243">
        <f t="shared" si="1"/>
        <v>3001362</v>
      </c>
      <c r="G37" s="243">
        <f t="shared" si="2"/>
        <v>0</v>
      </c>
      <c r="H37" s="245"/>
      <c r="I37" s="245"/>
      <c r="J37" s="245"/>
      <c r="K37" s="245"/>
      <c r="L37" s="245"/>
      <c r="M37" s="245"/>
      <c r="N37" s="245"/>
      <c r="O37" s="245">
        <v>959944</v>
      </c>
      <c r="P37" s="245">
        <v>239065</v>
      </c>
      <c r="Q37" s="245">
        <v>476452</v>
      </c>
      <c r="R37" s="245">
        <v>33390</v>
      </c>
      <c r="S37" s="245">
        <v>500337</v>
      </c>
      <c r="T37" s="245"/>
      <c r="U37" s="245"/>
      <c r="V37" s="245"/>
      <c r="W37" s="245">
        <v>588237</v>
      </c>
      <c r="X37" s="245"/>
      <c r="Y37" s="245"/>
      <c r="Z37" s="245">
        <v>203937</v>
      </c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75"/>
      <c r="AL37" s="75"/>
      <c r="AM37" s="75"/>
    </row>
    <row r="38" spans="1:39" s="7" customFormat="1" ht="18.600000000000001" thickBot="1" x14ac:dyDescent="0.4">
      <c r="A38" s="227" t="s">
        <v>33</v>
      </c>
      <c r="B38" s="51" t="s">
        <v>211</v>
      </c>
      <c r="C38" s="243">
        <v>2141625.5664773835</v>
      </c>
      <c r="D38" s="286"/>
      <c r="E38" s="243"/>
      <c r="F38" s="243">
        <f t="shared" si="1"/>
        <v>2141626</v>
      </c>
      <c r="G38" s="243">
        <f t="shared" si="2"/>
        <v>0</v>
      </c>
      <c r="H38" s="245"/>
      <c r="I38" s="245"/>
      <c r="J38" s="245">
        <v>12246</v>
      </c>
      <c r="K38" s="245">
        <v>169009</v>
      </c>
      <c r="L38" s="245">
        <v>195533</v>
      </c>
      <c r="M38" s="245">
        <v>144547</v>
      </c>
      <c r="N38" s="245">
        <v>161912</v>
      </c>
      <c r="O38" s="245">
        <v>179918</v>
      </c>
      <c r="P38" s="245">
        <v>187685</v>
      </c>
      <c r="Q38" s="245">
        <v>181114</v>
      </c>
      <c r="R38" s="245">
        <v>150782</v>
      </c>
      <c r="S38" s="245">
        <v>236487</v>
      </c>
      <c r="T38" s="245">
        <v>286559</v>
      </c>
      <c r="U38" s="245">
        <v>105835</v>
      </c>
      <c r="V38" s="245">
        <v>129924</v>
      </c>
      <c r="W38" s="245">
        <v>75</v>
      </c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75"/>
      <c r="AL38" s="75"/>
      <c r="AM38" s="75"/>
    </row>
    <row r="39" spans="1:39" s="7" customFormat="1" ht="18.600000000000001" thickBot="1" x14ac:dyDescent="0.4">
      <c r="A39" s="227" t="s">
        <v>34</v>
      </c>
      <c r="B39" s="51" t="s">
        <v>212</v>
      </c>
      <c r="C39" s="243">
        <v>167802.44136631748</v>
      </c>
      <c r="D39" s="286"/>
      <c r="E39" s="243"/>
      <c r="F39" s="243">
        <f t="shared" si="1"/>
        <v>167802</v>
      </c>
      <c r="G39" s="243">
        <f t="shared" si="2"/>
        <v>0</v>
      </c>
      <c r="H39" s="245"/>
      <c r="I39" s="245"/>
      <c r="J39" s="245"/>
      <c r="K39" s="245"/>
      <c r="L39" s="245"/>
      <c r="M39" s="245">
        <v>65515</v>
      </c>
      <c r="N39" s="245"/>
      <c r="O39" s="245"/>
      <c r="P39" s="245"/>
      <c r="Q39" s="245"/>
      <c r="R39" s="245">
        <v>99806</v>
      </c>
      <c r="S39" s="245"/>
      <c r="T39" s="245"/>
      <c r="U39" s="245"/>
      <c r="V39" s="245"/>
      <c r="W39" s="245"/>
      <c r="X39" s="245"/>
      <c r="Y39" s="245"/>
      <c r="Z39" s="245"/>
      <c r="AA39" s="245">
        <v>2481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75"/>
      <c r="AL39" s="75"/>
      <c r="AM39" s="75"/>
    </row>
    <row r="40" spans="1:39" s="7" customFormat="1" ht="18.600000000000001" thickBot="1" x14ac:dyDescent="0.4">
      <c r="A40" s="227" t="s">
        <v>35</v>
      </c>
      <c r="B40" s="51" t="s">
        <v>213</v>
      </c>
      <c r="C40" s="243">
        <v>171320.63859581121</v>
      </c>
      <c r="D40" s="286"/>
      <c r="E40" s="243"/>
      <c r="F40" s="243">
        <f t="shared" si="1"/>
        <v>171321</v>
      </c>
      <c r="G40" s="243">
        <f t="shared" si="2"/>
        <v>0</v>
      </c>
      <c r="H40" s="245"/>
      <c r="I40" s="245"/>
      <c r="J40" s="245"/>
      <c r="K40" s="245">
        <v>36558</v>
      </c>
      <c r="L40" s="245"/>
      <c r="M40" s="245">
        <v>17974</v>
      </c>
      <c r="N40" s="245">
        <v>17981</v>
      </c>
      <c r="O40" s="245">
        <v>18527</v>
      </c>
      <c r="P40" s="245">
        <v>18719</v>
      </c>
      <c r="Q40" s="245">
        <v>13725</v>
      </c>
      <c r="R40" s="245">
        <v>13801</v>
      </c>
      <c r="S40" s="245">
        <v>28602</v>
      </c>
      <c r="T40" s="245">
        <v>563</v>
      </c>
      <c r="U40" s="245"/>
      <c r="V40" s="245"/>
      <c r="W40" s="245"/>
      <c r="X40" s="245">
        <v>4871</v>
      </c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75"/>
      <c r="AL40" s="75"/>
      <c r="AM40" s="75"/>
    </row>
    <row r="41" spans="1:39" s="7" customFormat="1" ht="18.600000000000001" thickBot="1" x14ac:dyDescent="0.4">
      <c r="A41" s="228" t="s">
        <v>36</v>
      </c>
      <c r="B41" s="51" t="s">
        <v>391</v>
      </c>
      <c r="C41" s="243">
        <v>0</v>
      </c>
      <c r="D41" s="286"/>
      <c r="E41" s="243"/>
      <c r="F41" s="243">
        <f t="shared" si="1"/>
        <v>0</v>
      </c>
      <c r="G41" s="243">
        <f t="shared" si="2"/>
        <v>0</v>
      </c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75"/>
      <c r="AL41" s="75"/>
      <c r="AM41" s="75"/>
    </row>
    <row r="42" spans="1:39" s="7" customFormat="1" ht="18.600000000000001" thickBot="1" x14ac:dyDescent="0.4">
      <c r="A42" s="228" t="s">
        <v>37</v>
      </c>
      <c r="B42" s="205" t="s">
        <v>215</v>
      </c>
      <c r="C42" s="243">
        <v>31434</v>
      </c>
      <c r="D42" s="286">
        <v>9025</v>
      </c>
      <c r="E42" s="243">
        <f>IF(ISBLANK(D42),,C42)</f>
        <v>31434</v>
      </c>
      <c r="F42" s="243">
        <f t="shared" si="1"/>
        <v>0</v>
      </c>
      <c r="G42" s="243">
        <f t="shared" si="2"/>
        <v>0</v>
      </c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75"/>
      <c r="AL42" s="75"/>
      <c r="AM42" s="75"/>
    </row>
    <row r="43" spans="1:39" s="7" customFormat="1" ht="18.600000000000001" thickBot="1" x14ac:dyDescent="0.4">
      <c r="A43" s="228" t="s">
        <v>38</v>
      </c>
      <c r="B43" s="51" t="s">
        <v>216</v>
      </c>
      <c r="C43" s="243">
        <v>98092.73396572718</v>
      </c>
      <c r="D43" s="286"/>
      <c r="E43" s="243"/>
      <c r="F43" s="243">
        <f t="shared" si="1"/>
        <v>98093</v>
      </c>
      <c r="G43" s="243">
        <f t="shared" si="2"/>
        <v>0</v>
      </c>
      <c r="H43" s="245"/>
      <c r="I43" s="245"/>
      <c r="J43" s="245"/>
      <c r="K43" s="245"/>
      <c r="L43" s="245"/>
      <c r="M43" s="245"/>
      <c r="N43" s="245">
        <v>16123</v>
      </c>
      <c r="O43" s="245"/>
      <c r="P43" s="245"/>
      <c r="Q43" s="245">
        <v>39440</v>
      </c>
      <c r="R43" s="245"/>
      <c r="S43" s="245"/>
      <c r="T43" s="245"/>
      <c r="U43" s="245"/>
      <c r="V43" s="245">
        <v>37768</v>
      </c>
      <c r="W43" s="245"/>
      <c r="X43" s="245"/>
      <c r="Y43" s="245">
        <v>4762</v>
      </c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75"/>
      <c r="AL43" s="75"/>
      <c r="AM43" s="75"/>
    </row>
    <row r="44" spans="1:39" s="7" customFormat="1" ht="18.600000000000001" thickBot="1" x14ac:dyDescent="0.4">
      <c r="A44" s="228" t="s">
        <v>39</v>
      </c>
      <c r="B44" s="51" t="s">
        <v>217</v>
      </c>
      <c r="C44" s="243">
        <v>312338.45653501083</v>
      </c>
      <c r="D44" s="286"/>
      <c r="E44" s="243"/>
      <c r="F44" s="243">
        <f t="shared" si="1"/>
        <v>312338</v>
      </c>
      <c r="G44" s="243">
        <f>ROUND(IF(ISBLANK(E44),C44-F44,C44-E44),0)</f>
        <v>0</v>
      </c>
      <c r="H44" s="245"/>
      <c r="I44" s="245"/>
      <c r="J44" s="245"/>
      <c r="K44" s="245">
        <v>29154</v>
      </c>
      <c r="L44" s="245">
        <v>26049</v>
      </c>
      <c r="M44" s="245">
        <v>22362</v>
      </c>
      <c r="N44" s="245"/>
      <c r="O44" s="245">
        <v>52220</v>
      </c>
      <c r="P44" s="245">
        <v>26189</v>
      </c>
      <c r="Q44" s="245">
        <v>26189</v>
      </c>
      <c r="R44" s="245">
        <v>26189</v>
      </c>
      <c r="S44" s="245">
        <v>15130</v>
      </c>
      <c r="T44" s="245">
        <v>25112</v>
      </c>
      <c r="U44" s="245">
        <v>24270</v>
      </c>
      <c r="V44" s="245">
        <v>35105</v>
      </c>
      <c r="W44" s="245">
        <v>4369</v>
      </c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75"/>
      <c r="AL44" s="75"/>
      <c r="AM44" s="75"/>
    </row>
    <row r="45" spans="1:39" s="7" customFormat="1" ht="18.600000000000001" thickBot="1" x14ac:dyDescent="0.4">
      <c r="A45" s="228" t="s">
        <v>40</v>
      </c>
      <c r="B45" s="51" t="s">
        <v>218</v>
      </c>
      <c r="C45" s="243">
        <v>58859.950342591561</v>
      </c>
      <c r="D45" s="286"/>
      <c r="E45" s="243"/>
      <c r="F45" s="243">
        <f t="shared" si="1"/>
        <v>58860</v>
      </c>
      <c r="G45" s="243">
        <f t="shared" ref="G45:G108" si="3">ROUND(IF(ISBLANK(E45),C45-F45,C45-E45),0)</f>
        <v>0</v>
      </c>
      <c r="H45" s="245"/>
      <c r="I45" s="245"/>
      <c r="J45" s="245"/>
      <c r="K45" s="245"/>
      <c r="L45" s="245"/>
      <c r="M45" s="245"/>
      <c r="N45" s="245">
        <v>21527</v>
      </c>
      <c r="O45" s="245"/>
      <c r="P45" s="245"/>
      <c r="Q45" s="245"/>
      <c r="R45" s="245"/>
      <c r="S45" s="245">
        <v>35683</v>
      </c>
      <c r="T45" s="245"/>
      <c r="U45" s="245"/>
      <c r="V45" s="245"/>
      <c r="W45" s="245"/>
      <c r="X45" s="245"/>
      <c r="Y45" s="245"/>
      <c r="Z45" s="245">
        <v>1650</v>
      </c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75"/>
      <c r="AL45" s="75"/>
      <c r="AM45" s="75"/>
    </row>
    <row r="46" spans="1:39" s="7" customFormat="1" ht="18.600000000000001" thickBot="1" x14ac:dyDescent="0.4">
      <c r="A46" s="228" t="s">
        <v>41</v>
      </c>
      <c r="B46" s="51" t="s">
        <v>219</v>
      </c>
      <c r="C46" s="243">
        <v>161493.20067980798</v>
      </c>
      <c r="D46" s="286"/>
      <c r="E46" s="243"/>
      <c r="F46" s="243">
        <f t="shared" si="1"/>
        <v>161493</v>
      </c>
      <c r="G46" s="243">
        <f t="shared" si="3"/>
        <v>0</v>
      </c>
      <c r="H46" s="245"/>
      <c r="I46" s="245"/>
      <c r="J46" s="245"/>
      <c r="K46" s="245"/>
      <c r="L46" s="245">
        <f>17883+19236+19140</f>
        <v>56259</v>
      </c>
      <c r="M46" s="245">
        <v>19140</v>
      </c>
      <c r="N46" s="245">
        <v>18206</v>
      </c>
      <c r="O46" s="245">
        <v>9071</v>
      </c>
      <c r="P46" s="245">
        <v>8540</v>
      </c>
      <c r="Q46" s="245">
        <v>11230</v>
      </c>
      <c r="R46" s="245">
        <v>11317</v>
      </c>
      <c r="S46" s="245">
        <v>11315</v>
      </c>
      <c r="T46" s="245">
        <v>7187</v>
      </c>
      <c r="U46" s="245">
        <v>9190</v>
      </c>
      <c r="V46" s="245"/>
      <c r="W46" s="245">
        <v>38</v>
      </c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75"/>
      <c r="AL46" s="75"/>
      <c r="AM46" s="75"/>
    </row>
    <row r="47" spans="1:39" s="7" customFormat="1" ht="18.600000000000001" thickBot="1" x14ac:dyDescent="0.4">
      <c r="A47" s="228" t="s">
        <v>42</v>
      </c>
      <c r="B47" s="53" t="s">
        <v>220</v>
      </c>
      <c r="C47" s="243">
        <v>135668.88853229058</v>
      </c>
      <c r="D47" s="286"/>
      <c r="E47" s="243"/>
      <c r="F47" s="243">
        <f t="shared" si="1"/>
        <v>135669</v>
      </c>
      <c r="G47" s="243">
        <f t="shared" si="3"/>
        <v>0</v>
      </c>
      <c r="H47" s="245"/>
      <c r="I47" s="245"/>
      <c r="J47" s="245"/>
      <c r="K47" s="245"/>
      <c r="L47" s="245"/>
      <c r="M47" s="245"/>
      <c r="N47" s="245"/>
      <c r="O47" s="245"/>
      <c r="P47" s="245">
        <v>16883</v>
      </c>
      <c r="Q47" s="245"/>
      <c r="R47" s="245"/>
      <c r="S47" s="245">
        <v>18300</v>
      </c>
      <c r="T47" s="245"/>
      <c r="U47" s="245"/>
      <c r="V47" s="245">
        <v>34270</v>
      </c>
      <c r="W47" s="245"/>
      <c r="X47" s="245"/>
      <c r="Y47" s="245"/>
      <c r="Z47" s="245"/>
      <c r="AA47" s="245"/>
      <c r="AB47" s="245"/>
      <c r="AC47" s="245">
        <v>56487</v>
      </c>
      <c r="AD47" s="245"/>
      <c r="AE47" s="245"/>
      <c r="AF47" s="245"/>
      <c r="AG47" s="245">
        <v>9729</v>
      </c>
      <c r="AH47" s="245"/>
      <c r="AI47" s="245"/>
      <c r="AJ47" s="245"/>
      <c r="AK47" s="75"/>
      <c r="AL47" s="75"/>
      <c r="AM47" s="75"/>
    </row>
    <row r="48" spans="1:39" s="7" customFormat="1" ht="18.600000000000001" thickBot="1" x14ac:dyDescent="0.4">
      <c r="A48" s="228" t="s">
        <v>43</v>
      </c>
      <c r="B48" s="51" t="s">
        <v>221</v>
      </c>
      <c r="C48" s="243">
        <v>109351.39991540874</v>
      </c>
      <c r="D48" s="286"/>
      <c r="E48" s="243"/>
      <c r="F48" s="243">
        <f t="shared" si="1"/>
        <v>109351</v>
      </c>
      <c r="G48" s="243">
        <f t="shared" si="3"/>
        <v>0</v>
      </c>
      <c r="H48" s="245"/>
      <c r="I48" s="245"/>
      <c r="J48" s="245"/>
      <c r="K48" s="245"/>
      <c r="L48" s="245"/>
      <c r="M48" s="245"/>
      <c r="N48" s="245">
        <v>33403</v>
      </c>
      <c r="O48" s="245">
        <v>9891</v>
      </c>
      <c r="P48" s="245"/>
      <c r="Q48" s="245"/>
      <c r="R48" s="245"/>
      <c r="S48" s="245">
        <v>38970</v>
      </c>
      <c r="T48" s="245"/>
      <c r="U48" s="245"/>
      <c r="V48" s="245">
        <v>22827</v>
      </c>
      <c r="W48" s="245"/>
      <c r="X48" s="245"/>
      <c r="Y48" s="245"/>
      <c r="Z48" s="245"/>
      <c r="AA48" s="245"/>
      <c r="AB48" s="245"/>
      <c r="AC48" s="245">
        <v>4260</v>
      </c>
      <c r="AD48" s="245"/>
      <c r="AE48" s="245"/>
      <c r="AF48" s="245"/>
      <c r="AG48" s="245"/>
      <c r="AH48" s="245"/>
      <c r="AI48" s="245"/>
      <c r="AJ48" s="245"/>
      <c r="AK48" s="75"/>
      <c r="AL48" s="75"/>
      <c r="AM48" s="75"/>
    </row>
    <row r="49" spans="1:39" s="7" customFormat="1" ht="18.600000000000001" thickBot="1" x14ac:dyDescent="0.4">
      <c r="A49" s="228" t="s">
        <v>44</v>
      </c>
      <c r="B49" s="51" t="s">
        <v>222</v>
      </c>
      <c r="C49" s="243">
        <v>222606.69697642687</v>
      </c>
      <c r="D49" s="286"/>
      <c r="E49" s="243"/>
      <c r="F49" s="243">
        <f t="shared" si="1"/>
        <v>222607</v>
      </c>
      <c r="G49" s="243">
        <f t="shared" si="3"/>
        <v>0</v>
      </c>
      <c r="H49" s="245"/>
      <c r="I49" s="245"/>
      <c r="J49" s="245"/>
      <c r="K49" s="245">
        <v>16025</v>
      </c>
      <c r="L49" s="245"/>
      <c r="M49" s="245"/>
      <c r="N49" s="245"/>
      <c r="O49" s="245">
        <v>82294</v>
      </c>
      <c r="P49" s="245"/>
      <c r="Q49" s="245"/>
      <c r="R49" s="245"/>
      <c r="S49" s="245">
        <v>63685</v>
      </c>
      <c r="T49" s="245"/>
      <c r="U49" s="245"/>
      <c r="V49" s="245"/>
      <c r="W49" s="245"/>
      <c r="X49" s="245"/>
      <c r="Y49" s="245">
        <v>58187</v>
      </c>
      <c r="Z49" s="245"/>
      <c r="AA49" s="245"/>
      <c r="AB49" s="245">
        <v>2416</v>
      </c>
      <c r="AC49" s="245"/>
      <c r="AD49" s="245"/>
      <c r="AE49" s="245"/>
      <c r="AF49" s="245"/>
      <c r="AG49" s="245"/>
      <c r="AH49" s="245"/>
      <c r="AI49" s="245"/>
      <c r="AJ49" s="245"/>
      <c r="AK49" s="75"/>
      <c r="AL49" s="75"/>
      <c r="AM49" s="75"/>
    </row>
    <row r="50" spans="1:39" s="7" customFormat="1" ht="18.600000000000001" thickBot="1" x14ac:dyDescent="0.4">
      <c r="A50" s="228" t="s">
        <v>45</v>
      </c>
      <c r="B50" s="51" t="s">
        <v>223</v>
      </c>
      <c r="C50" s="243">
        <v>108272.19044249448</v>
      </c>
      <c r="D50" s="286"/>
      <c r="E50" s="243"/>
      <c r="F50" s="243">
        <f t="shared" si="1"/>
        <v>108272</v>
      </c>
      <c r="G50" s="243">
        <f t="shared" si="3"/>
        <v>0</v>
      </c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>
        <v>108272</v>
      </c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75"/>
      <c r="AL50" s="75"/>
      <c r="AM50" s="75"/>
    </row>
    <row r="51" spans="1:39" s="7" customFormat="1" ht="18.600000000000001" thickBot="1" x14ac:dyDescent="0.4">
      <c r="A51" s="228" t="s">
        <v>46</v>
      </c>
      <c r="B51" s="51" t="s">
        <v>224</v>
      </c>
      <c r="C51" s="243">
        <v>857065.18497076328</v>
      </c>
      <c r="D51" s="286"/>
      <c r="E51" s="243"/>
      <c r="F51" s="243">
        <f t="shared" si="1"/>
        <v>857065</v>
      </c>
      <c r="G51" s="243">
        <f t="shared" si="3"/>
        <v>0</v>
      </c>
      <c r="H51" s="245"/>
      <c r="I51" s="245"/>
      <c r="J51" s="245"/>
      <c r="K51" s="245"/>
      <c r="L51" s="245">
        <v>12085</v>
      </c>
      <c r="M51" s="245">
        <v>162717</v>
      </c>
      <c r="N51" s="245">
        <v>39074</v>
      </c>
      <c r="O51" s="245">
        <v>121935</v>
      </c>
      <c r="P51" s="245"/>
      <c r="Q51" s="245">
        <v>128487</v>
      </c>
      <c r="R51" s="245">
        <v>5112</v>
      </c>
      <c r="S51" s="245">
        <v>131355</v>
      </c>
      <c r="T51" s="245">
        <v>171333</v>
      </c>
      <c r="U51" s="245">
        <v>4395</v>
      </c>
      <c r="V51" s="245"/>
      <c r="W51" s="245"/>
      <c r="X51" s="245"/>
      <c r="Y51" s="245"/>
      <c r="Z51" s="245"/>
      <c r="AA51" s="245">
        <v>56053</v>
      </c>
      <c r="AB51" s="245">
        <v>7388</v>
      </c>
      <c r="AC51" s="245">
        <v>17131</v>
      </c>
      <c r="AD51" s="245"/>
      <c r="AE51" s="245"/>
      <c r="AF51" s="245"/>
      <c r="AG51" s="245"/>
      <c r="AH51" s="245"/>
      <c r="AI51" s="245"/>
      <c r="AJ51" s="245"/>
      <c r="AK51" s="75"/>
      <c r="AL51" s="75"/>
      <c r="AM51" s="75"/>
    </row>
    <row r="52" spans="1:39" s="7" customFormat="1" ht="18.600000000000001" thickBot="1" x14ac:dyDescent="0.4">
      <c r="A52" s="228" t="s">
        <v>47</v>
      </c>
      <c r="B52" s="51" t="s">
        <v>225</v>
      </c>
      <c r="C52" s="243">
        <v>30670153.659281671</v>
      </c>
      <c r="D52" s="286"/>
      <c r="E52" s="243"/>
      <c r="F52" s="243">
        <f t="shared" si="1"/>
        <v>30670154</v>
      </c>
      <c r="G52" s="243">
        <f t="shared" si="3"/>
        <v>0</v>
      </c>
      <c r="H52" s="245"/>
      <c r="I52" s="245"/>
      <c r="J52" s="245"/>
      <c r="K52" s="245"/>
      <c r="L52" s="245"/>
      <c r="M52" s="245">
        <v>306778</v>
      </c>
      <c r="N52" s="245"/>
      <c r="O52" s="245">
        <v>4352092</v>
      </c>
      <c r="P52" s="245">
        <v>2216344</v>
      </c>
      <c r="Q52" s="245">
        <v>2403589</v>
      </c>
      <c r="R52" s="245">
        <v>4036110</v>
      </c>
      <c r="S52" s="245"/>
      <c r="T52" s="245">
        <v>2623906</v>
      </c>
      <c r="U52" s="245"/>
      <c r="V52" s="245">
        <v>10912406</v>
      </c>
      <c r="W52" s="245"/>
      <c r="X52" s="245"/>
      <c r="Y52" s="245">
        <v>3818929</v>
      </c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75"/>
      <c r="AL52" s="75"/>
      <c r="AM52" s="75"/>
    </row>
    <row r="53" spans="1:39" s="7" customFormat="1" ht="18.600000000000001" thickBot="1" x14ac:dyDescent="0.4">
      <c r="A53" s="228" t="s">
        <v>48</v>
      </c>
      <c r="B53" s="51" t="s">
        <v>226</v>
      </c>
      <c r="C53" s="243">
        <v>34809.713089319644</v>
      </c>
      <c r="D53" s="286"/>
      <c r="E53" s="243"/>
      <c r="F53" s="243">
        <f t="shared" si="1"/>
        <v>34810</v>
      </c>
      <c r="G53" s="243">
        <f t="shared" si="3"/>
        <v>0</v>
      </c>
      <c r="H53" s="245"/>
      <c r="I53" s="245"/>
      <c r="J53" s="245"/>
      <c r="K53" s="245"/>
      <c r="L53" s="245"/>
      <c r="M53" s="245">
        <v>4800</v>
      </c>
      <c r="N53" s="245"/>
      <c r="O53" s="245"/>
      <c r="P53" s="245">
        <v>23000</v>
      </c>
      <c r="Q53" s="245"/>
      <c r="R53" s="245">
        <v>7010</v>
      </c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75"/>
      <c r="AL53" s="75"/>
      <c r="AM53" s="75"/>
    </row>
    <row r="54" spans="1:39" s="7" customFormat="1" ht="18.600000000000001" thickBot="1" x14ac:dyDescent="0.4">
      <c r="A54" s="228" t="s">
        <v>49</v>
      </c>
      <c r="B54" s="51" t="s">
        <v>227</v>
      </c>
      <c r="C54" s="243">
        <v>1669061.5334214489</v>
      </c>
      <c r="D54" s="286"/>
      <c r="E54" s="243"/>
      <c r="F54" s="243">
        <f t="shared" si="1"/>
        <v>1669062</v>
      </c>
      <c r="G54" s="243">
        <f t="shared" si="3"/>
        <v>0</v>
      </c>
      <c r="H54" s="245"/>
      <c r="I54" s="245"/>
      <c r="J54" s="245"/>
      <c r="K54" s="245">
        <v>188509</v>
      </c>
      <c r="L54" s="245">
        <v>53879</v>
      </c>
      <c r="M54" s="245">
        <v>97630</v>
      </c>
      <c r="N54" s="245">
        <v>224254</v>
      </c>
      <c r="O54" s="245"/>
      <c r="P54" s="245">
        <v>280698</v>
      </c>
      <c r="Q54" s="245">
        <v>153508</v>
      </c>
      <c r="R54" s="245">
        <v>109037</v>
      </c>
      <c r="S54" s="245">
        <v>233082</v>
      </c>
      <c r="T54" s="245">
        <v>73066</v>
      </c>
      <c r="U54" s="245"/>
      <c r="V54" s="245">
        <v>209709</v>
      </c>
      <c r="W54" s="245"/>
      <c r="X54" s="245"/>
      <c r="Y54" s="245">
        <v>45690</v>
      </c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75"/>
      <c r="AL54" s="75"/>
      <c r="AM54" s="75"/>
    </row>
    <row r="55" spans="1:39" s="7" customFormat="1" ht="18.600000000000001" thickBot="1" x14ac:dyDescent="0.4">
      <c r="A55" s="228" t="s">
        <v>50</v>
      </c>
      <c r="B55" s="51" t="s">
        <v>228</v>
      </c>
      <c r="C55" s="243">
        <v>712160.61198798008</v>
      </c>
      <c r="D55" s="286"/>
      <c r="E55" s="243"/>
      <c r="F55" s="243">
        <f t="shared" si="1"/>
        <v>712161</v>
      </c>
      <c r="G55" s="243">
        <f t="shared" si="3"/>
        <v>0</v>
      </c>
      <c r="H55" s="245"/>
      <c r="I55" s="245"/>
      <c r="J55" s="245"/>
      <c r="K55" s="245"/>
      <c r="L55" s="245"/>
      <c r="M55" s="245">
        <v>92800</v>
      </c>
      <c r="N55" s="245"/>
      <c r="O55" s="245"/>
      <c r="P55" s="245"/>
      <c r="Q55" s="245"/>
      <c r="R55" s="245">
        <v>267568</v>
      </c>
      <c r="S55" s="245"/>
      <c r="T55" s="245"/>
      <c r="U55" s="245">
        <f>140859+121726+4230</f>
        <v>266815</v>
      </c>
      <c r="V55" s="245"/>
      <c r="W55" s="245">
        <v>9988</v>
      </c>
      <c r="X55" s="245"/>
      <c r="Y55" s="245"/>
      <c r="Z55" s="245"/>
      <c r="AA55" s="245"/>
      <c r="AB55" s="245">
        <v>74990</v>
      </c>
      <c r="AC55" s="245"/>
      <c r="AD55" s="245"/>
      <c r="AE55" s="245"/>
      <c r="AF55" s="245"/>
      <c r="AG55" s="245"/>
      <c r="AH55" s="245"/>
      <c r="AI55" s="245"/>
      <c r="AJ55" s="245"/>
      <c r="AK55" s="75"/>
      <c r="AL55" s="75"/>
      <c r="AM55" s="75"/>
    </row>
    <row r="56" spans="1:39" s="7" customFormat="1" ht="18.600000000000001" thickBot="1" x14ac:dyDescent="0.4">
      <c r="A56" s="228" t="s">
        <v>51</v>
      </c>
      <c r="B56" s="51" t="s">
        <v>229</v>
      </c>
      <c r="C56" s="243">
        <v>156147.61733319837</v>
      </c>
      <c r="D56" s="286"/>
      <c r="E56" s="243"/>
      <c r="F56" s="243">
        <f t="shared" si="1"/>
        <v>156148</v>
      </c>
      <c r="G56" s="243">
        <f t="shared" si="3"/>
        <v>0</v>
      </c>
      <c r="H56" s="245"/>
      <c r="I56" s="245"/>
      <c r="J56" s="245"/>
      <c r="K56" s="245"/>
      <c r="L56" s="245"/>
      <c r="M56" s="245"/>
      <c r="N56" s="245"/>
      <c r="O56" s="245">
        <v>82579</v>
      </c>
      <c r="P56" s="245">
        <v>13249</v>
      </c>
      <c r="Q56" s="245"/>
      <c r="R56" s="245">
        <v>26873</v>
      </c>
      <c r="S56" s="245">
        <v>33447</v>
      </c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75"/>
      <c r="AL56" s="75"/>
      <c r="AM56" s="75"/>
    </row>
    <row r="57" spans="1:39" s="7" customFormat="1" ht="18.600000000000001" thickBot="1" x14ac:dyDescent="0.4">
      <c r="A57" s="228" t="s">
        <v>52</v>
      </c>
      <c r="B57" s="51" t="s">
        <v>230</v>
      </c>
      <c r="C57" s="243">
        <v>25188</v>
      </c>
      <c r="D57" s="286">
        <v>9025</v>
      </c>
      <c r="E57" s="243">
        <f>IF(ISBLANK(D57),,C57)</f>
        <v>25188</v>
      </c>
      <c r="F57" s="243">
        <f t="shared" si="1"/>
        <v>0</v>
      </c>
      <c r="G57" s="243">
        <f t="shared" si="3"/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75"/>
      <c r="AL57" s="75"/>
      <c r="AM57" s="75"/>
    </row>
    <row r="58" spans="1:39" s="7" customFormat="1" ht="18.600000000000001" thickBot="1" x14ac:dyDescent="0.4">
      <c r="A58" s="228" t="s">
        <v>53</v>
      </c>
      <c r="B58" s="51" t="s">
        <v>231</v>
      </c>
      <c r="C58" s="243">
        <v>72620.6055565969</v>
      </c>
      <c r="D58" s="286"/>
      <c r="E58" s="243"/>
      <c r="F58" s="243">
        <f t="shared" si="1"/>
        <v>72621</v>
      </c>
      <c r="G58" s="243">
        <f t="shared" si="3"/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>
        <v>72621</v>
      </c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75"/>
      <c r="AL58" s="75"/>
      <c r="AM58" s="75"/>
    </row>
    <row r="59" spans="1:39" s="7" customFormat="1" ht="18.600000000000001" thickBot="1" x14ac:dyDescent="0.4">
      <c r="A59" s="228" t="s">
        <v>54</v>
      </c>
      <c r="B59" s="51" t="s">
        <v>232</v>
      </c>
      <c r="C59" s="243">
        <v>21179.288923055239</v>
      </c>
      <c r="D59" s="286"/>
      <c r="E59" s="243"/>
      <c r="F59" s="243">
        <f t="shared" si="1"/>
        <v>21179</v>
      </c>
      <c r="G59" s="243">
        <f t="shared" si="3"/>
        <v>0</v>
      </c>
      <c r="H59" s="245"/>
      <c r="I59" s="245"/>
      <c r="J59" s="245"/>
      <c r="K59" s="245"/>
      <c r="L59" s="245"/>
      <c r="M59" s="245"/>
      <c r="N59" s="245">
        <v>12704</v>
      </c>
      <c r="O59" s="245"/>
      <c r="P59" s="245"/>
      <c r="Q59" s="245"/>
      <c r="R59" s="245">
        <v>8470</v>
      </c>
      <c r="S59" s="245"/>
      <c r="T59" s="245"/>
      <c r="U59" s="245"/>
      <c r="V59" s="245"/>
      <c r="W59" s="245"/>
      <c r="X59" s="245"/>
      <c r="Y59" s="245"/>
      <c r="Z59" s="245"/>
      <c r="AA59" s="245">
        <v>5</v>
      </c>
      <c r="AB59" s="245"/>
      <c r="AC59" s="245"/>
      <c r="AD59" s="245"/>
      <c r="AE59" s="245"/>
      <c r="AF59" s="245"/>
      <c r="AG59" s="245"/>
      <c r="AH59" s="245"/>
      <c r="AI59" s="245"/>
      <c r="AJ59" s="245"/>
      <c r="AK59" s="75"/>
      <c r="AL59" s="75"/>
      <c r="AM59" s="75"/>
    </row>
    <row r="60" spans="1:39" s="7" customFormat="1" ht="18.600000000000001" thickBot="1" x14ac:dyDescent="0.4">
      <c r="A60" s="228" t="s">
        <v>55</v>
      </c>
      <c r="B60" s="51" t="s">
        <v>233</v>
      </c>
      <c r="C60" s="243">
        <v>2355</v>
      </c>
      <c r="D60" s="286">
        <v>9025</v>
      </c>
      <c r="E60" s="243">
        <f>IF(ISBLANK(D60),,C60)</f>
        <v>2355</v>
      </c>
      <c r="F60" s="243">
        <f t="shared" si="1"/>
        <v>0</v>
      </c>
      <c r="G60" s="243">
        <f t="shared" si="3"/>
        <v>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75"/>
      <c r="AL60" s="75"/>
      <c r="AM60" s="75"/>
    </row>
    <row r="61" spans="1:39" s="7" customFormat="1" ht="18.600000000000001" thickBot="1" x14ac:dyDescent="0.4">
      <c r="A61" s="228" t="s">
        <v>56</v>
      </c>
      <c r="B61" s="51" t="s">
        <v>234</v>
      </c>
      <c r="C61" s="243">
        <v>88224.638529444026</v>
      </c>
      <c r="D61" s="286"/>
      <c r="E61" s="243"/>
      <c r="F61" s="243">
        <f t="shared" si="1"/>
        <v>72797</v>
      </c>
      <c r="G61" s="243">
        <f t="shared" si="3"/>
        <v>15428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>
        <v>40737</v>
      </c>
      <c r="S61" s="245"/>
      <c r="T61" s="245"/>
      <c r="U61" s="245">
        <v>28708</v>
      </c>
      <c r="V61" s="245"/>
      <c r="W61" s="245"/>
      <c r="X61" s="245"/>
      <c r="Y61" s="245">
        <v>3352</v>
      </c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75"/>
      <c r="AL61" s="75"/>
      <c r="AM61" s="75"/>
    </row>
    <row r="62" spans="1:39" s="7" customFormat="1" ht="18.600000000000001" thickBot="1" x14ac:dyDescent="0.4">
      <c r="A62" s="228" t="s">
        <v>57</v>
      </c>
      <c r="B62" s="51" t="s">
        <v>235</v>
      </c>
      <c r="C62" s="243">
        <v>4315406.9496657392</v>
      </c>
      <c r="D62" s="286"/>
      <c r="E62" s="243"/>
      <c r="F62" s="243">
        <f t="shared" si="1"/>
        <v>4315407</v>
      </c>
      <c r="G62" s="243">
        <f t="shared" si="3"/>
        <v>0</v>
      </c>
      <c r="H62" s="245"/>
      <c r="I62" s="245"/>
      <c r="J62" s="245"/>
      <c r="K62" s="245">
        <v>413432</v>
      </c>
      <c r="L62" s="245"/>
      <c r="M62" s="245">
        <v>190974</v>
      </c>
      <c r="N62" s="245">
        <v>260635</v>
      </c>
      <c r="O62" s="245">
        <v>297379</v>
      </c>
      <c r="P62" s="245">
        <v>320374</v>
      </c>
      <c r="Q62" s="245">
        <v>385151</v>
      </c>
      <c r="R62" s="245">
        <v>309034</v>
      </c>
      <c r="S62" s="245">
        <v>377617</v>
      </c>
      <c r="T62" s="245"/>
      <c r="U62" s="245">
        <v>548620</v>
      </c>
      <c r="V62" s="245">
        <f>434773+256070+136435</f>
        <v>827278</v>
      </c>
      <c r="W62" s="245">
        <v>304843</v>
      </c>
      <c r="X62" s="245">
        <v>80070</v>
      </c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75"/>
      <c r="AL62" s="75"/>
      <c r="AM62" s="75"/>
    </row>
    <row r="63" spans="1:39" s="7" customFormat="1" ht="18.600000000000001" thickBot="1" x14ac:dyDescent="0.4">
      <c r="A63" s="228" t="s">
        <v>58</v>
      </c>
      <c r="B63" s="51" t="s">
        <v>236</v>
      </c>
      <c r="C63" s="243">
        <v>1402187.3663143176</v>
      </c>
      <c r="D63" s="286"/>
      <c r="E63" s="243"/>
      <c r="F63" s="243">
        <f t="shared" si="1"/>
        <v>1402187</v>
      </c>
      <c r="G63" s="243">
        <f t="shared" si="3"/>
        <v>0</v>
      </c>
      <c r="H63" s="245"/>
      <c r="I63" s="245"/>
      <c r="J63" s="245"/>
      <c r="K63" s="245"/>
      <c r="L63" s="245">
        <v>125043</v>
      </c>
      <c r="M63" s="245">
        <v>121088</v>
      </c>
      <c r="N63" s="245"/>
      <c r="O63" s="245">
        <v>232357</v>
      </c>
      <c r="P63" s="245"/>
      <c r="Q63" s="245">
        <v>111377</v>
      </c>
      <c r="R63" s="245">
        <v>224850</v>
      </c>
      <c r="S63" s="245">
        <v>109506</v>
      </c>
      <c r="T63" s="245"/>
      <c r="U63" s="245"/>
      <c r="V63" s="245">
        <v>417546</v>
      </c>
      <c r="W63" s="245"/>
      <c r="X63" s="245"/>
      <c r="Y63" s="245">
        <v>60420</v>
      </c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75"/>
      <c r="AL63" s="75"/>
      <c r="AM63" s="75"/>
    </row>
    <row r="64" spans="1:39" s="7" customFormat="1" ht="18.600000000000001" thickBot="1" x14ac:dyDescent="0.4">
      <c r="A64" s="228" t="s">
        <v>59</v>
      </c>
      <c r="B64" s="51" t="s">
        <v>237</v>
      </c>
      <c r="C64" s="243">
        <v>1810416.3581421287</v>
      </c>
      <c r="D64" s="286"/>
      <c r="E64" s="243"/>
      <c r="F64" s="243">
        <f t="shared" si="1"/>
        <v>1810416</v>
      </c>
      <c r="G64" s="243">
        <f t="shared" si="3"/>
        <v>0</v>
      </c>
      <c r="H64" s="245"/>
      <c r="I64" s="245"/>
      <c r="J64" s="245">
        <v>38326</v>
      </c>
      <c r="K64" s="245">
        <f>51072+90464</f>
        <v>141536</v>
      </c>
      <c r="L64" s="245">
        <v>122136</v>
      </c>
      <c r="M64" s="245">
        <v>117627</v>
      </c>
      <c r="N64" s="245">
        <v>121217</v>
      </c>
      <c r="O64" s="245">
        <v>120710</v>
      </c>
      <c r="P64" s="245">
        <v>126686</v>
      </c>
      <c r="Q64" s="245">
        <v>135149</v>
      </c>
      <c r="R64" s="245">
        <v>150252</v>
      </c>
      <c r="S64" s="245">
        <v>480687</v>
      </c>
      <c r="T64" s="245"/>
      <c r="U64" s="245"/>
      <c r="V64" s="245"/>
      <c r="W64" s="245">
        <v>256090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75"/>
      <c r="AL64" s="75"/>
      <c r="AM64" s="75"/>
    </row>
    <row r="65" spans="1:39" s="7" customFormat="1" ht="18.600000000000001" thickBot="1" x14ac:dyDescent="0.4">
      <c r="A65" s="228" t="s">
        <v>60</v>
      </c>
      <c r="B65" s="51" t="s">
        <v>238</v>
      </c>
      <c r="C65" s="243">
        <v>7573219.6737790415</v>
      </c>
      <c r="D65" s="286"/>
      <c r="E65" s="243"/>
      <c r="F65" s="243">
        <f t="shared" si="1"/>
        <v>7573220</v>
      </c>
      <c r="G65" s="243">
        <f t="shared" si="3"/>
        <v>0</v>
      </c>
      <c r="H65" s="245"/>
      <c r="I65" s="245"/>
      <c r="J65" s="245"/>
      <c r="K65" s="245">
        <v>861361</v>
      </c>
      <c r="L65" s="245"/>
      <c r="M65" s="245">
        <v>197255</v>
      </c>
      <c r="N65" s="245">
        <v>570698</v>
      </c>
      <c r="O65" s="245"/>
      <c r="P65" s="245">
        <v>1403666</v>
      </c>
      <c r="Q65" s="245">
        <v>522038</v>
      </c>
      <c r="R65" s="245">
        <v>945218</v>
      </c>
      <c r="S65" s="245">
        <v>902592</v>
      </c>
      <c r="T65" s="245">
        <v>139759</v>
      </c>
      <c r="U65" s="245">
        <v>1065899</v>
      </c>
      <c r="V65" s="245"/>
      <c r="W65" s="245">
        <v>954265</v>
      </c>
      <c r="X65" s="245">
        <v>10469</v>
      </c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75"/>
      <c r="AL65" s="75"/>
      <c r="AM65" s="75"/>
    </row>
    <row r="66" spans="1:39" s="7" customFormat="1" ht="18.600000000000001" thickBot="1" x14ac:dyDescent="0.4">
      <c r="A66" s="228" t="s">
        <v>61</v>
      </c>
      <c r="B66" s="51" t="s">
        <v>239</v>
      </c>
      <c r="C66" s="243">
        <v>194252.89574797469</v>
      </c>
      <c r="D66" s="286"/>
      <c r="E66" s="243"/>
      <c r="F66" s="243">
        <f t="shared" si="1"/>
        <v>194253</v>
      </c>
      <c r="G66" s="243">
        <f t="shared" si="3"/>
        <v>0</v>
      </c>
      <c r="H66" s="245"/>
      <c r="I66" s="245"/>
      <c r="J66" s="245"/>
      <c r="K66" s="245"/>
      <c r="L66" s="245"/>
      <c r="M66" s="245"/>
      <c r="N66" s="245"/>
      <c r="O66" s="245"/>
      <c r="P66" s="245"/>
      <c r="Q66" s="245">
        <v>55472</v>
      </c>
      <c r="R66" s="245"/>
      <c r="S66" s="245">
        <v>120346</v>
      </c>
      <c r="T66" s="245"/>
      <c r="U66" s="245"/>
      <c r="V66" s="245"/>
      <c r="W66" s="245">
        <v>18215</v>
      </c>
      <c r="X66" s="245"/>
      <c r="Y66" s="245"/>
      <c r="Z66" s="245"/>
      <c r="AA66" s="245"/>
      <c r="AB66" s="245"/>
      <c r="AC66" s="245"/>
      <c r="AD66" s="245"/>
      <c r="AE66" s="245"/>
      <c r="AF66" s="245">
        <v>220</v>
      </c>
      <c r="AG66" s="245"/>
      <c r="AH66" s="245"/>
      <c r="AI66" s="245"/>
      <c r="AJ66" s="245"/>
      <c r="AK66" s="75"/>
      <c r="AL66" s="75"/>
      <c r="AM66" s="75"/>
    </row>
    <row r="67" spans="1:39" s="7" customFormat="1" ht="18.600000000000001" thickBot="1" x14ac:dyDescent="0.4">
      <c r="A67" s="228" t="s">
        <v>62</v>
      </c>
      <c r="B67" s="51" t="s">
        <v>240</v>
      </c>
      <c r="C67" s="243">
        <v>177470.51061058714</v>
      </c>
      <c r="D67" s="286"/>
      <c r="E67" s="243"/>
      <c r="F67" s="243">
        <f t="shared" si="1"/>
        <v>177471</v>
      </c>
      <c r="G67" s="243">
        <f t="shared" si="3"/>
        <v>0</v>
      </c>
      <c r="H67" s="245"/>
      <c r="I67" s="245"/>
      <c r="J67" s="245"/>
      <c r="K67" s="245"/>
      <c r="L67" s="245"/>
      <c r="M67" s="245"/>
      <c r="N67" s="245"/>
      <c r="O67" s="245"/>
      <c r="P67" s="245">
        <v>35288</v>
      </c>
      <c r="Q67" s="245"/>
      <c r="R67" s="245"/>
      <c r="S67" s="245">
        <v>60856</v>
      </c>
      <c r="T67" s="245"/>
      <c r="U67" s="245"/>
      <c r="V67" s="245"/>
      <c r="W67" s="245"/>
      <c r="X67" s="245"/>
      <c r="Y67" s="245"/>
      <c r="Z67" s="245"/>
      <c r="AA67" s="245"/>
      <c r="AB67" s="245">
        <v>81327</v>
      </c>
      <c r="AC67" s="245"/>
      <c r="AD67" s="245"/>
      <c r="AE67" s="245"/>
      <c r="AF67" s="245"/>
      <c r="AG67" s="245"/>
      <c r="AH67" s="245"/>
      <c r="AI67" s="245"/>
      <c r="AJ67" s="245"/>
      <c r="AK67" s="75"/>
      <c r="AL67" s="75"/>
      <c r="AM67" s="75"/>
    </row>
    <row r="68" spans="1:39" s="7" customFormat="1" ht="18.600000000000001" thickBot="1" x14ac:dyDescent="0.4">
      <c r="A68" s="228" t="s">
        <v>63</v>
      </c>
      <c r="B68" s="51" t="s">
        <v>241</v>
      </c>
      <c r="C68" s="243">
        <v>1029901.0693132799</v>
      </c>
      <c r="D68" s="286"/>
      <c r="E68" s="243"/>
      <c r="F68" s="243">
        <f t="shared" si="1"/>
        <v>1029901</v>
      </c>
      <c r="G68" s="243">
        <f t="shared" si="3"/>
        <v>0</v>
      </c>
      <c r="H68" s="245"/>
      <c r="I68" s="245"/>
      <c r="J68" s="245"/>
      <c r="K68" s="245"/>
      <c r="L68" s="245"/>
      <c r="M68" s="245"/>
      <c r="N68" s="245">
        <v>144618</v>
      </c>
      <c r="O68" s="245"/>
      <c r="P68" s="245">
        <v>193805</v>
      </c>
      <c r="Q68" s="245">
        <v>166148</v>
      </c>
      <c r="R68" s="245"/>
      <c r="S68" s="245">
        <v>177406</v>
      </c>
      <c r="T68" s="245"/>
      <c r="U68" s="245">
        <f>96988+74745</f>
        <v>171733</v>
      </c>
      <c r="V68" s="245">
        <v>63651</v>
      </c>
      <c r="W68" s="245"/>
      <c r="X68" s="245">
        <v>65984</v>
      </c>
      <c r="Y68" s="245"/>
      <c r="Z68" s="245"/>
      <c r="AA68" s="245">
        <v>46556</v>
      </c>
      <c r="AB68" s="245"/>
      <c r="AC68" s="245"/>
      <c r="AD68" s="245"/>
      <c r="AE68" s="245"/>
      <c r="AF68" s="245"/>
      <c r="AG68" s="245"/>
      <c r="AH68" s="245"/>
      <c r="AI68" s="245"/>
      <c r="AJ68" s="245"/>
      <c r="AK68" s="75"/>
      <c r="AL68" s="75"/>
      <c r="AM68" s="75"/>
    </row>
    <row r="69" spans="1:39" s="7" customFormat="1" ht="18.600000000000001" thickBot="1" x14ac:dyDescent="0.4">
      <c r="A69" s="228" t="s">
        <v>64</v>
      </c>
      <c r="B69" s="51" t="s">
        <v>242</v>
      </c>
      <c r="C69" s="243">
        <v>164040.83404359693</v>
      </c>
      <c r="D69" s="286"/>
      <c r="E69" s="243"/>
      <c r="F69" s="243">
        <f t="shared" si="1"/>
        <v>164041</v>
      </c>
      <c r="G69" s="243">
        <f t="shared" si="3"/>
        <v>0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>
        <v>159702</v>
      </c>
      <c r="R69" s="245"/>
      <c r="S69" s="245"/>
      <c r="T69" s="245"/>
      <c r="U69" s="245"/>
      <c r="V69" s="245"/>
      <c r="W69" s="245"/>
      <c r="X69" s="245"/>
      <c r="Y69" s="245"/>
      <c r="Z69" s="245"/>
      <c r="AA69" s="245">
        <v>4339</v>
      </c>
      <c r="AB69" s="245"/>
      <c r="AC69" s="245"/>
      <c r="AD69" s="245"/>
      <c r="AE69" s="245"/>
      <c r="AF69" s="245"/>
      <c r="AG69" s="245"/>
      <c r="AH69" s="245"/>
      <c r="AI69" s="245"/>
      <c r="AJ69" s="245"/>
      <c r="AK69" s="75"/>
      <c r="AL69" s="75"/>
      <c r="AM69" s="75"/>
    </row>
    <row r="70" spans="1:39" s="7" customFormat="1" ht="18.600000000000001" thickBot="1" x14ac:dyDescent="0.4">
      <c r="A70" s="228" t="s">
        <v>65</v>
      </c>
      <c r="B70" s="51" t="s">
        <v>243</v>
      </c>
      <c r="C70" s="243">
        <v>132061.56960165332</v>
      </c>
      <c r="D70" s="286"/>
      <c r="E70" s="243"/>
      <c r="F70" s="243">
        <f t="shared" si="1"/>
        <v>132062</v>
      </c>
      <c r="G70" s="243">
        <f t="shared" si="3"/>
        <v>0</v>
      </c>
      <c r="H70" s="245"/>
      <c r="I70" s="245"/>
      <c r="J70" s="245"/>
      <c r="K70" s="245"/>
      <c r="L70" s="245"/>
      <c r="M70" s="245">
        <v>48557</v>
      </c>
      <c r="N70" s="245"/>
      <c r="O70" s="247"/>
      <c r="P70" s="245">
        <v>77017</v>
      </c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>
        <v>6488</v>
      </c>
      <c r="AB70" s="245"/>
      <c r="AC70" s="245"/>
      <c r="AD70" s="245"/>
      <c r="AE70" s="245"/>
      <c r="AF70" s="245"/>
      <c r="AG70" s="245"/>
      <c r="AH70" s="245"/>
      <c r="AI70" s="245"/>
      <c r="AJ70" s="245"/>
      <c r="AK70" s="75"/>
      <c r="AL70" s="75"/>
      <c r="AM70" s="75"/>
    </row>
    <row r="71" spans="1:39" s="7" customFormat="1" ht="18.600000000000001" thickBot="1" x14ac:dyDescent="0.4">
      <c r="A71" s="228" t="s">
        <v>66</v>
      </c>
      <c r="B71" s="51" t="s">
        <v>244</v>
      </c>
      <c r="C71" s="243">
        <v>43794.902729080008</v>
      </c>
      <c r="D71" s="286"/>
      <c r="E71" s="243"/>
      <c r="F71" s="243">
        <f t="shared" si="1"/>
        <v>43795</v>
      </c>
      <c r="G71" s="243">
        <f t="shared" si="3"/>
        <v>0</v>
      </c>
      <c r="H71" s="245"/>
      <c r="I71" s="245"/>
      <c r="J71" s="245"/>
      <c r="K71" s="245">
        <v>3752</v>
      </c>
      <c r="L71" s="245">
        <v>7501</v>
      </c>
      <c r="M71" s="245">
        <v>3771</v>
      </c>
      <c r="N71" s="245">
        <v>3795</v>
      </c>
      <c r="O71" s="245">
        <v>3795</v>
      </c>
      <c r="P71" s="245"/>
      <c r="Q71" s="245">
        <f>3795+3795</f>
        <v>7590</v>
      </c>
      <c r="R71" s="245">
        <v>3795</v>
      </c>
      <c r="S71" s="245">
        <v>3795</v>
      </c>
      <c r="T71" s="245"/>
      <c r="U71" s="245">
        <f>3795+2171</f>
        <v>5966</v>
      </c>
      <c r="V71" s="245"/>
      <c r="W71" s="245"/>
      <c r="X71" s="245">
        <v>35</v>
      </c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75"/>
      <c r="AL71" s="75"/>
      <c r="AM71" s="75"/>
    </row>
    <row r="72" spans="1:39" s="7" customFormat="1" ht="18.600000000000001" thickBot="1" x14ac:dyDescent="0.4">
      <c r="A72" s="228" t="s">
        <v>67</v>
      </c>
      <c r="B72" s="51" t="s">
        <v>245</v>
      </c>
      <c r="C72" s="243">
        <v>263492.47079313768</v>
      </c>
      <c r="D72" s="286"/>
      <c r="E72" s="243"/>
      <c r="F72" s="243">
        <f t="shared" si="1"/>
        <v>263492</v>
      </c>
      <c r="G72" s="243">
        <f t="shared" si="3"/>
        <v>0</v>
      </c>
      <c r="H72" s="245"/>
      <c r="I72" s="245"/>
      <c r="J72" s="245"/>
      <c r="K72" s="245"/>
      <c r="L72" s="245"/>
      <c r="M72" s="245">
        <v>38094</v>
      </c>
      <c r="N72" s="245"/>
      <c r="O72" s="245"/>
      <c r="P72" s="245">
        <v>64074</v>
      </c>
      <c r="Q72" s="245">
        <v>21992</v>
      </c>
      <c r="R72" s="245"/>
      <c r="S72" s="245">
        <v>40599</v>
      </c>
      <c r="T72" s="245">
        <v>18042</v>
      </c>
      <c r="U72" s="245">
        <v>32537</v>
      </c>
      <c r="V72" s="245">
        <v>1857</v>
      </c>
      <c r="W72" s="245"/>
      <c r="X72" s="245"/>
      <c r="Y72" s="245">
        <v>40799</v>
      </c>
      <c r="Z72" s="245"/>
      <c r="AA72" s="245">
        <v>5498</v>
      </c>
      <c r="AB72" s="245"/>
      <c r="AC72" s="245"/>
      <c r="AD72" s="245"/>
      <c r="AE72" s="245"/>
      <c r="AF72" s="245"/>
      <c r="AG72" s="245"/>
      <c r="AH72" s="245"/>
      <c r="AI72" s="245"/>
      <c r="AJ72" s="245"/>
      <c r="AK72" s="75"/>
      <c r="AL72" s="75"/>
      <c r="AM72" s="75"/>
    </row>
    <row r="73" spans="1:39" s="7" customFormat="1" ht="18.600000000000001" thickBot="1" x14ac:dyDescent="0.4">
      <c r="A73" s="228" t="s">
        <v>68</v>
      </c>
      <c r="B73" s="51" t="s">
        <v>246</v>
      </c>
      <c r="C73" s="243">
        <v>1196029.3953747179</v>
      </c>
      <c r="D73" s="286"/>
      <c r="E73" s="243"/>
      <c r="F73" s="243">
        <f t="shared" si="1"/>
        <v>1196029</v>
      </c>
      <c r="G73" s="243">
        <f t="shared" si="3"/>
        <v>0</v>
      </c>
      <c r="H73" s="245"/>
      <c r="I73" s="245"/>
      <c r="J73" s="245"/>
      <c r="K73" s="245"/>
      <c r="L73" s="245"/>
      <c r="M73" s="245">
        <v>52115</v>
      </c>
      <c r="N73" s="245"/>
      <c r="O73" s="245">
        <v>202970</v>
      </c>
      <c r="P73" s="245"/>
      <c r="Q73" s="245">
        <v>149603</v>
      </c>
      <c r="R73" s="245">
        <v>153927</v>
      </c>
      <c r="S73" s="245">
        <v>122400</v>
      </c>
      <c r="T73" s="245">
        <v>132317</v>
      </c>
      <c r="U73" s="245">
        <v>94346</v>
      </c>
      <c r="V73" s="245"/>
      <c r="W73" s="245">
        <v>60345</v>
      </c>
      <c r="X73" s="245"/>
      <c r="Y73" s="245"/>
      <c r="Z73" s="245"/>
      <c r="AA73" s="245">
        <v>94444</v>
      </c>
      <c r="AB73" s="245">
        <v>91628</v>
      </c>
      <c r="AC73" s="245">
        <v>41934</v>
      </c>
      <c r="AD73" s="245"/>
      <c r="AE73" s="245"/>
      <c r="AF73" s="245"/>
      <c r="AG73" s="245"/>
      <c r="AH73" s="245"/>
      <c r="AI73" s="245"/>
      <c r="AJ73" s="245"/>
      <c r="AK73" s="75"/>
      <c r="AL73" s="75"/>
      <c r="AM73" s="75"/>
    </row>
    <row r="74" spans="1:39" s="7" customFormat="1" ht="18.600000000000001" thickBot="1" x14ac:dyDescent="0.4">
      <c r="A74" s="228" t="s">
        <v>69</v>
      </c>
      <c r="B74" s="51" t="s">
        <v>247</v>
      </c>
      <c r="C74" s="243">
        <v>24553.030237748953</v>
      </c>
      <c r="D74" s="286"/>
      <c r="E74" s="243"/>
      <c r="F74" s="243">
        <f t="shared" si="1"/>
        <v>24553</v>
      </c>
      <c r="G74" s="243">
        <f t="shared" si="3"/>
        <v>0</v>
      </c>
      <c r="H74" s="245"/>
      <c r="I74" s="245"/>
      <c r="J74" s="245"/>
      <c r="K74" s="245"/>
      <c r="L74" s="245"/>
      <c r="M74" s="245"/>
      <c r="N74" s="245"/>
      <c r="O74" s="245">
        <v>17325</v>
      </c>
      <c r="P74" s="245"/>
      <c r="Q74" s="245"/>
      <c r="R74" s="245">
        <v>7228</v>
      </c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75"/>
      <c r="AL74" s="75"/>
      <c r="AM74" s="75"/>
    </row>
    <row r="75" spans="1:39" s="7" customFormat="1" ht="18.600000000000001" thickBot="1" x14ac:dyDescent="0.4">
      <c r="A75" s="228" t="s">
        <v>70</v>
      </c>
      <c r="B75" s="51" t="s">
        <v>248</v>
      </c>
      <c r="C75" s="243">
        <v>154358.34344995031</v>
      </c>
      <c r="D75" s="286"/>
      <c r="E75" s="243"/>
      <c r="F75" s="243">
        <f t="shared" si="1"/>
        <v>154358</v>
      </c>
      <c r="G75" s="243">
        <f t="shared" si="3"/>
        <v>0</v>
      </c>
      <c r="H75" s="245"/>
      <c r="I75" s="245"/>
      <c r="J75" s="245"/>
      <c r="K75" s="245"/>
      <c r="L75" s="245"/>
      <c r="M75" s="245"/>
      <c r="N75" s="245"/>
      <c r="O75" s="245"/>
      <c r="P75" s="245">
        <v>71267</v>
      </c>
      <c r="Q75" s="245"/>
      <c r="R75" s="245"/>
      <c r="S75" s="245">
        <f>39005+44086</f>
        <v>83091</v>
      </c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75"/>
      <c r="AL75" s="75"/>
      <c r="AM75" s="75"/>
    </row>
    <row r="76" spans="1:39" s="7" customFormat="1" ht="18.600000000000001" thickBot="1" x14ac:dyDescent="0.4">
      <c r="A76" s="228" t="s">
        <v>71</v>
      </c>
      <c r="B76" s="51" t="s">
        <v>249</v>
      </c>
      <c r="C76" s="243">
        <v>844752.00226858642</v>
      </c>
      <c r="D76" s="286"/>
      <c r="E76" s="243"/>
      <c r="F76" s="243">
        <f t="shared" si="1"/>
        <v>844752</v>
      </c>
      <c r="G76" s="243">
        <f t="shared" si="3"/>
        <v>0</v>
      </c>
      <c r="H76" s="245"/>
      <c r="I76" s="245"/>
      <c r="J76" s="245"/>
      <c r="K76" s="245"/>
      <c r="L76" s="245">
        <v>211170</v>
      </c>
      <c r="M76" s="245"/>
      <c r="N76" s="245"/>
      <c r="O76" s="245">
        <v>202830</v>
      </c>
      <c r="P76" s="245"/>
      <c r="Q76" s="245"/>
      <c r="R76" s="245">
        <v>195377</v>
      </c>
      <c r="S76" s="245">
        <v>115433</v>
      </c>
      <c r="T76" s="245"/>
      <c r="U76" s="245">
        <f>72410+20535</f>
        <v>92945</v>
      </c>
      <c r="V76" s="245"/>
      <c r="W76" s="245"/>
      <c r="X76" s="245"/>
      <c r="Y76" s="245">
        <v>26997</v>
      </c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75"/>
      <c r="AL76" s="75"/>
      <c r="AM76" s="75"/>
    </row>
    <row r="77" spans="1:39" s="7" customFormat="1" ht="18.600000000000001" thickBot="1" x14ac:dyDescent="0.4">
      <c r="A77" s="228" t="s">
        <v>72</v>
      </c>
      <c r="B77" s="51" t="s">
        <v>250</v>
      </c>
      <c r="C77" s="243">
        <v>408679.56957007298</v>
      </c>
      <c r="D77" s="286"/>
      <c r="E77" s="243"/>
      <c r="F77" s="243">
        <f t="shared" si="1"/>
        <v>408680</v>
      </c>
      <c r="G77" s="243">
        <f t="shared" si="3"/>
        <v>0</v>
      </c>
      <c r="H77" s="245"/>
      <c r="I77" s="245"/>
      <c r="J77" s="245"/>
      <c r="K77" s="245"/>
      <c r="L77" s="245"/>
      <c r="M77" s="245">
        <v>20834</v>
      </c>
      <c r="N77" s="245"/>
      <c r="O77" s="245">
        <v>100901</v>
      </c>
      <c r="P77" s="245">
        <v>32468</v>
      </c>
      <c r="Q77" s="245"/>
      <c r="R77" s="245"/>
      <c r="S77" s="245">
        <v>102068</v>
      </c>
      <c r="T77" s="245"/>
      <c r="U77" s="245">
        <f>26320+41550</f>
        <v>67870</v>
      </c>
      <c r="V77" s="245"/>
      <c r="W77" s="245">
        <f>37116+38481</f>
        <v>75597</v>
      </c>
      <c r="X77" s="245"/>
      <c r="Y77" s="245"/>
      <c r="Z77" s="245">
        <v>8942</v>
      </c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75"/>
      <c r="AL77" s="75"/>
      <c r="AM77" s="75"/>
    </row>
    <row r="78" spans="1:39" s="7" customFormat="1" ht="18.600000000000001" thickBot="1" x14ac:dyDescent="0.4">
      <c r="A78" s="228" t="s">
        <v>73</v>
      </c>
      <c r="B78" s="51" t="s">
        <v>251</v>
      </c>
      <c r="C78" s="243">
        <v>57364.933529010101</v>
      </c>
      <c r="D78" s="286"/>
      <c r="E78" s="243"/>
      <c r="F78" s="243">
        <f t="shared" ref="F78:F141" si="4">SUM(H78:AJ78)</f>
        <v>57365</v>
      </c>
      <c r="G78" s="243">
        <f t="shared" si="3"/>
        <v>0</v>
      </c>
      <c r="H78" s="245"/>
      <c r="I78" s="245"/>
      <c r="J78" s="245"/>
      <c r="K78" s="245"/>
      <c r="L78" s="245"/>
      <c r="M78" s="245"/>
      <c r="N78" s="245">
        <f>28623+28676</f>
        <v>57299</v>
      </c>
      <c r="O78" s="245">
        <v>-28676</v>
      </c>
      <c r="P78" s="245"/>
      <c r="Q78" s="245"/>
      <c r="R78" s="245"/>
      <c r="S78" s="245">
        <v>53</v>
      </c>
      <c r="T78" s="245">
        <v>28676</v>
      </c>
      <c r="U78" s="245"/>
      <c r="V78" s="245"/>
      <c r="W78" s="245"/>
      <c r="X78" s="245"/>
      <c r="Y78" s="245">
        <v>13</v>
      </c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75"/>
      <c r="AL78" s="75"/>
      <c r="AM78" s="75"/>
    </row>
    <row r="79" spans="1:39" s="7" customFormat="1" ht="18.600000000000001" thickBot="1" x14ac:dyDescent="0.4">
      <c r="A79" s="228" t="s">
        <v>74</v>
      </c>
      <c r="B79" s="51" t="s">
        <v>252</v>
      </c>
      <c r="C79" s="243">
        <v>533908.01402126835</v>
      </c>
      <c r="D79" s="286"/>
      <c r="E79" s="243"/>
      <c r="F79" s="243">
        <f t="shared" si="4"/>
        <v>533908</v>
      </c>
      <c r="G79" s="243">
        <f t="shared" si="3"/>
        <v>0</v>
      </c>
      <c r="H79" s="245"/>
      <c r="I79" s="245"/>
      <c r="J79" s="245"/>
      <c r="K79" s="245"/>
      <c r="L79" s="245"/>
      <c r="M79" s="245"/>
      <c r="N79" s="245">
        <v>211778</v>
      </c>
      <c r="O79" s="245"/>
      <c r="P79" s="245"/>
      <c r="Q79" s="245"/>
      <c r="R79" s="245">
        <v>138368</v>
      </c>
      <c r="S79" s="245"/>
      <c r="T79" s="245"/>
      <c r="U79" s="245"/>
      <c r="V79" s="245"/>
      <c r="W79" s="245">
        <v>142203</v>
      </c>
      <c r="X79" s="245"/>
      <c r="Y79" s="245"/>
      <c r="Z79" s="245"/>
      <c r="AA79" s="245">
        <v>41559</v>
      </c>
      <c r="AB79" s="245"/>
      <c r="AC79" s="245"/>
      <c r="AD79" s="245"/>
      <c r="AE79" s="245"/>
      <c r="AF79" s="245"/>
      <c r="AG79" s="245"/>
      <c r="AH79" s="245"/>
      <c r="AI79" s="245"/>
      <c r="AJ79" s="245"/>
      <c r="AK79" s="75"/>
      <c r="AL79" s="75"/>
      <c r="AM79" s="75"/>
    </row>
    <row r="80" spans="1:39" s="7" customFormat="1" ht="18.600000000000001" thickBot="1" x14ac:dyDescent="0.4">
      <c r="A80" s="228" t="s">
        <v>75</v>
      </c>
      <c r="B80" s="51" t="s">
        <v>253</v>
      </c>
      <c r="C80" s="243">
        <v>531693.29942010716</v>
      </c>
      <c r="D80" s="286"/>
      <c r="E80" s="243"/>
      <c r="F80" s="243">
        <f t="shared" si="4"/>
        <v>531693</v>
      </c>
      <c r="G80" s="243">
        <f t="shared" si="3"/>
        <v>0</v>
      </c>
      <c r="H80" s="245"/>
      <c r="I80" s="245"/>
      <c r="J80" s="245">
        <f>26013+3300</f>
        <v>29313</v>
      </c>
      <c r="K80" s="245">
        <v>42236</v>
      </c>
      <c r="L80" s="245">
        <v>44809</v>
      </c>
      <c r="M80" s="245">
        <v>37524</v>
      </c>
      <c r="N80" s="245">
        <v>46600</v>
      </c>
      <c r="O80" s="245">
        <v>42157</v>
      </c>
      <c r="P80" s="245">
        <v>56738</v>
      </c>
      <c r="Q80" s="245">
        <v>39201</v>
      </c>
      <c r="R80" s="245">
        <v>62043</v>
      </c>
      <c r="S80" s="245"/>
      <c r="T80" s="245">
        <v>79616</v>
      </c>
      <c r="U80" s="245"/>
      <c r="V80" s="245">
        <v>33223</v>
      </c>
      <c r="W80" s="245"/>
      <c r="X80" s="245"/>
      <c r="Y80" s="245">
        <v>18233</v>
      </c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75"/>
      <c r="AL80" s="75"/>
      <c r="AM80" s="75"/>
    </row>
    <row r="81" spans="1:39" s="7" customFormat="1" ht="18.600000000000001" thickBot="1" x14ac:dyDescent="0.4">
      <c r="A81" s="228" t="s">
        <v>76</v>
      </c>
      <c r="B81" s="51" t="s">
        <v>254</v>
      </c>
      <c r="C81" s="243">
        <v>165923.78467426583</v>
      </c>
      <c r="D81" s="286"/>
      <c r="E81" s="243"/>
      <c r="F81" s="243">
        <f t="shared" si="4"/>
        <v>165924</v>
      </c>
      <c r="G81" s="243">
        <f t="shared" si="3"/>
        <v>0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>
        <v>165924</v>
      </c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75"/>
      <c r="AL81" s="75"/>
      <c r="AM81" s="75"/>
    </row>
    <row r="82" spans="1:39" s="7" customFormat="1" ht="18.600000000000001" thickBot="1" x14ac:dyDescent="0.4">
      <c r="A82" s="228" t="s">
        <v>77</v>
      </c>
      <c r="B82" s="51" t="s">
        <v>255</v>
      </c>
      <c r="C82" s="243">
        <v>18167.598812191496</v>
      </c>
      <c r="D82" s="286"/>
      <c r="E82" s="243"/>
      <c r="F82" s="243">
        <f t="shared" si="4"/>
        <v>18168</v>
      </c>
      <c r="G82" s="243">
        <f t="shared" si="3"/>
        <v>0</v>
      </c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>
        <v>10204</v>
      </c>
      <c r="S82" s="245">
        <v>1244</v>
      </c>
      <c r="T82" s="245">
        <v>3376</v>
      </c>
      <c r="U82" s="245"/>
      <c r="V82" s="245"/>
      <c r="W82" s="245"/>
      <c r="X82" s="245"/>
      <c r="Y82" s="245"/>
      <c r="Z82" s="245"/>
      <c r="AA82" s="245">
        <v>3344</v>
      </c>
      <c r="AB82" s="245"/>
      <c r="AC82" s="245"/>
      <c r="AD82" s="245"/>
      <c r="AE82" s="245"/>
      <c r="AF82" s="245"/>
      <c r="AG82" s="245"/>
      <c r="AH82" s="245"/>
      <c r="AI82" s="245"/>
      <c r="AJ82" s="245"/>
      <c r="AK82" s="75"/>
      <c r="AL82" s="75"/>
      <c r="AM82" s="75"/>
    </row>
    <row r="83" spans="1:39" s="7" customFormat="1" ht="18.600000000000001" thickBot="1" x14ac:dyDescent="0.4">
      <c r="A83" s="228" t="s">
        <v>78</v>
      </c>
      <c r="B83" s="51" t="s">
        <v>256</v>
      </c>
      <c r="C83" s="243">
        <v>44251.423214468188</v>
      </c>
      <c r="D83" s="286"/>
      <c r="E83" s="243"/>
      <c r="F83" s="243">
        <f t="shared" si="4"/>
        <v>44251</v>
      </c>
      <c r="G83" s="243">
        <f t="shared" si="3"/>
        <v>0</v>
      </c>
      <c r="H83" s="245"/>
      <c r="I83" s="245"/>
      <c r="J83" s="245"/>
      <c r="K83" s="245"/>
      <c r="L83" s="245"/>
      <c r="M83" s="245"/>
      <c r="N83" s="245"/>
      <c r="O83" s="245"/>
      <c r="P83" s="245"/>
      <c r="Q83" s="245">
        <v>33385</v>
      </c>
      <c r="R83" s="245"/>
      <c r="S83" s="245">
        <v>4618</v>
      </c>
      <c r="T83" s="245"/>
      <c r="U83" s="245"/>
      <c r="V83" s="245"/>
      <c r="W83" s="245"/>
      <c r="X83" s="245"/>
      <c r="Y83" s="245">
        <v>6248</v>
      </c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75"/>
      <c r="AL83" s="75"/>
      <c r="AM83" s="75"/>
    </row>
    <row r="84" spans="1:39" s="7" customFormat="1" ht="18.600000000000001" thickBot="1" x14ac:dyDescent="0.4">
      <c r="A84" s="228" t="s">
        <v>79</v>
      </c>
      <c r="B84" s="51" t="s">
        <v>257</v>
      </c>
      <c r="C84" s="243">
        <v>194666.04564743524</v>
      </c>
      <c r="D84" s="286"/>
      <c r="E84" s="243"/>
      <c r="F84" s="243">
        <f t="shared" si="4"/>
        <v>194666</v>
      </c>
      <c r="G84" s="243">
        <f t="shared" si="3"/>
        <v>0</v>
      </c>
      <c r="H84" s="245"/>
      <c r="I84" s="245"/>
      <c r="J84" s="245"/>
      <c r="K84" s="245"/>
      <c r="L84" s="245"/>
      <c r="M84" s="245"/>
      <c r="N84" s="245">
        <v>59164</v>
      </c>
      <c r="O84" s="245"/>
      <c r="P84" s="245">
        <v>22128</v>
      </c>
      <c r="Q84" s="245"/>
      <c r="R84" s="245"/>
      <c r="S84" s="245">
        <v>73722</v>
      </c>
      <c r="T84" s="245">
        <f>31021+2133</f>
        <v>33154</v>
      </c>
      <c r="U84" s="245"/>
      <c r="V84" s="245">
        <v>180</v>
      </c>
      <c r="W84" s="245"/>
      <c r="X84" s="245">
        <v>863</v>
      </c>
      <c r="Y84" s="245"/>
      <c r="Z84" s="245">
        <v>5455</v>
      </c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75"/>
      <c r="AL84" s="75"/>
      <c r="AM84" s="75"/>
    </row>
    <row r="85" spans="1:39" s="7" customFormat="1" ht="18.600000000000001" thickBot="1" x14ac:dyDescent="0.4">
      <c r="A85" s="228" t="s">
        <v>80</v>
      </c>
      <c r="B85" s="51" t="s">
        <v>258</v>
      </c>
      <c r="C85" s="243">
        <v>280472.73090254539</v>
      </c>
      <c r="D85" s="286"/>
      <c r="E85" s="243"/>
      <c r="F85" s="243">
        <f t="shared" si="4"/>
        <v>280473</v>
      </c>
      <c r="G85" s="243">
        <f t="shared" si="3"/>
        <v>0</v>
      </c>
      <c r="H85" s="245"/>
      <c r="I85" s="245"/>
      <c r="J85" s="245"/>
      <c r="K85" s="245"/>
      <c r="L85" s="245"/>
      <c r="M85" s="245"/>
      <c r="N85" s="245"/>
      <c r="O85" s="245"/>
      <c r="P85" s="245">
        <v>99419</v>
      </c>
      <c r="Q85" s="245"/>
      <c r="R85" s="245"/>
      <c r="S85" s="245">
        <v>75519</v>
      </c>
      <c r="T85" s="245"/>
      <c r="U85" s="245"/>
      <c r="V85" s="245"/>
      <c r="W85" s="245"/>
      <c r="X85" s="245"/>
      <c r="Y85" s="245">
        <f>64479+41056</f>
        <v>105535</v>
      </c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75"/>
      <c r="AL85" s="75"/>
      <c r="AM85" s="75"/>
    </row>
    <row r="86" spans="1:39" s="7" customFormat="1" ht="18.600000000000001" thickBot="1" x14ac:dyDescent="0.4">
      <c r="A86" s="228" t="s">
        <v>81</v>
      </c>
      <c r="B86" s="51" t="s">
        <v>259</v>
      </c>
      <c r="C86" s="243">
        <v>20035.624744744673</v>
      </c>
      <c r="D86" s="286"/>
      <c r="E86" s="243"/>
      <c r="F86" s="243">
        <f t="shared" si="4"/>
        <v>23709</v>
      </c>
      <c r="G86" s="243">
        <f t="shared" si="3"/>
        <v>-3673</v>
      </c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>
        <v>23709</v>
      </c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75"/>
      <c r="AL86" s="75"/>
      <c r="AM86" s="75"/>
    </row>
    <row r="87" spans="1:39" s="7" customFormat="1" ht="18.600000000000001" thickBot="1" x14ac:dyDescent="0.4">
      <c r="A87" s="228" t="s">
        <v>82</v>
      </c>
      <c r="B87" s="51" t="s">
        <v>260</v>
      </c>
      <c r="C87" s="243">
        <v>292634.66673541308</v>
      </c>
      <c r="D87" s="286"/>
      <c r="E87" s="243"/>
      <c r="F87" s="243">
        <f t="shared" si="4"/>
        <v>292635</v>
      </c>
      <c r="G87" s="243">
        <f t="shared" si="3"/>
        <v>0</v>
      </c>
      <c r="H87" s="245"/>
      <c r="I87" s="245"/>
      <c r="J87" s="245">
        <v>17063</v>
      </c>
      <c r="K87" s="245"/>
      <c r="L87" s="245"/>
      <c r="M87" s="245"/>
      <c r="N87" s="245"/>
      <c r="O87" s="245">
        <v>80419</v>
      </c>
      <c r="P87" s="245"/>
      <c r="Q87" s="245">
        <v>94323</v>
      </c>
      <c r="R87" s="245"/>
      <c r="S87" s="245"/>
      <c r="T87" s="245">
        <f>20615+61173</f>
        <v>81788</v>
      </c>
      <c r="U87" s="245">
        <f>20291+14319</f>
        <v>34610</v>
      </c>
      <c r="V87" s="245"/>
      <c r="W87" s="245"/>
      <c r="X87" s="245">
        <v>-15568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75"/>
      <c r="AL87" s="75"/>
      <c r="AM87" s="75"/>
    </row>
    <row r="88" spans="1:39" s="7" customFormat="1" ht="18.600000000000001" thickBot="1" x14ac:dyDescent="0.4">
      <c r="A88" s="228" t="s">
        <v>83</v>
      </c>
      <c r="B88" s="51" t="s">
        <v>261</v>
      </c>
      <c r="C88" s="243">
        <v>31974.389932537724</v>
      </c>
      <c r="D88" s="286"/>
      <c r="E88" s="243"/>
      <c r="F88" s="243">
        <f t="shared" si="4"/>
        <v>31974</v>
      </c>
      <c r="G88" s="243">
        <f t="shared" si="3"/>
        <v>0</v>
      </c>
      <c r="H88" s="245"/>
      <c r="I88" s="245"/>
      <c r="J88" s="245"/>
      <c r="K88" s="245"/>
      <c r="L88" s="245">
        <v>4972</v>
      </c>
      <c r="M88" s="245">
        <v>2616</v>
      </c>
      <c r="N88" s="245">
        <v>5263</v>
      </c>
      <c r="O88" s="245"/>
      <c r="P88" s="245">
        <v>2634</v>
      </c>
      <c r="Q88" s="245">
        <v>2634</v>
      </c>
      <c r="R88" s="245">
        <v>2634</v>
      </c>
      <c r="S88" s="245">
        <f>2633+2634</f>
        <v>5267</v>
      </c>
      <c r="T88" s="245">
        <v>2615</v>
      </c>
      <c r="U88" s="245"/>
      <c r="V88" s="245"/>
      <c r="W88" s="245">
        <v>2590</v>
      </c>
      <c r="X88" s="245"/>
      <c r="Y88" s="245">
        <v>749</v>
      </c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75"/>
      <c r="AL88" s="75"/>
      <c r="AM88" s="75"/>
    </row>
    <row r="89" spans="1:39" s="7" customFormat="1" ht="18.600000000000001" thickBot="1" x14ac:dyDescent="0.4">
      <c r="A89" s="228" t="s">
        <v>84</v>
      </c>
      <c r="B89" s="53" t="s">
        <v>262</v>
      </c>
      <c r="C89" s="243">
        <v>41798.507756524523</v>
      </c>
      <c r="D89" s="286">
        <v>9095</v>
      </c>
      <c r="E89" s="243">
        <f>IF(ISBLANK(D89),,C89)</f>
        <v>41798.507756524523</v>
      </c>
      <c r="F89" s="243">
        <f t="shared" si="4"/>
        <v>0</v>
      </c>
      <c r="G89" s="243">
        <f t="shared" si="3"/>
        <v>0</v>
      </c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75"/>
      <c r="AL89" s="75"/>
      <c r="AM89" s="75"/>
    </row>
    <row r="90" spans="1:39" s="7" customFormat="1" ht="18.600000000000001" thickBot="1" x14ac:dyDescent="0.4">
      <c r="A90" s="228" t="s">
        <v>85</v>
      </c>
      <c r="B90" s="51" t="s">
        <v>263</v>
      </c>
      <c r="C90" s="243">
        <v>10594119.499001527</v>
      </c>
      <c r="D90" s="286"/>
      <c r="E90" s="243"/>
      <c r="F90" s="243">
        <f t="shared" si="4"/>
        <v>10594119</v>
      </c>
      <c r="G90" s="243">
        <f t="shared" si="3"/>
        <v>0</v>
      </c>
      <c r="H90" s="245"/>
      <c r="I90" s="245"/>
      <c r="J90" s="245"/>
      <c r="K90" s="245">
        <v>840075</v>
      </c>
      <c r="L90" s="245">
        <v>356536</v>
      </c>
      <c r="M90" s="245"/>
      <c r="N90" s="245"/>
      <c r="O90" s="245">
        <v>1332618</v>
      </c>
      <c r="P90" s="245">
        <v>863996</v>
      </c>
      <c r="Q90" s="245">
        <v>1303571</v>
      </c>
      <c r="R90" s="245">
        <v>999876</v>
      </c>
      <c r="S90" s="245">
        <v>1419350</v>
      </c>
      <c r="T90" s="245">
        <v>832416</v>
      </c>
      <c r="U90" s="245"/>
      <c r="V90" s="245">
        <v>1136960</v>
      </c>
      <c r="W90" s="245">
        <v>1275302</v>
      </c>
      <c r="X90" s="245">
        <v>233419</v>
      </c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75"/>
      <c r="AL90" s="75"/>
      <c r="AM90" s="75"/>
    </row>
    <row r="91" spans="1:39" s="7" customFormat="1" ht="18.600000000000001" thickBot="1" x14ac:dyDescent="0.4">
      <c r="A91" s="228" t="s">
        <v>86</v>
      </c>
      <c r="B91" s="51" t="s">
        <v>264</v>
      </c>
      <c r="C91" s="243">
        <v>21157.037071345789</v>
      </c>
      <c r="D91" s="286"/>
      <c r="E91" s="243"/>
      <c r="F91" s="243">
        <f t="shared" si="4"/>
        <v>21157</v>
      </c>
      <c r="G91" s="243">
        <f t="shared" si="3"/>
        <v>0</v>
      </c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>
        <v>21142</v>
      </c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>
        <v>15</v>
      </c>
      <c r="AF91" s="245"/>
      <c r="AG91" s="245"/>
      <c r="AH91" s="245"/>
      <c r="AI91" s="245"/>
      <c r="AJ91" s="245"/>
      <c r="AK91" s="75"/>
      <c r="AL91" s="75"/>
      <c r="AM91" s="75"/>
    </row>
    <row r="92" spans="1:39" s="7" customFormat="1" ht="18.600000000000001" thickBot="1" x14ac:dyDescent="0.4">
      <c r="A92" s="228" t="s">
        <v>87</v>
      </c>
      <c r="B92" s="51" t="s">
        <v>265</v>
      </c>
      <c r="C92" s="243">
        <v>14462.641233559381</v>
      </c>
      <c r="D92" s="286"/>
      <c r="E92" s="243"/>
      <c r="F92" s="243">
        <f t="shared" si="4"/>
        <v>14463</v>
      </c>
      <c r="G92" s="243">
        <f t="shared" si="3"/>
        <v>0</v>
      </c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>
        <v>11597</v>
      </c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>
        <v>2866</v>
      </c>
      <c r="AK92" s="75"/>
      <c r="AL92" s="75"/>
      <c r="AM92" s="75"/>
    </row>
    <row r="93" spans="1:39" s="7" customFormat="1" ht="18.600000000000001" thickBot="1" x14ac:dyDescent="0.4">
      <c r="A93" s="228" t="s">
        <v>88</v>
      </c>
      <c r="B93" s="51" t="s">
        <v>266</v>
      </c>
      <c r="C93" s="243">
        <v>35080</v>
      </c>
      <c r="D93" s="286">
        <v>9025</v>
      </c>
      <c r="E93" s="243">
        <f>IF(ISBLANK(D93),,C93)</f>
        <v>35080</v>
      </c>
      <c r="F93" s="243">
        <f t="shared" si="4"/>
        <v>0</v>
      </c>
      <c r="G93" s="243">
        <f t="shared" si="3"/>
        <v>0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75"/>
      <c r="AL93" s="75"/>
      <c r="AM93" s="75"/>
    </row>
    <row r="94" spans="1:39" s="7" customFormat="1" ht="18.600000000000001" thickBot="1" x14ac:dyDescent="0.4">
      <c r="A94" s="228" t="s">
        <v>89</v>
      </c>
      <c r="B94" s="51" t="s">
        <v>267</v>
      </c>
      <c r="C94" s="243">
        <v>24806</v>
      </c>
      <c r="D94" s="286">
        <v>9025</v>
      </c>
      <c r="E94" s="243">
        <f>IF(ISBLANK(D94),,C94)</f>
        <v>24806</v>
      </c>
      <c r="F94" s="243">
        <f t="shared" si="4"/>
        <v>0</v>
      </c>
      <c r="G94" s="243">
        <f t="shared" si="3"/>
        <v>0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75"/>
      <c r="AL94" s="75"/>
      <c r="AM94" s="75"/>
    </row>
    <row r="95" spans="1:39" s="7" customFormat="1" ht="18.600000000000001" thickBot="1" x14ac:dyDescent="0.4">
      <c r="A95" s="228" t="s">
        <v>90</v>
      </c>
      <c r="B95" s="51" t="s">
        <v>268</v>
      </c>
      <c r="C95" s="243">
        <v>30555</v>
      </c>
      <c r="D95" s="286">
        <v>9025</v>
      </c>
      <c r="E95" s="243">
        <f>IF(ISBLANK(D95),,C95)</f>
        <v>30555</v>
      </c>
      <c r="F95" s="243">
        <f t="shared" si="4"/>
        <v>0</v>
      </c>
      <c r="G95" s="243">
        <f t="shared" si="3"/>
        <v>0</v>
      </c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75"/>
      <c r="AL95" s="75"/>
      <c r="AM95" s="75"/>
    </row>
    <row r="96" spans="1:39" s="7" customFormat="1" ht="18.600000000000001" thickBot="1" x14ac:dyDescent="0.4">
      <c r="A96" s="228" t="s">
        <v>91</v>
      </c>
      <c r="B96" s="51" t="s">
        <v>269</v>
      </c>
      <c r="C96" s="243">
        <v>31809</v>
      </c>
      <c r="D96" s="286">
        <v>9025</v>
      </c>
      <c r="E96" s="243">
        <f>IF(ISBLANK(D96),,C96)</f>
        <v>31809</v>
      </c>
      <c r="F96" s="243">
        <f t="shared" si="4"/>
        <v>0</v>
      </c>
      <c r="G96" s="243">
        <f t="shared" si="3"/>
        <v>0</v>
      </c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75"/>
      <c r="AL96" s="75"/>
      <c r="AM96" s="75"/>
    </row>
    <row r="97" spans="1:39" s="7" customFormat="1" ht="18.600000000000001" thickBot="1" x14ac:dyDescent="0.4">
      <c r="A97" s="228" t="s">
        <v>92</v>
      </c>
      <c r="B97" s="51" t="s">
        <v>270</v>
      </c>
      <c r="C97" s="243">
        <v>104563</v>
      </c>
      <c r="D97" s="286">
        <v>9025</v>
      </c>
      <c r="E97" s="243">
        <f>IF(ISBLANK(D97),,C97)</f>
        <v>104563</v>
      </c>
      <c r="F97" s="243">
        <f t="shared" si="4"/>
        <v>0</v>
      </c>
      <c r="G97" s="243">
        <f t="shared" si="3"/>
        <v>0</v>
      </c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75"/>
      <c r="AL97" s="75"/>
      <c r="AM97" s="75"/>
    </row>
    <row r="98" spans="1:39" s="7" customFormat="1" ht="18.600000000000001" thickBot="1" x14ac:dyDescent="0.4">
      <c r="A98" s="228" t="s">
        <v>93</v>
      </c>
      <c r="B98" s="51" t="s">
        <v>271</v>
      </c>
      <c r="C98" s="243">
        <v>276791.04111787613</v>
      </c>
      <c r="D98" s="286"/>
      <c r="E98" s="243"/>
      <c r="F98" s="243">
        <f t="shared" si="4"/>
        <v>276791</v>
      </c>
      <c r="G98" s="243">
        <f t="shared" si="3"/>
        <v>0</v>
      </c>
      <c r="H98" s="245"/>
      <c r="I98" s="245"/>
      <c r="J98" s="245"/>
      <c r="K98" s="245"/>
      <c r="L98" s="245"/>
      <c r="M98" s="245">
        <v>52117</v>
      </c>
      <c r="N98" s="245">
        <v>25004</v>
      </c>
      <c r="O98" s="245">
        <v>22075</v>
      </c>
      <c r="P98" s="245">
        <v>51521</v>
      </c>
      <c r="Q98" s="245">
        <v>435</v>
      </c>
      <c r="R98" s="245">
        <v>23239</v>
      </c>
      <c r="S98" s="245">
        <v>41774</v>
      </c>
      <c r="T98" s="245"/>
      <c r="U98" s="245"/>
      <c r="V98" s="245">
        <v>40701</v>
      </c>
      <c r="W98" s="245"/>
      <c r="X98" s="245">
        <v>19925</v>
      </c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75"/>
      <c r="AL98" s="75"/>
      <c r="AM98" s="75"/>
    </row>
    <row r="99" spans="1:39" s="7" customFormat="1" ht="18.600000000000001" thickBot="1" x14ac:dyDescent="0.4">
      <c r="A99" s="228" t="s">
        <v>94</v>
      </c>
      <c r="B99" s="51" t="s">
        <v>272</v>
      </c>
      <c r="C99" s="243">
        <v>497477.33337015635</v>
      </c>
      <c r="D99" s="286"/>
      <c r="E99" s="243"/>
      <c r="F99" s="243">
        <f t="shared" si="4"/>
        <v>497477</v>
      </c>
      <c r="G99" s="243">
        <f t="shared" si="3"/>
        <v>0</v>
      </c>
      <c r="H99" s="245"/>
      <c r="I99" s="245"/>
      <c r="J99" s="245"/>
      <c r="K99" s="245"/>
      <c r="L99" s="245"/>
      <c r="M99" s="245"/>
      <c r="N99" s="245"/>
      <c r="O99" s="245">
        <v>128856</v>
      </c>
      <c r="P99" s="245">
        <f>43480+62289</f>
        <v>105769</v>
      </c>
      <c r="Q99" s="245">
        <v>44344</v>
      </c>
      <c r="R99" s="245"/>
      <c r="S99" s="245">
        <v>84842</v>
      </c>
      <c r="T99" s="245"/>
      <c r="U99" s="245">
        <v>117272</v>
      </c>
      <c r="V99" s="245"/>
      <c r="W99" s="245"/>
      <c r="X99" s="245"/>
      <c r="Y99" s="245"/>
      <c r="Z99" s="245">
        <v>215</v>
      </c>
      <c r="AA99" s="245">
        <v>16179</v>
      </c>
      <c r="AB99" s="245"/>
      <c r="AC99" s="245"/>
      <c r="AD99" s="245"/>
      <c r="AE99" s="245"/>
      <c r="AF99" s="245"/>
      <c r="AG99" s="245"/>
      <c r="AH99" s="245"/>
      <c r="AI99" s="245"/>
      <c r="AJ99" s="245"/>
      <c r="AK99" s="75"/>
      <c r="AL99" s="75"/>
      <c r="AM99" s="75"/>
    </row>
    <row r="100" spans="1:39" s="7" customFormat="1" ht="18.600000000000001" thickBot="1" x14ac:dyDescent="0.4">
      <c r="A100" s="228" t="s">
        <v>95</v>
      </c>
      <c r="B100" s="51" t="s">
        <v>273</v>
      </c>
      <c r="C100" s="243">
        <v>95376.860560948349</v>
      </c>
      <c r="D100" s="286"/>
      <c r="E100" s="243"/>
      <c r="F100" s="243">
        <f t="shared" si="4"/>
        <v>95377</v>
      </c>
      <c r="G100" s="243">
        <f t="shared" si="3"/>
        <v>0</v>
      </c>
      <c r="H100" s="245"/>
      <c r="I100" s="245"/>
      <c r="J100" s="245"/>
      <c r="K100" s="245"/>
      <c r="L100" s="245"/>
      <c r="M100" s="245"/>
      <c r="N100" s="245"/>
      <c r="O100" s="245"/>
      <c r="P100" s="245">
        <v>49962</v>
      </c>
      <c r="Q100" s="245"/>
      <c r="R100" s="245"/>
      <c r="S100" s="245">
        <v>38239</v>
      </c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>
        <v>7176</v>
      </c>
      <c r="AD100" s="245"/>
      <c r="AE100" s="245"/>
      <c r="AF100" s="245"/>
      <c r="AG100" s="245"/>
      <c r="AH100" s="245"/>
      <c r="AI100" s="245"/>
      <c r="AJ100" s="245"/>
      <c r="AK100" s="75"/>
      <c r="AL100" s="75"/>
      <c r="AM100" s="75"/>
    </row>
    <row r="101" spans="1:39" s="7" customFormat="1" ht="18.600000000000001" thickBot="1" x14ac:dyDescent="0.4">
      <c r="A101" s="228" t="s">
        <v>96</v>
      </c>
      <c r="B101" s="51" t="s">
        <v>274</v>
      </c>
      <c r="C101" s="243">
        <v>179312.91167074884</v>
      </c>
      <c r="D101" s="286"/>
      <c r="E101" s="243"/>
      <c r="F101" s="243">
        <f t="shared" si="4"/>
        <v>179313</v>
      </c>
      <c r="G101" s="243">
        <f t="shared" si="3"/>
        <v>0</v>
      </c>
      <c r="H101" s="245"/>
      <c r="I101" s="245"/>
      <c r="J101" s="245"/>
      <c r="K101" s="245"/>
      <c r="L101" s="245"/>
      <c r="M101" s="245"/>
      <c r="N101" s="245">
        <v>42785</v>
      </c>
      <c r="O101" s="245"/>
      <c r="P101" s="245"/>
      <c r="Q101" s="245"/>
      <c r="R101" s="245">
        <v>107499</v>
      </c>
      <c r="S101" s="245"/>
      <c r="T101" s="245"/>
      <c r="U101" s="245"/>
      <c r="V101" s="245">
        <v>18452</v>
      </c>
      <c r="W101" s="245"/>
      <c r="X101" s="245"/>
      <c r="Y101" s="245">
        <v>10577</v>
      </c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75"/>
      <c r="AL101" s="75"/>
      <c r="AM101" s="75"/>
    </row>
    <row r="102" spans="1:39" s="7" customFormat="1" ht="18.600000000000001" thickBot="1" x14ac:dyDescent="0.4">
      <c r="A102" s="228" t="s">
        <v>97</v>
      </c>
      <c r="B102" s="51" t="s">
        <v>275</v>
      </c>
      <c r="C102" s="243">
        <v>2769360.2411604943</v>
      </c>
      <c r="D102" s="286"/>
      <c r="E102" s="243"/>
      <c r="F102" s="243">
        <f t="shared" si="4"/>
        <v>2769360</v>
      </c>
      <c r="G102" s="243">
        <f t="shared" si="3"/>
        <v>0</v>
      </c>
      <c r="H102" s="245"/>
      <c r="I102" s="245"/>
      <c r="J102" s="245"/>
      <c r="K102" s="245"/>
      <c r="L102" s="245"/>
      <c r="M102" s="245"/>
      <c r="N102" s="245"/>
      <c r="O102" s="245"/>
      <c r="P102" s="245">
        <v>591222</v>
      </c>
      <c r="Q102" s="245"/>
      <c r="R102" s="245">
        <v>486822</v>
      </c>
      <c r="S102" s="245"/>
      <c r="T102" s="245">
        <v>553896</v>
      </c>
      <c r="U102" s="245"/>
      <c r="V102" s="245"/>
      <c r="W102" s="245"/>
      <c r="X102" s="245">
        <v>1137420</v>
      </c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75"/>
      <c r="AL102" s="75"/>
      <c r="AM102" s="75"/>
    </row>
    <row r="103" spans="1:39" s="7" customFormat="1" ht="18.600000000000001" thickBot="1" x14ac:dyDescent="0.4">
      <c r="A103" s="228" t="s">
        <v>98</v>
      </c>
      <c r="B103" s="51" t="s">
        <v>276</v>
      </c>
      <c r="C103" s="243">
        <v>1532697.9942478037</v>
      </c>
      <c r="D103" s="286"/>
      <c r="E103" s="243"/>
      <c r="F103" s="243">
        <f t="shared" si="4"/>
        <v>1532698</v>
      </c>
      <c r="G103" s="243">
        <f t="shared" si="3"/>
        <v>0</v>
      </c>
      <c r="H103" s="245"/>
      <c r="I103" s="245"/>
      <c r="J103" s="245"/>
      <c r="K103" s="245">
        <v>156402</v>
      </c>
      <c r="L103" s="245"/>
      <c r="M103" s="245">
        <v>32750</v>
      </c>
      <c r="N103" s="245">
        <v>131109</v>
      </c>
      <c r="O103" s="245">
        <v>143201</v>
      </c>
      <c r="P103" s="245">
        <v>136075</v>
      </c>
      <c r="Q103" s="245">
        <v>146503</v>
      </c>
      <c r="R103" s="245">
        <v>138040</v>
      </c>
      <c r="S103" s="245">
        <v>196610</v>
      </c>
      <c r="T103" s="245">
        <v>170601</v>
      </c>
      <c r="U103" s="245">
        <v>111366</v>
      </c>
      <c r="V103" s="245">
        <v>118452</v>
      </c>
      <c r="W103" s="245">
        <v>51589</v>
      </c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75"/>
      <c r="AL103" s="75"/>
      <c r="AM103" s="75"/>
    </row>
    <row r="104" spans="1:39" s="7" customFormat="1" ht="18.600000000000001" thickBot="1" x14ac:dyDescent="0.4">
      <c r="A104" s="228" t="s">
        <v>99</v>
      </c>
      <c r="B104" s="51" t="s">
        <v>277</v>
      </c>
      <c r="C104" s="243">
        <v>84746.783766308537</v>
      </c>
      <c r="D104" s="286"/>
      <c r="E104" s="243"/>
      <c r="F104" s="243">
        <f t="shared" si="4"/>
        <v>84747</v>
      </c>
      <c r="G104" s="243">
        <f t="shared" si="3"/>
        <v>0</v>
      </c>
      <c r="H104" s="245"/>
      <c r="I104" s="245"/>
      <c r="J104" s="245"/>
      <c r="K104" s="245"/>
      <c r="L104" s="245"/>
      <c r="M104" s="245">
        <v>7689</v>
      </c>
      <c r="N104" s="245"/>
      <c r="O104" s="245">
        <v>6161</v>
      </c>
      <c r="P104" s="245"/>
      <c r="Q104" s="245">
        <v>13575</v>
      </c>
      <c r="R104" s="245">
        <v>6787</v>
      </c>
      <c r="S104" s="245">
        <v>6787</v>
      </c>
      <c r="T104" s="245"/>
      <c r="U104" s="245">
        <v>13760</v>
      </c>
      <c r="V104" s="245"/>
      <c r="W104" s="245"/>
      <c r="X104" s="245"/>
      <c r="Y104" s="245"/>
      <c r="Z104" s="245">
        <v>29988</v>
      </c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75"/>
      <c r="AL104" s="75"/>
      <c r="AM104" s="75"/>
    </row>
    <row r="105" spans="1:39" s="7" customFormat="1" ht="18.600000000000001" thickBot="1" x14ac:dyDescent="0.4">
      <c r="A105" s="228" t="s">
        <v>100</v>
      </c>
      <c r="B105" s="51" t="s">
        <v>278</v>
      </c>
      <c r="C105" s="243">
        <v>390032.14334569353</v>
      </c>
      <c r="D105" s="286"/>
      <c r="E105" s="243"/>
      <c r="F105" s="243">
        <f t="shared" si="4"/>
        <v>390032</v>
      </c>
      <c r="G105" s="243">
        <f t="shared" si="3"/>
        <v>0</v>
      </c>
      <c r="H105" s="245"/>
      <c r="I105" s="245"/>
      <c r="J105" s="245"/>
      <c r="K105" s="245"/>
      <c r="L105" s="245"/>
      <c r="M105" s="245"/>
      <c r="N105" s="245"/>
      <c r="O105" s="245">
        <v>48272</v>
      </c>
      <c r="P105" s="245"/>
      <c r="Q105" s="245">
        <v>146453</v>
      </c>
      <c r="R105" s="245"/>
      <c r="S105" s="245"/>
      <c r="T105" s="245"/>
      <c r="U105" s="245">
        <v>21785</v>
      </c>
      <c r="V105" s="245">
        <v>37840</v>
      </c>
      <c r="W105" s="245"/>
      <c r="X105" s="245"/>
      <c r="Y105" s="245">
        <f>23285+65195</f>
        <v>88480</v>
      </c>
      <c r="Z105" s="245"/>
      <c r="AA105" s="245">
        <v>36525</v>
      </c>
      <c r="AB105" s="245"/>
      <c r="AC105" s="245">
        <v>10677</v>
      </c>
      <c r="AD105" s="245"/>
      <c r="AE105" s="245"/>
      <c r="AF105" s="245"/>
      <c r="AG105" s="245"/>
      <c r="AH105" s="245"/>
      <c r="AI105" s="245"/>
      <c r="AJ105" s="245"/>
      <c r="AK105" s="75"/>
      <c r="AL105" s="75"/>
      <c r="AM105" s="75"/>
    </row>
    <row r="106" spans="1:39" s="7" customFormat="1" ht="18.600000000000001" thickBot="1" x14ac:dyDescent="0.4">
      <c r="A106" s="228" t="s">
        <v>101</v>
      </c>
      <c r="B106" s="51" t="s">
        <v>279</v>
      </c>
      <c r="C106" s="243">
        <v>36179.743758743149</v>
      </c>
      <c r="D106" s="286"/>
      <c r="E106" s="243"/>
      <c r="F106" s="243">
        <f t="shared" si="4"/>
        <v>36180</v>
      </c>
      <c r="G106" s="243">
        <f t="shared" si="3"/>
        <v>0</v>
      </c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>
        <v>36171</v>
      </c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>
        <v>9</v>
      </c>
      <c r="AE106" s="245"/>
      <c r="AF106" s="245"/>
      <c r="AG106" s="245"/>
      <c r="AH106" s="245"/>
      <c r="AI106" s="245"/>
      <c r="AJ106" s="245"/>
      <c r="AK106" s="75"/>
      <c r="AL106" s="75"/>
      <c r="AM106" s="75"/>
    </row>
    <row r="107" spans="1:39" s="7" customFormat="1" ht="18.600000000000001" thickBot="1" x14ac:dyDescent="0.4">
      <c r="A107" s="228" t="s">
        <v>102</v>
      </c>
      <c r="B107" s="51" t="s">
        <v>280</v>
      </c>
      <c r="C107" s="243">
        <v>36858.578382698412</v>
      </c>
      <c r="D107" s="286"/>
      <c r="E107" s="243"/>
      <c r="F107" s="243">
        <f t="shared" si="4"/>
        <v>36859</v>
      </c>
      <c r="G107" s="243">
        <f t="shared" si="3"/>
        <v>0</v>
      </c>
      <c r="H107" s="245"/>
      <c r="I107" s="245"/>
      <c r="J107" s="245"/>
      <c r="K107" s="245"/>
      <c r="L107" s="245"/>
      <c r="M107" s="245"/>
      <c r="N107" s="245"/>
      <c r="O107" s="245"/>
      <c r="P107" s="245"/>
      <c r="Q107" s="245">
        <v>36859</v>
      </c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75"/>
      <c r="AL107" s="75"/>
      <c r="AM107" s="75"/>
    </row>
    <row r="108" spans="1:39" s="7" customFormat="1" ht="18.600000000000001" thickBot="1" x14ac:dyDescent="0.4">
      <c r="A108" s="228" t="s">
        <v>103</v>
      </c>
      <c r="B108" s="51" t="s">
        <v>281</v>
      </c>
      <c r="C108" s="243">
        <v>99082.647183031047</v>
      </c>
      <c r="D108" s="286"/>
      <c r="E108" s="243"/>
      <c r="F108" s="243">
        <f t="shared" si="4"/>
        <v>99083</v>
      </c>
      <c r="G108" s="243">
        <f t="shared" si="3"/>
        <v>0</v>
      </c>
      <c r="H108" s="245"/>
      <c r="I108" s="245"/>
      <c r="J108" s="245"/>
      <c r="K108" s="245">
        <v>34178</v>
      </c>
      <c r="L108" s="245"/>
      <c r="M108" s="245"/>
      <c r="N108" s="245"/>
      <c r="O108" s="245"/>
      <c r="P108" s="245">
        <v>38173</v>
      </c>
      <c r="Q108" s="245"/>
      <c r="R108" s="245"/>
      <c r="S108" s="245"/>
      <c r="T108" s="245"/>
      <c r="U108" s="245"/>
      <c r="V108" s="245"/>
      <c r="W108" s="245"/>
      <c r="X108" s="245"/>
      <c r="Y108" s="245"/>
      <c r="Z108" s="245">
        <v>26732</v>
      </c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75"/>
      <c r="AL108" s="75"/>
      <c r="AM108" s="75"/>
    </row>
    <row r="109" spans="1:39" s="7" customFormat="1" ht="18.600000000000001" thickBot="1" x14ac:dyDescent="0.4">
      <c r="A109" s="228" t="s">
        <v>104</v>
      </c>
      <c r="B109" s="51" t="s">
        <v>405</v>
      </c>
      <c r="C109" s="243">
        <v>1416.0840167418717</v>
      </c>
      <c r="D109" s="286"/>
      <c r="E109" s="243">
        <f>IF(ISBLANK(D109),,C109)</f>
        <v>0</v>
      </c>
      <c r="F109" s="243">
        <f t="shared" si="4"/>
        <v>0</v>
      </c>
      <c r="G109" s="243">
        <f t="shared" ref="G109:G172" si="5">ROUND(IF(ISBLANK(E109),C109-F109,C109-E109),0)</f>
        <v>1416</v>
      </c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75"/>
      <c r="AL109" s="75"/>
      <c r="AM109" s="75"/>
    </row>
    <row r="110" spans="1:39" s="7" customFormat="1" ht="18.600000000000001" thickBot="1" x14ac:dyDescent="0.4">
      <c r="A110" s="228" t="s">
        <v>105</v>
      </c>
      <c r="B110" s="51" t="s">
        <v>283</v>
      </c>
      <c r="C110" s="243">
        <v>17939.019275626484</v>
      </c>
      <c r="D110" s="286"/>
      <c r="E110" s="243"/>
      <c r="F110" s="243">
        <f t="shared" si="4"/>
        <v>17939</v>
      </c>
      <c r="G110" s="243">
        <f t="shared" si="5"/>
        <v>0</v>
      </c>
      <c r="H110" s="245"/>
      <c r="I110" s="245"/>
      <c r="J110" s="245"/>
      <c r="K110" s="245"/>
      <c r="L110" s="245">
        <v>5335</v>
      </c>
      <c r="M110" s="245"/>
      <c r="N110" s="245"/>
      <c r="O110" s="245"/>
      <c r="P110" s="245"/>
      <c r="Q110" s="245">
        <v>12604</v>
      </c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75"/>
      <c r="AL110" s="75"/>
      <c r="AM110" s="75"/>
    </row>
    <row r="111" spans="1:39" s="7" customFormat="1" ht="18.600000000000001" thickBot="1" x14ac:dyDescent="0.4">
      <c r="A111" s="228" t="s">
        <v>106</v>
      </c>
      <c r="B111" s="51" t="s">
        <v>284</v>
      </c>
      <c r="C111" s="243">
        <v>43049</v>
      </c>
      <c r="D111" s="286">
        <v>9025</v>
      </c>
      <c r="E111" s="243">
        <f>IF(ISBLANK(D111),,C111)</f>
        <v>43049</v>
      </c>
      <c r="F111" s="243">
        <f t="shared" si="4"/>
        <v>0</v>
      </c>
      <c r="G111" s="243">
        <f t="shared" si="5"/>
        <v>0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75"/>
      <c r="AL111" s="75"/>
      <c r="AM111" s="75"/>
    </row>
    <row r="112" spans="1:39" s="7" customFormat="1" ht="18.600000000000001" thickBot="1" x14ac:dyDescent="0.4">
      <c r="A112" s="228" t="s">
        <v>107</v>
      </c>
      <c r="B112" s="51" t="s">
        <v>285</v>
      </c>
      <c r="C112" s="243">
        <v>79258</v>
      </c>
      <c r="D112" s="286">
        <v>9025</v>
      </c>
      <c r="E112" s="243">
        <f>IF(ISBLANK(D112),,C112)</f>
        <v>79258</v>
      </c>
      <c r="F112" s="243">
        <f t="shared" si="4"/>
        <v>0</v>
      </c>
      <c r="G112" s="243">
        <f t="shared" si="5"/>
        <v>0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75"/>
      <c r="AL112" s="75"/>
      <c r="AM112" s="75"/>
    </row>
    <row r="113" spans="1:39" s="7" customFormat="1" ht="18.600000000000001" thickBot="1" x14ac:dyDescent="0.4">
      <c r="A113" s="228" t="s">
        <v>108</v>
      </c>
      <c r="B113" s="51" t="s">
        <v>286</v>
      </c>
      <c r="C113" s="243">
        <v>15859</v>
      </c>
      <c r="D113" s="286">
        <v>9025</v>
      </c>
      <c r="E113" s="243">
        <f>IF(ISBLANK(D113),,C113)</f>
        <v>15859</v>
      </c>
      <c r="F113" s="243">
        <f t="shared" si="4"/>
        <v>0</v>
      </c>
      <c r="G113" s="243">
        <f t="shared" si="5"/>
        <v>0</v>
      </c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75"/>
      <c r="AL113" s="75"/>
      <c r="AM113" s="75"/>
    </row>
    <row r="114" spans="1:39" s="7" customFormat="1" ht="18.600000000000001" thickBot="1" x14ac:dyDescent="0.4">
      <c r="A114" s="228" t="s">
        <v>109</v>
      </c>
      <c r="B114" s="51" t="s">
        <v>287</v>
      </c>
      <c r="C114" s="243">
        <v>459955.96762731113</v>
      </c>
      <c r="D114" s="286"/>
      <c r="E114" s="243"/>
      <c r="F114" s="243">
        <f t="shared" si="4"/>
        <v>459956</v>
      </c>
      <c r="G114" s="243">
        <f t="shared" si="5"/>
        <v>0</v>
      </c>
      <c r="H114" s="245"/>
      <c r="I114" s="245"/>
      <c r="J114" s="245"/>
      <c r="K114" s="245"/>
      <c r="L114" s="245"/>
      <c r="M114" s="245">
        <v>107991</v>
      </c>
      <c r="N114" s="245">
        <v>32684</v>
      </c>
      <c r="O114" s="245">
        <v>25127</v>
      </c>
      <c r="P114" s="245">
        <v>53183</v>
      </c>
      <c r="Q114" s="245">
        <v>28653</v>
      </c>
      <c r="R114" s="245">
        <v>26951</v>
      </c>
      <c r="S114" s="245">
        <v>40436</v>
      </c>
      <c r="T114" s="245">
        <v>19215</v>
      </c>
      <c r="U114" s="245"/>
      <c r="V114" s="245">
        <v>32333</v>
      </c>
      <c r="W114" s="245">
        <v>35107</v>
      </c>
      <c r="X114" s="245">
        <v>37200</v>
      </c>
      <c r="Y114" s="245">
        <v>21076</v>
      </c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75"/>
      <c r="AL114" s="75"/>
      <c r="AM114" s="75"/>
    </row>
    <row r="115" spans="1:39" s="7" customFormat="1" ht="18.600000000000001" thickBot="1" x14ac:dyDescent="0.4">
      <c r="A115" s="228" t="s">
        <v>110</v>
      </c>
      <c r="B115" s="51" t="s">
        <v>288</v>
      </c>
      <c r="C115" s="243">
        <v>37323.70483454311</v>
      </c>
      <c r="D115" s="286">
        <v>9040</v>
      </c>
      <c r="E115" s="243">
        <f>IF(ISBLANK(D115),,C115)</f>
        <v>37323.70483454311</v>
      </c>
      <c r="F115" s="243">
        <f t="shared" si="4"/>
        <v>0</v>
      </c>
      <c r="G115" s="243">
        <f t="shared" si="5"/>
        <v>0</v>
      </c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75"/>
      <c r="AL115" s="75"/>
      <c r="AM115" s="75"/>
    </row>
    <row r="116" spans="1:39" s="7" customFormat="1" ht="18.600000000000001" thickBot="1" x14ac:dyDescent="0.4">
      <c r="A116" s="228" t="s">
        <v>111</v>
      </c>
      <c r="B116" s="51" t="s">
        <v>289</v>
      </c>
      <c r="C116" s="243">
        <v>21929.560582569749</v>
      </c>
      <c r="D116" s="286">
        <v>9040</v>
      </c>
      <c r="E116" s="243">
        <f>IF(ISBLANK(D116),,C116)</f>
        <v>21929.560582569749</v>
      </c>
      <c r="F116" s="243">
        <f t="shared" si="4"/>
        <v>0</v>
      </c>
      <c r="G116" s="243">
        <f t="shared" si="5"/>
        <v>0</v>
      </c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75"/>
      <c r="AL116" s="75"/>
      <c r="AM116" s="75"/>
    </row>
    <row r="117" spans="1:39" s="7" customFormat="1" ht="18.600000000000001" thickBot="1" x14ac:dyDescent="0.4">
      <c r="A117" s="228" t="s">
        <v>112</v>
      </c>
      <c r="B117" s="51" t="s">
        <v>290</v>
      </c>
      <c r="C117" s="243">
        <v>2470.7794496245542</v>
      </c>
      <c r="D117" s="286">
        <v>9040</v>
      </c>
      <c r="E117" s="243">
        <f>IF(ISBLANK(D117),,C117)</f>
        <v>2470.7794496245542</v>
      </c>
      <c r="F117" s="243">
        <f t="shared" si="4"/>
        <v>0</v>
      </c>
      <c r="G117" s="243">
        <f t="shared" si="5"/>
        <v>0</v>
      </c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75"/>
      <c r="AL117" s="75"/>
      <c r="AM117" s="75"/>
    </row>
    <row r="118" spans="1:39" s="7" customFormat="1" ht="18.600000000000001" thickBot="1" x14ac:dyDescent="0.4">
      <c r="A118" s="228" t="s">
        <v>113</v>
      </c>
      <c r="B118" s="51" t="s">
        <v>291</v>
      </c>
      <c r="C118" s="243">
        <v>25138.023864611081</v>
      </c>
      <c r="D118" s="286"/>
      <c r="E118" s="243"/>
      <c r="F118" s="243">
        <f t="shared" si="4"/>
        <v>25138</v>
      </c>
      <c r="G118" s="243">
        <f t="shared" si="5"/>
        <v>0</v>
      </c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>
        <v>25138</v>
      </c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75"/>
      <c r="AL118" s="75"/>
      <c r="AM118" s="75"/>
    </row>
    <row r="119" spans="1:39" s="7" customFormat="1" ht="18.600000000000001" thickBot="1" x14ac:dyDescent="0.4">
      <c r="A119" s="228" t="s">
        <v>114</v>
      </c>
      <c r="B119" s="51" t="s">
        <v>292</v>
      </c>
      <c r="C119" s="243">
        <v>79764.141093326689</v>
      </c>
      <c r="D119" s="286"/>
      <c r="E119" s="243"/>
      <c r="F119" s="243">
        <f t="shared" si="4"/>
        <v>79764</v>
      </c>
      <c r="G119" s="243">
        <f t="shared" si="5"/>
        <v>0</v>
      </c>
      <c r="H119" s="245"/>
      <c r="I119" s="245"/>
      <c r="J119" s="245"/>
      <c r="K119" s="245">
        <f>10525+5067</f>
        <v>15592</v>
      </c>
      <c r="L119" s="245"/>
      <c r="M119" s="245">
        <v>5035</v>
      </c>
      <c r="N119" s="245">
        <f>5008+5103</f>
        <v>10111</v>
      </c>
      <c r="O119" s="245"/>
      <c r="P119" s="245">
        <v>5103</v>
      </c>
      <c r="Q119" s="245">
        <v>8157</v>
      </c>
      <c r="R119" s="245">
        <v>8138</v>
      </c>
      <c r="S119" s="245">
        <v>8157</v>
      </c>
      <c r="T119" s="245"/>
      <c r="U119" s="245"/>
      <c r="V119" s="245">
        <v>19452</v>
      </c>
      <c r="W119" s="245">
        <v>19</v>
      </c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75"/>
      <c r="AL119" s="75"/>
      <c r="AM119" s="75"/>
    </row>
    <row r="120" spans="1:39" s="7" customFormat="1" ht="18.600000000000001" thickBot="1" x14ac:dyDescent="0.4">
      <c r="A120" s="228" t="s">
        <v>115</v>
      </c>
      <c r="B120" s="51" t="s">
        <v>293</v>
      </c>
      <c r="C120" s="243">
        <v>3958639.9349991698</v>
      </c>
      <c r="D120" s="286"/>
      <c r="E120" s="243"/>
      <c r="F120" s="243">
        <f t="shared" si="4"/>
        <v>3958640</v>
      </c>
      <c r="G120" s="243">
        <f t="shared" si="5"/>
        <v>0</v>
      </c>
      <c r="H120" s="245"/>
      <c r="I120" s="245"/>
      <c r="J120" s="245"/>
      <c r="K120" s="245">
        <v>565615</v>
      </c>
      <c r="L120" s="245"/>
      <c r="M120" s="245">
        <v>54393</v>
      </c>
      <c r="N120" s="245">
        <v>292762</v>
      </c>
      <c r="O120" s="245">
        <v>307141</v>
      </c>
      <c r="P120" s="245">
        <v>300600</v>
      </c>
      <c r="Q120" s="245">
        <v>335742</v>
      </c>
      <c r="R120" s="245">
        <v>384408</v>
      </c>
      <c r="S120" s="245">
        <v>301299</v>
      </c>
      <c r="T120" s="245">
        <v>305358</v>
      </c>
      <c r="U120" s="245">
        <v>313108</v>
      </c>
      <c r="V120" s="245"/>
      <c r="W120" s="245">
        <v>74819</v>
      </c>
      <c r="X120" s="245"/>
      <c r="Y120" s="245">
        <v>723395</v>
      </c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75"/>
      <c r="AL120" s="75"/>
      <c r="AM120" s="75"/>
    </row>
    <row r="121" spans="1:39" s="7" customFormat="1" ht="18.600000000000001" thickBot="1" x14ac:dyDescent="0.4">
      <c r="A121" s="228" t="s">
        <v>116</v>
      </c>
      <c r="B121" s="51" t="s">
        <v>294</v>
      </c>
      <c r="C121" s="243">
        <v>13156.198629216122</v>
      </c>
      <c r="D121" s="286"/>
      <c r="E121" s="243"/>
      <c r="F121" s="243">
        <f t="shared" si="4"/>
        <v>13156</v>
      </c>
      <c r="G121" s="243">
        <f t="shared" si="5"/>
        <v>0</v>
      </c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>
        <v>12742</v>
      </c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>
        <v>414</v>
      </c>
      <c r="AE121" s="245"/>
      <c r="AF121" s="245"/>
      <c r="AG121" s="245"/>
      <c r="AH121" s="245"/>
      <c r="AI121" s="245"/>
      <c r="AJ121" s="245"/>
      <c r="AK121" s="75"/>
      <c r="AL121" s="75"/>
      <c r="AM121" s="75"/>
    </row>
    <row r="122" spans="1:39" s="7" customFormat="1" ht="18.600000000000001" thickBot="1" x14ac:dyDescent="0.4">
      <c r="A122" s="228" t="s">
        <v>117</v>
      </c>
      <c r="B122" s="51" t="s">
        <v>295</v>
      </c>
      <c r="C122" s="243">
        <v>246900.07868924519</v>
      </c>
      <c r="D122" s="286"/>
      <c r="E122" s="243"/>
      <c r="F122" s="243">
        <f t="shared" si="4"/>
        <v>246900</v>
      </c>
      <c r="G122" s="243">
        <f t="shared" si="5"/>
        <v>0</v>
      </c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>
        <v>239211</v>
      </c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>
        <v>7689</v>
      </c>
      <c r="AD122" s="245"/>
      <c r="AE122" s="245"/>
      <c r="AF122" s="245"/>
      <c r="AG122" s="245"/>
      <c r="AH122" s="245"/>
      <c r="AI122" s="245"/>
      <c r="AJ122" s="245"/>
      <c r="AK122" s="75"/>
      <c r="AL122" s="75"/>
      <c r="AM122" s="75"/>
    </row>
    <row r="123" spans="1:39" s="7" customFormat="1" ht="18.600000000000001" thickBot="1" x14ac:dyDescent="0.4">
      <c r="A123" s="228" t="s">
        <v>118</v>
      </c>
      <c r="B123" s="51" t="s">
        <v>296</v>
      </c>
      <c r="C123" s="243">
        <v>817011.40853538585</v>
      </c>
      <c r="D123" s="286"/>
      <c r="E123" s="243"/>
      <c r="F123" s="243">
        <f t="shared" si="4"/>
        <v>817011</v>
      </c>
      <c r="G123" s="243">
        <f t="shared" si="5"/>
        <v>0</v>
      </c>
      <c r="H123" s="245"/>
      <c r="I123" s="245"/>
      <c r="J123" s="245"/>
      <c r="K123" s="245">
        <v>150369</v>
      </c>
      <c r="L123" s="245">
        <v>61698</v>
      </c>
      <c r="M123" s="245">
        <v>53868</v>
      </c>
      <c r="N123" s="245">
        <v>51777</v>
      </c>
      <c r="O123" s="245">
        <v>74940</v>
      </c>
      <c r="P123" s="245">
        <v>60308</v>
      </c>
      <c r="Q123" s="245">
        <v>49196</v>
      </c>
      <c r="R123" s="245">
        <v>67024</v>
      </c>
      <c r="S123" s="245">
        <v>66346</v>
      </c>
      <c r="T123" s="245">
        <v>60144</v>
      </c>
      <c r="U123" s="245">
        <v>47421</v>
      </c>
      <c r="V123" s="245">
        <v>73920</v>
      </c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5"/>
      <c r="AK123" s="75"/>
      <c r="AL123" s="75"/>
      <c r="AM123" s="75"/>
    </row>
    <row r="124" spans="1:39" s="7" customFormat="1" ht="18.600000000000001" thickBot="1" x14ac:dyDescent="0.4">
      <c r="A124" s="228" t="s">
        <v>119</v>
      </c>
      <c r="B124" s="51" t="s">
        <v>297</v>
      </c>
      <c r="C124" s="243">
        <v>140299.04972117161</v>
      </c>
      <c r="D124" s="286"/>
      <c r="E124" s="243"/>
      <c r="F124" s="243">
        <f t="shared" si="4"/>
        <v>140299</v>
      </c>
      <c r="G124" s="243">
        <f t="shared" si="5"/>
        <v>0</v>
      </c>
      <c r="H124" s="245"/>
      <c r="I124" s="245"/>
      <c r="J124" s="245"/>
      <c r="K124" s="245"/>
      <c r="L124" s="245"/>
      <c r="M124" s="245"/>
      <c r="N124" s="245"/>
      <c r="O124" s="245">
        <v>74080</v>
      </c>
      <c r="P124" s="245"/>
      <c r="Q124" s="245">
        <v>10407</v>
      </c>
      <c r="R124" s="245"/>
      <c r="S124" s="245"/>
      <c r="T124" s="245">
        <v>55087</v>
      </c>
      <c r="U124" s="245"/>
      <c r="V124" s="245">
        <v>725</v>
      </c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75"/>
      <c r="AL124" s="75"/>
      <c r="AM124" s="75"/>
    </row>
    <row r="125" spans="1:39" s="7" customFormat="1" ht="18.600000000000001" thickBot="1" x14ac:dyDescent="0.4">
      <c r="A125" s="228" t="s">
        <v>120</v>
      </c>
      <c r="B125" s="51" t="s">
        <v>298</v>
      </c>
      <c r="C125" s="243">
        <v>72797.778203556954</v>
      </c>
      <c r="D125" s="286"/>
      <c r="E125" s="243"/>
      <c r="F125" s="243">
        <f t="shared" si="4"/>
        <v>72800</v>
      </c>
      <c r="G125" s="243">
        <f t="shared" si="5"/>
        <v>-2</v>
      </c>
      <c r="H125" s="245"/>
      <c r="I125" s="245"/>
      <c r="J125" s="245"/>
      <c r="K125" s="245"/>
      <c r="L125" s="245"/>
      <c r="M125" s="245"/>
      <c r="N125" s="245"/>
      <c r="O125" s="245">
        <v>36018</v>
      </c>
      <c r="P125" s="245"/>
      <c r="Q125" s="245"/>
      <c r="R125" s="245"/>
      <c r="S125" s="245"/>
      <c r="T125" s="245">
        <v>36782</v>
      </c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75"/>
      <c r="AL125" s="75"/>
      <c r="AM125" s="75"/>
    </row>
    <row r="126" spans="1:39" s="7" customFormat="1" ht="18.600000000000001" thickBot="1" x14ac:dyDescent="0.4">
      <c r="A126" s="228" t="s">
        <v>121</v>
      </c>
      <c r="B126" s="51" t="s">
        <v>299</v>
      </c>
      <c r="C126" s="243">
        <v>1291216.7591020821</v>
      </c>
      <c r="D126" s="286"/>
      <c r="E126" s="243"/>
      <c r="F126" s="243">
        <f t="shared" si="4"/>
        <v>1291257</v>
      </c>
      <c r="G126" s="243">
        <f t="shared" si="5"/>
        <v>-40</v>
      </c>
      <c r="H126" s="245"/>
      <c r="I126" s="245"/>
      <c r="J126" s="245"/>
      <c r="K126" s="245">
        <v>23076</v>
      </c>
      <c r="L126" s="245">
        <v>139088</v>
      </c>
      <c r="M126" s="245">
        <v>117677</v>
      </c>
      <c r="N126" s="245">
        <v>118355</v>
      </c>
      <c r="O126" s="245">
        <v>108869</v>
      </c>
      <c r="P126" s="245">
        <v>116058</v>
      </c>
      <c r="Q126" s="245">
        <v>112379</v>
      </c>
      <c r="R126" s="245">
        <v>113256</v>
      </c>
      <c r="S126" s="245">
        <v>114386</v>
      </c>
      <c r="T126" s="245">
        <v>110756</v>
      </c>
      <c r="U126" s="245">
        <v>109371</v>
      </c>
      <c r="V126" s="245">
        <v>107986</v>
      </c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75"/>
      <c r="AL126" s="75"/>
      <c r="AM126" s="75"/>
    </row>
    <row r="127" spans="1:39" s="7" customFormat="1" ht="18.600000000000001" thickBot="1" x14ac:dyDescent="0.4">
      <c r="A127" s="228" t="s">
        <v>122</v>
      </c>
      <c r="B127" s="51" t="s">
        <v>300</v>
      </c>
      <c r="C127" s="243">
        <v>68043.277715388409</v>
      </c>
      <c r="D127" s="286"/>
      <c r="E127" s="243"/>
      <c r="F127" s="243">
        <f t="shared" si="4"/>
        <v>68043</v>
      </c>
      <c r="G127" s="243">
        <f t="shared" si="5"/>
        <v>0</v>
      </c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>
        <v>30621</v>
      </c>
      <c r="AB127" s="245"/>
      <c r="AC127" s="245"/>
      <c r="AD127" s="245"/>
      <c r="AE127" s="245"/>
      <c r="AF127" s="245"/>
      <c r="AG127" s="245"/>
      <c r="AH127" s="245"/>
      <c r="AI127" s="245">
        <v>37422</v>
      </c>
      <c r="AJ127" s="245"/>
      <c r="AK127" s="75"/>
      <c r="AL127" s="75"/>
      <c r="AM127" s="75"/>
    </row>
    <row r="128" spans="1:39" s="7" customFormat="1" ht="18.600000000000001" thickBot="1" x14ac:dyDescent="0.4">
      <c r="A128" s="228" t="s">
        <v>123</v>
      </c>
      <c r="B128" s="51" t="s">
        <v>301</v>
      </c>
      <c r="C128" s="243">
        <v>209115.16119103727</v>
      </c>
      <c r="D128" s="286">
        <v>9035</v>
      </c>
      <c r="E128" s="243">
        <f>IF(ISBLANK(D128),,C128)</f>
        <v>209115.16119103727</v>
      </c>
      <c r="F128" s="243">
        <f t="shared" si="4"/>
        <v>0</v>
      </c>
      <c r="G128" s="243">
        <f t="shared" si="5"/>
        <v>0</v>
      </c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5"/>
      <c r="AK128" s="75"/>
      <c r="AL128" s="75"/>
      <c r="AM128" s="75"/>
    </row>
    <row r="129" spans="1:39" s="7" customFormat="1" ht="18.600000000000001" thickBot="1" x14ac:dyDescent="0.4">
      <c r="A129" s="228" t="s">
        <v>124</v>
      </c>
      <c r="B129" s="51" t="s">
        <v>302</v>
      </c>
      <c r="C129" s="243">
        <v>595796.06420259411</v>
      </c>
      <c r="D129" s="286"/>
      <c r="E129" s="243"/>
      <c r="F129" s="243">
        <f t="shared" si="4"/>
        <v>595796</v>
      </c>
      <c r="G129" s="243">
        <f t="shared" si="5"/>
        <v>0</v>
      </c>
      <c r="H129" s="245"/>
      <c r="I129" s="245"/>
      <c r="J129" s="245"/>
      <c r="K129" s="245">
        <v>43164</v>
      </c>
      <c r="L129" s="245"/>
      <c r="M129" s="245">
        <v>25855</v>
      </c>
      <c r="N129" s="245">
        <v>42060</v>
      </c>
      <c r="O129" s="245">
        <v>36624</v>
      </c>
      <c r="P129" s="245">
        <v>57264</v>
      </c>
      <c r="Q129" s="245">
        <v>50324</v>
      </c>
      <c r="R129" s="245">
        <v>45547</v>
      </c>
      <c r="S129" s="245">
        <v>47457</v>
      </c>
      <c r="T129" s="245">
        <v>41464</v>
      </c>
      <c r="U129" s="245">
        <v>34059</v>
      </c>
      <c r="V129" s="245">
        <v>26076</v>
      </c>
      <c r="W129" s="245">
        <f>52499+48404</f>
        <v>100903</v>
      </c>
      <c r="X129" s="245">
        <v>44999</v>
      </c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75"/>
      <c r="AL129" s="75"/>
      <c r="AM129" s="75"/>
    </row>
    <row r="130" spans="1:39" s="7" customFormat="1" ht="18.600000000000001" thickBot="1" x14ac:dyDescent="0.4">
      <c r="A130" s="228" t="s">
        <v>125</v>
      </c>
      <c r="B130" s="51" t="s">
        <v>303</v>
      </c>
      <c r="C130" s="243">
        <v>10469.932436497045</v>
      </c>
      <c r="D130" s="286">
        <v>9035</v>
      </c>
      <c r="E130" s="243">
        <f>IF(ISBLANK(D130),,C130)</f>
        <v>10469.932436497045</v>
      </c>
      <c r="F130" s="243">
        <f t="shared" si="4"/>
        <v>0</v>
      </c>
      <c r="G130" s="243">
        <f t="shared" si="5"/>
        <v>0</v>
      </c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75"/>
      <c r="AL130" s="75"/>
      <c r="AM130" s="75"/>
    </row>
    <row r="131" spans="1:39" s="7" customFormat="1" ht="18.600000000000001" thickBot="1" x14ac:dyDescent="0.4">
      <c r="A131" s="228" t="s">
        <v>126</v>
      </c>
      <c r="B131" s="51" t="s">
        <v>304</v>
      </c>
      <c r="C131" s="243">
        <v>93565.087652598406</v>
      </c>
      <c r="D131" s="286">
        <v>9035</v>
      </c>
      <c r="E131" s="243">
        <f>IF(ISBLANK(D131),,C131)</f>
        <v>93565.087652598406</v>
      </c>
      <c r="F131" s="243">
        <f t="shared" si="4"/>
        <v>0</v>
      </c>
      <c r="G131" s="243">
        <f t="shared" si="5"/>
        <v>0</v>
      </c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75"/>
      <c r="AL131" s="75"/>
      <c r="AM131" s="75"/>
    </row>
    <row r="132" spans="1:39" s="7" customFormat="1" ht="18.600000000000001" thickBot="1" x14ac:dyDescent="0.4">
      <c r="A132" s="228" t="s">
        <v>127</v>
      </c>
      <c r="B132" s="51" t="s">
        <v>305</v>
      </c>
      <c r="C132" s="243">
        <v>768970.13730789721</v>
      </c>
      <c r="D132" s="286"/>
      <c r="E132" s="243"/>
      <c r="F132" s="243">
        <f t="shared" si="4"/>
        <v>768970</v>
      </c>
      <c r="G132" s="243">
        <f t="shared" si="5"/>
        <v>0</v>
      </c>
      <c r="H132" s="245"/>
      <c r="I132" s="245"/>
      <c r="J132" s="245"/>
      <c r="K132" s="245"/>
      <c r="L132" s="245"/>
      <c r="M132" s="245"/>
      <c r="N132" s="245">
        <v>246076</v>
      </c>
      <c r="O132" s="245">
        <v>78011</v>
      </c>
      <c r="P132" s="245">
        <v>77155</v>
      </c>
      <c r="Q132" s="245">
        <v>70966</v>
      </c>
      <c r="R132" s="245">
        <v>70788</v>
      </c>
      <c r="S132" s="245">
        <f>72461+146961</f>
        <v>219422</v>
      </c>
      <c r="T132" s="245"/>
      <c r="U132" s="245"/>
      <c r="V132" s="245">
        <v>6372</v>
      </c>
      <c r="W132" s="245">
        <v>180</v>
      </c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  <c r="AH132" s="245"/>
      <c r="AI132" s="245"/>
      <c r="AJ132" s="245"/>
      <c r="AK132" s="75"/>
      <c r="AL132" s="75"/>
      <c r="AM132" s="75"/>
    </row>
    <row r="133" spans="1:39" s="7" customFormat="1" ht="18.600000000000001" thickBot="1" x14ac:dyDescent="0.4">
      <c r="A133" s="228" t="s">
        <v>128</v>
      </c>
      <c r="B133" s="51" t="s">
        <v>306</v>
      </c>
      <c r="C133" s="243">
        <v>539716.80365962279</v>
      </c>
      <c r="D133" s="286"/>
      <c r="E133" s="243"/>
      <c r="F133" s="243">
        <f t="shared" si="4"/>
        <v>539717</v>
      </c>
      <c r="G133" s="243">
        <f t="shared" si="5"/>
        <v>0</v>
      </c>
      <c r="H133" s="245"/>
      <c r="I133" s="245"/>
      <c r="J133" s="245"/>
      <c r="K133" s="245"/>
      <c r="L133" s="245"/>
      <c r="M133" s="245"/>
      <c r="N133" s="245"/>
      <c r="O133" s="245"/>
      <c r="P133" s="245"/>
      <c r="Q133" s="245">
        <v>416412</v>
      </c>
      <c r="R133" s="245"/>
      <c r="S133" s="245">
        <v>118629</v>
      </c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>
        <v>4676</v>
      </c>
      <c r="AE133" s="245"/>
      <c r="AF133" s="245"/>
      <c r="AG133" s="245"/>
      <c r="AH133" s="245"/>
      <c r="AI133" s="245"/>
      <c r="AJ133" s="245"/>
      <c r="AK133" s="75"/>
      <c r="AL133" s="75"/>
      <c r="AM133" s="75"/>
    </row>
    <row r="134" spans="1:39" s="7" customFormat="1" ht="18.600000000000001" thickBot="1" x14ac:dyDescent="0.4">
      <c r="A134" s="228" t="s">
        <v>129</v>
      </c>
      <c r="B134" s="51" t="s">
        <v>307</v>
      </c>
      <c r="C134" s="243">
        <v>117810.44110029656</v>
      </c>
      <c r="D134" s="286"/>
      <c r="E134" s="243"/>
      <c r="F134" s="243">
        <f t="shared" si="4"/>
        <v>117810</v>
      </c>
      <c r="G134" s="243">
        <f t="shared" si="5"/>
        <v>0</v>
      </c>
      <c r="H134" s="245"/>
      <c r="I134" s="245"/>
      <c r="J134" s="245"/>
      <c r="K134" s="245"/>
      <c r="L134" s="245">
        <v>21146</v>
      </c>
      <c r="M134" s="245"/>
      <c r="N134" s="245"/>
      <c r="O134" s="245"/>
      <c r="P134" s="245">
        <v>41398</v>
      </c>
      <c r="Q134" s="245"/>
      <c r="R134" s="245"/>
      <c r="S134" s="245">
        <v>38460</v>
      </c>
      <c r="T134" s="245"/>
      <c r="U134" s="245"/>
      <c r="V134" s="245"/>
      <c r="W134" s="245">
        <v>16806</v>
      </c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75"/>
      <c r="AL134" s="75"/>
      <c r="AM134" s="75"/>
    </row>
    <row r="135" spans="1:39" s="7" customFormat="1" ht="18.600000000000001" thickBot="1" x14ac:dyDescent="0.4">
      <c r="A135" s="228" t="s">
        <v>130</v>
      </c>
      <c r="B135" s="51" t="s">
        <v>308</v>
      </c>
      <c r="C135" s="243">
        <v>86925.171626605515</v>
      </c>
      <c r="D135" s="287"/>
      <c r="E135" s="243"/>
      <c r="F135" s="243">
        <f t="shared" si="4"/>
        <v>86925</v>
      </c>
      <c r="G135" s="243">
        <f t="shared" si="5"/>
        <v>0</v>
      </c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>
        <v>86925</v>
      </c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75"/>
      <c r="AL135" s="75"/>
      <c r="AM135" s="75"/>
    </row>
    <row r="136" spans="1:39" s="7" customFormat="1" ht="18.600000000000001" thickBot="1" x14ac:dyDescent="0.4">
      <c r="A136" s="228" t="s">
        <v>131</v>
      </c>
      <c r="B136" s="51" t="s">
        <v>309</v>
      </c>
      <c r="C136" s="243">
        <v>32812.602262238252</v>
      </c>
      <c r="D136" s="286"/>
      <c r="E136" s="243"/>
      <c r="F136" s="243">
        <f t="shared" si="4"/>
        <v>32813</v>
      </c>
      <c r="G136" s="243">
        <f t="shared" si="5"/>
        <v>0</v>
      </c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>
        <v>32811</v>
      </c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>
        <v>2</v>
      </c>
      <c r="AE136" s="245"/>
      <c r="AF136" s="245"/>
      <c r="AG136" s="245"/>
      <c r="AH136" s="245"/>
      <c r="AI136" s="245"/>
      <c r="AJ136" s="245"/>
      <c r="AK136" s="75"/>
      <c r="AL136" s="75"/>
      <c r="AM136" s="75"/>
    </row>
    <row r="137" spans="1:39" s="7" customFormat="1" ht="18.600000000000001" thickBot="1" x14ac:dyDescent="0.4">
      <c r="A137" s="228" t="s">
        <v>132</v>
      </c>
      <c r="B137" s="51" t="s">
        <v>310</v>
      </c>
      <c r="C137" s="243">
        <v>51249.504836440989</v>
      </c>
      <c r="D137" s="286"/>
      <c r="E137" s="243"/>
      <c r="F137" s="243">
        <f t="shared" si="4"/>
        <v>51251</v>
      </c>
      <c r="G137" s="243">
        <f t="shared" si="5"/>
        <v>-1</v>
      </c>
      <c r="H137" s="245"/>
      <c r="I137" s="245"/>
      <c r="J137" s="245"/>
      <c r="K137" s="245"/>
      <c r="L137" s="245">
        <v>16719</v>
      </c>
      <c r="M137" s="245"/>
      <c r="N137" s="245"/>
      <c r="O137" s="245">
        <v>16720</v>
      </c>
      <c r="P137" s="245">
        <v>11146</v>
      </c>
      <c r="Q137" s="245"/>
      <c r="R137" s="245">
        <v>6666</v>
      </c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75"/>
      <c r="AL137" s="75"/>
      <c r="AM137" s="75"/>
    </row>
    <row r="138" spans="1:39" s="7" customFormat="1" ht="18.600000000000001" thickBot="1" x14ac:dyDescent="0.4">
      <c r="A138" s="228" t="s">
        <v>133</v>
      </c>
      <c r="B138" s="51" t="s">
        <v>311</v>
      </c>
      <c r="C138" s="243">
        <v>29087.005007191248</v>
      </c>
      <c r="D138" s="286"/>
      <c r="E138" s="243"/>
      <c r="F138" s="243">
        <f t="shared" si="4"/>
        <v>29087</v>
      </c>
      <c r="G138" s="243">
        <f t="shared" si="5"/>
        <v>0</v>
      </c>
      <c r="H138" s="245"/>
      <c r="I138" s="245"/>
      <c r="J138" s="245"/>
      <c r="K138" s="245"/>
      <c r="L138" s="245"/>
      <c r="M138" s="245"/>
      <c r="N138" s="245"/>
      <c r="O138" s="245">
        <v>11848</v>
      </c>
      <c r="P138" s="245"/>
      <c r="Q138" s="245"/>
      <c r="R138" s="245"/>
      <c r="S138" s="245">
        <v>9636</v>
      </c>
      <c r="T138" s="245"/>
      <c r="U138" s="245"/>
      <c r="V138" s="245">
        <v>7596</v>
      </c>
      <c r="W138" s="245"/>
      <c r="X138" s="245"/>
      <c r="Y138" s="245"/>
      <c r="Z138" s="245"/>
      <c r="AA138" s="245"/>
      <c r="AB138" s="245"/>
      <c r="AC138" s="245"/>
      <c r="AD138" s="245"/>
      <c r="AE138" s="245">
        <v>7</v>
      </c>
      <c r="AF138" s="245"/>
      <c r="AG138" s="245"/>
      <c r="AH138" s="245"/>
      <c r="AI138" s="245"/>
      <c r="AJ138" s="245"/>
      <c r="AK138" s="75"/>
      <c r="AL138" s="75"/>
      <c r="AM138" s="75"/>
    </row>
    <row r="139" spans="1:39" s="7" customFormat="1" ht="18.600000000000001" thickBot="1" x14ac:dyDescent="0.4">
      <c r="A139" s="228" t="s">
        <v>134</v>
      </c>
      <c r="B139" s="51" t="s">
        <v>312</v>
      </c>
      <c r="C139" s="243">
        <v>48019.908482177692</v>
      </c>
      <c r="D139" s="286"/>
      <c r="E139" s="243"/>
      <c r="F139" s="243">
        <f t="shared" si="4"/>
        <v>48020</v>
      </c>
      <c r="G139" s="243">
        <f t="shared" si="5"/>
        <v>0</v>
      </c>
      <c r="H139" s="245"/>
      <c r="I139" s="245"/>
      <c r="J139" s="245"/>
      <c r="K139" s="245"/>
      <c r="L139" s="245"/>
      <c r="M139" s="245"/>
      <c r="N139" s="245">
        <v>18390</v>
      </c>
      <c r="O139" s="245"/>
      <c r="P139" s="245">
        <v>7502</v>
      </c>
      <c r="Q139" s="245"/>
      <c r="R139" s="245"/>
      <c r="S139" s="245">
        <v>22128</v>
      </c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75"/>
      <c r="AL139" s="75"/>
      <c r="AM139" s="75"/>
    </row>
    <row r="140" spans="1:39" s="7" customFormat="1" ht="18.600000000000001" thickBot="1" x14ac:dyDescent="0.4">
      <c r="A140" s="228" t="s">
        <v>135</v>
      </c>
      <c r="B140" s="51" t="s">
        <v>313</v>
      </c>
      <c r="C140" s="243">
        <v>160114.38775378763</v>
      </c>
      <c r="D140" s="286"/>
      <c r="E140" s="243"/>
      <c r="F140" s="243">
        <f t="shared" si="4"/>
        <v>160114</v>
      </c>
      <c r="G140" s="243">
        <f t="shared" si="5"/>
        <v>0</v>
      </c>
      <c r="H140" s="245"/>
      <c r="I140" s="245"/>
      <c r="J140" s="245"/>
      <c r="K140" s="245"/>
      <c r="L140" s="245"/>
      <c r="M140" s="245"/>
      <c r="N140" s="245">
        <v>32152</v>
      </c>
      <c r="O140" s="245"/>
      <c r="P140" s="245">
        <v>39276</v>
      </c>
      <c r="Q140" s="245"/>
      <c r="R140" s="245"/>
      <c r="S140" s="245">
        <v>56564</v>
      </c>
      <c r="T140" s="245"/>
      <c r="U140" s="245"/>
      <c r="V140" s="245"/>
      <c r="W140" s="245"/>
      <c r="X140" s="245"/>
      <c r="Y140" s="245"/>
      <c r="Z140" s="245">
        <v>32122</v>
      </c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75"/>
      <c r="AL140" s="75"/>
      <c r="AM140" s="75"/>
    </row>
    <row r="141" spans="1:39" s="7" customFormat="1" ht="18.600000000000001" thickBot="1" x14ac:dyDescent="0.4">
      <c r="A141" s="228" t="s">
        <v>136</v>
      </c>
      <c r="B141" s="51" t="s">
        <v>314</v>
      </c>
      <c r="C141" s="243">
        <v>129706.57362190199</v>
      </c>
      <c r="D141" s="286"/>
      <c r="E141" s="243"/>
      <c r="F141" s="243">
        <f t="shared" si="4"/>
        <v>129707</v>
      </c>
      <c r="G141" s="243">
        <f t="shared" si="5"/>
        <v>0</v>
      </c>
      <c r="H141" s="245"/>
      <c r="I141" s="245"/>
      <c r="J141" s="245"/>
      <c r="K141" s="245"/>
      <c r="L141" s="245">
        <v>39262</v>
      </c>
      <c r="M141" s="245"/>
      <c r="N141" s="245"/>
      <c r="O141" s="245"/>
      <c r="P141" s="245"/>
      <c r="Q141" s="245"/>
      <c r="R141" s="245">
        <v>50499</v>
      </c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>
        <v>39946</v>
      </c>
      <c r="AE141" s="245"/>
      <c r="AF141" s="245"/>
      <c r="AG141" s="245"/>
      <c r="AH141" s="245"/>
      <c r="AI141" s="245"/>
      <c r="AJ141" s="245"/>
      <c r="AK141" s="75"/>
      <c r="AL141" s="75"/>
      <c r="AM141" s="75"/>
    </row>
    <row r="142" spans="1:39" s="7" customFormat="1" ht="18.600000000000001" thickBot="1" x14ac:dyDescent="0.4">
      <c r="A142" s="228" t="s">
        <v>137</v>
      </c>
      <c r="B142" s="51" t="s">
        <v>315</v>
      </c>
      <c r="C142" s="243">
        <v>86826.195872110795</v>
      </c>
      <c r="D142" s="286"/>
      <c r="E142" s="243"/>
      <c r="F142" s="243">
        <f t="shared" ref="F142:F198" si="6">SUM(H142:AJ142)</f>
        <v>86826</v>
      </c>
      <c r="G142" s="243">
        <f t="shared" si="5"/>
        <v>0</v>
      </c>
      <c r="H142" s="245"/>
      <c r="I142" s="245"/>
      <c r="J142" s="245"/>
      <c r="K142" s="245"/>
      <c r="L142" s="245"/>
      <c r="M142" s="245"/>
      <c r="N142" s="245"/>
      <c r="O142" s="245"/>
      <c r="P142" s="245"/>
      <c r="Q142" s="245">
        <v>86826</v>
      </c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75"/>
      <c r="AL142" s="75"/>
      <c r="AM142" s="75"/>
    </row>
    <row r="143" spans="1:39" s="7" customFormat="1" ht="18.600000000000001" thickBot="1" x14ac:dyDescent="0.4">
      <c r="A143" s="228" t="s">
        <v>138</v>
      </c>
      <c r="B143" s="51" t="s">
        <v>316</v>
      </c>
      <c r="C143" s="243">
        <v>35012.044669886047</v>
      </c>
      <c r="D143" s="286">
        <v>9040</v>
      </c>
      <c r="E143" s="243">
        <f>IF(ISBLANK(D143),,C143)</f>
        <v>35012.044669886047</v>
      </c>
      <c r="F143" s="243">
        <f t="shared" si="6"/>
        <v>0</v>
      </c>
      <c r="G143" s="243">
        <f t="shared" si="5"/>
        <v>0</v>
      </c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75"/>
      <c r="AL143" s="75"/>
      <c r="AM143" s="75"/>
    </row>
    <row r="144" spans="1:39" s="7" customFormat="1" ht="18.600000000000001" thickBot="1" x14ac:dyDescent="0.4">
      <c r="A144" s="228" t="s">
        <v>139</v>
      </c>
      <c r="B144" s="51" t="s">
        <v>394</v>
      </c>
      <c r="C144" s="243">
        <v>82077.593726424806</v>
      </c>
      <c r="D144" s="286"/>
      <c r="E144" s="243"/>
      <c r="F144" s="243">
        <f t="shared" si="6"/>
        <v>82078</v>
      </c>
      <c r="G144" s="243">
        <f t="shared" si="5"/>
        <v>0</v>
      </c>
      <c r="H144" s="245"/>
      <c r="I144" s="245"/>
      <c r="J144" s="245"/>
      <c r="K144" s="245"/>
      <c r="L144" s="245"/>
      <c r="M144" s="245"/>
      <c r="N144" s="245"/>
      <c r="O144" s="245"/>
      <c r="P144" s="245">
        <v>40987</v>
      </c>
      <c r="Q144" s="245"/>
      <c r="R144" s="245"/>
      <c r="S144" s="245">
        <v>41038</v>
      </c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>
        <v>53</v>
      </c>
      <c r="AK144" s="75"/>
      <c r="AL144" s="75"/>
      <c r="AM144" s="75"/>
    </row>
    <row r="145" spans="1:39" s="7" customFormat="1" ht="18.600000000000001" thickBot="1" x14ac:dyDescent="0.4">
      <c r="A145" s="228" t="s">
        <v>140</v>
      </c>
      <c r="B145" s="51" t="s">
        <v>318</v>
      </c>
      <c r="C145" s="243">
        <v>69595.729112612215</v>
      </c>
      <c r="D145" s="286"/>
      <c r="E145" s="243"/>
      <c r="F145" s="243">
        <f t="shared" si="6"/>
        <v>69596</v>
      </c>
      <c r="G145" s="243">
        <f t="shared" si="5"/>
        <v>0</v>
      </c>
      <c r="H145" s="245"/>
      <c r="I145" s="245"/>
      <c r="J145" s="245"/>
      <c r="K145" s="245"/>
      <c r="L145" s="245"/>
      <c r="M145" s="245">
        <v>29108</v>
      </c>
      <c r="N145" s="245"/>
      <c r="O145" s="245"/>
      <c r="P145" s="245"/>
      <c r="Q145" s="245">
        <v>38037</v>
      </c>
      <c r="R145" s="245"/>
      <c r="S145" s="245"/>
      <c r="T145" s="245"/>
      <c r="U145" s="245"/>
      <c r="V145" s="245"/>
      <c r="W145" s="245">
        <v>2451</v>
      </c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75"/>
      <c r="AL145" s="75"/>
      <c r="AM145" s="75"/>
    </row>
    <row r="146" spans="1:39" s="7" customFormat="1" ht="18.600000000000001" thickBot="1" x14ac:dyDescent="0.4">
      <c r="A146" s="228" t="s">
        <v>141</v>
      </c>
      <c r="B146" s="51" t="s">
        <v>319</v>
      </c>
      <c r="C146" s="243">
        <v>473303.65743118216</v>
      </c>
      <c r="D146" s="286"/>
      <c r="E146" s="243"/>
      <c r="F146" s="243">
        <f t="shared" si="6"/>
        <v>473304</v>
      </c>
      <c r="G146" s="243">
        <f t="shared" si="5"/>
        <v>0</v>
      </c>
      <c r="H146" s="245"/>
      <c r="I146" s="245"/>
      <c r="J146" s="245"/>
      <c r="K146" s="245"/>
      <c r="L146" s="245"/>
      <c r="M146" s="245"/>
      <c r="N146" s="245">
        <v>107203</v>
      </c>
      <c r="O146" s="245"/>
      <c r="P146" s="245">
        <v>110625</v>
      </c>
      <c r="Q146" s="245">
        <v>45656</v>
      </c>
      <c r="R146" s="245">
        <v>44572</v>
      </c>
      <c r="S146" s="245">
        <f>49867+67121</f>
        <v>116988</v>
      </c>
      <c r="T146" s="245"/>
      <c r="U146" s="245"/>
      <c r="V146" s="245"/>
      <c r="W146" s="245"/>
      <c r="X146" s="245">
        <v>48260</v>
      </c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75"/>
      <c r="AL146" s="75"/>
      <c r="AM146" s="75"/>
    </row>
    <row r="147" spans="1:39" s="7" customFormat="1" ht="18.600000000000001" thickBot="1" x14ac:dyDescent="0.4">
      <c r="A147" s="228" t="s">
        <v>142</v>
      </c>
      <c r="B147" s="51" t="s">
        <v>320</v>
      </c>
      <c r="C147" s="243">
        <v>105088.76423415552</v>
      </c>
      <c r="D147" s="286"/>
      <c r="E147" s="243"/>
      <c r="F147" s="243">
        <f t="shared" si="6"/>
        <v>105176</v>
      </c>
      <c r="G147" s="243">
        <f t="shared" si="5"/>
        <v>-87</v>
      </c>
      <c r="H147" s="245"/>
      <c r="I147" s="245"/>
      <c r="J147" s="245"/>
      <c r="K147" s="245"/>
      <c r="L147" s="245">
        <v>35848</v>
      </c>
      <c r="M147" s="245"/>
      <c r="N147" s="245"/>
      <c r="O147" s="245"/>
      <c r="P147" s="245">
        <v>23769</v>
      </c>
      <c r="Q147" s="245"/>
      <c r="R147" s="245">
        <f>87+45472</f>
        <v>45559</v>
      </c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75"/>
      <c r="AL147" s="75"/>
      <c r="AM147" s="75"/>
    </row>
    <row r="148" spans="1:39" s="7" customFormat="1" ht="18.600000000000001" thickBot="1" x14ac:dyDescent="0.4">
      <c r="A148" s="228" t="s">
        <v>143</v>
      </c>
      <c r="B148" s="51" t="s">
        <v>321</v>
      </c>
      <c r="C148" s="243">
        <v>36581.597545339879</v>
      </c>
      <c r="D148" s="286"/>
      <c r="E148" s="243"/>
      <c r="F148" s="243">
        <f t="shared" si="6"/>
        <v>36582</v>
      </c>
      <c r="G148" s="243">
        <f t="shared" si="5"/>
        <v>0</v>
      </c>
      <c r="H148" s="245"/>
      <c r="I148" s="245"/>
      <c r="J148" s="245"/>
      <c r="K148" s="245">
        <v>3198</v>
      </c>
      <c r="L148" s="245"/>
      <c r="M148" s="245">
        <v>6217</v>
      </c>
      <c r="N148" s="245"/>
      <c r="O148" s="245">
        <v>6400</v>
      </c>
      <c r="P148" s="245"/>
      <c r="Q148" s="245">
        <v>6447</v>
      </c>
      <c r="R148" s="245">
        <v>1127</v>
      </c>
      <c r="S148" s="245"/>
      <c r="T148" s="245"/>
      <c r="U148" s="245">
        <v>12964</v>
      </c>
      <c r="V148" s="245"/>
      <c r="W148" s="245"/>
      <c r="X148" s="245">
        <v>229</v>
      </c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75"/>
      <c r="AL148" s="75"/>
      <c r="AM148" s="75"/>
    </row>
    <row r="149" spans="1:39" s="7" customFormat="1" ht="18.600000000000001" thickBot="1" x14ac:dyDescent="0.4">
      <c r="A149" s="228" t="s">
        <v>144</v>
      </c>
      <c r="B149" s="51" t="s">
        <v>322</v>
      </c>
      <c r="C149" s="243">
        <v>5851529.7530290456</v>
      </c>
      <c r="D149" s="286"/>
      <c r="E149" s="243"/>
      <c r="F149" s="243">
        <f t="shared" si="6"/>
        <v>5851530</v>
      </c>
      <c r="G149" s="243">
        <f t="shared" si="5"/>
        <v>0</v>
      </c>
      <c r="H149" s="245"/>
      <c r="I149" s="245"/>
      <c r="J149" s="245"/>
      <c r="K149" s="245">
        <v>489498</v>
      </c>
      <c r="L149" s="245"/>
      <c r="M149" s="245"/>
      <c r="N149" s="245"/>
      <c r="O149" s="245">
        <v>452492</v>
      </c>
      <c r="P149" s="245">
        <v>455249</v>
      </c>
      <c r="Q149" s="245">
        <v>459344</v>
      </c>
      <c r="R149" s="245">
        <v>646684</v>
      </c>
      <c r="S149" s="245">
        <v>451719</v>
      </c>
      <c r="T149" s="245">
        <v>1056741</v>
      </c>
      <c r="U149" s="245">
        <v>626190</v>
      </c>
      <c r="V149" s="245">
        <v>74353</v>
      </c>
      <c r="W149" s="245">
        <f>19018+544048</f>
        <v>563066</v>
      </c>
      <c r="X149" s="245">
        <v>436948</v>
      </c>
      <c r="Y149" s="245">
        <v>139246</v>
      </c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75"/>
      <c r="AL149" s="75"/>
      <c r="AM149" s="75"/>
    </row>
    <row r="150" spans="1:39" s="7" customFormat="1" ht="18.600000000000001" thickBot="1" x14ac:dyDescent="0.4">
      <c r="A150" s="228" t="s">
        <v>145</v>
      </c>
      <c r="B150" s="51" t="s">
        <v>323</v>
      </c>
      <c r="C150" s="243">
        <v>1246168.9658061888</v>
      </c>
      <c r="D150" s="286"/>
      <c r="E150" s="243"/>
      <c r="F150" s="243">
        <f t="shared" si="6"/>
        <v>1246169</v>
      </c>
      <c r="G150" s="243">
        <f t="shared" si="5"/>
        <v>0</v>
      </c>
      <c r="H150" s="245"/>
      <c r="I150" s="245"/>
      <c r="J150" s="245"/>
      <c r="K150" s="245"/>
      <c r="L150" s="245"/>
      <c r="M150" s="245"/>
      <c r="N150" s="245"/>
      <c r="O150" s="245"/>
      <c r="P150" s="245"/>
      <c r="Q150" s="245">
        <v>4523</v>
      </c>
      <c r="R150" s="245">
        <v>122316</v>
      </c>
      <c r="S150" s="245">
        <v>98632</v>
      </c>
      <c r="T150" s="245">
        <v>180149</v>
      </c>
      <c r="U150" s="245">
        <v>61732</v>
      </c>
      <c r="V150" s="245">
        <v>1498</v>
      </c>
      <c r="W150" s="245"/>
      <c r="X150" s="245">
        <v>170645</v>
      </c>
      <c r="Y150" s="245"/>
      <c r="Z150" s="245"/>
      <c r="AA150" s="245"/>
      <c r="AB150" s="245">
        <f>419749+186925</f>
        <v>606674</v>
      </c>
      <c r="AC150" s="245"/>
      <c r="AD150" s="245"/>
      <c r="AE150" s="245"/>
      <c r="AF150" s="245"/>
      <c r="AG150" s="245"/>
      <c r="AH150" s="245"/>
      <c r="AI150" s="245"/>
      <c r="AJ150" s="245"/>
      <c r="AK150" s="75"/>
      <c r="AL150" s="75"/>
      <c r="AM150" s="75"/>
    </row>
    <row r="151" spans="1:39" s="7" customFormat="1" ht="18.600000000000001" thickBot="1" x14ac:dyDescent="0.4">
      <c r="A151" s="228" t="s">
        <v>146</v>
      </c>
      <c r="B151" s="51" t="s">
        <v>324</v>
      </c>
      <c r="C151" s="243">
        <v>51276.173182133723</v>
      </c>
      <c r="D151" s="286"/>
      <c r="E151" s="243"/>
      <c r="F151" s="243">
        <f t="shared" si="6"/>
        <v>51276</v>
      </c>
      <c r="G151" s="243">
        <f t="shared" si="5"/>
        <v>0</v>
      </c>
      <c r="H151" s="245"/>
      <c r="I151" s="245"/>
      <c r="J151" s="245"/>
      <c r="K151" s="245"/>
      <c r="L151" s="245">
        <v>12816</v>
      </c>
      <c r="M151" s="245"/>
      <c r="N151" s="245">
        <v>12816</v>
      </c>
      <c r="O151" s="245"/>
      <c r="P151" s="245"/>
      <c r="Q151" s="245">
        <v>12816</v>
      </c>
      <c r="R151" s="245"/>
      <c r="S151" s="245">
        <v>12828</v>
      </c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75"/>
      <c r="AL151" s="75"/>
      <c r="AM151" s="75"/>
    </row>
    <row r="152" spans="1:39" s="7" customFormat="1" ht="18.600000000000001" thickBot="1" x14ac:dyDescent="0.4">
      <c r="A152" s="228" t="s">
        <v>147</v>
      </c>
      <c r="B152" s="51" t="s">
        <v>325</v>
      </c>
      <c r="C152" s="243">
        <v>69658.834612526451</v>
      </c>
      <c r="D152" s="286"/>
      <c r="E152" s="243"/>
      <c r="F152" s="243">
        <f t="shared" si="6"/>
        <v>69659</v>
      </c>
      <c r="G152" s="243">
        <f t="shared" si="5"/>
        <v>0</v>
      </c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>
        <v>68801</v>
      </c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>
        <v>858</v>
      </c>
      <c r="AF152" s="245"/>
      <c r="AG152" s="245"/>
      <c r="AH152" s="245"/>
      <c r="AI152" s="245"/>
      <c r="AJ152" s="245"/>
      <c r="AK152" s="75"/>
      <c r="AL152" s="75"/>
      <c r="AM152" s="75"/>
    </row>
    <row r="153" spans="1:39" s="7" customFormat="1" ht="18.600000000000001" thickBot="1" x14ac:dyDescent="0.4">
      <c r="A153" s="228" t="s">
        <v>148</v>
      </c>
      <c r="B153" s="51" t="s">
        <v>326</v>
      </c>
      <c r="C153" s="243">
        <v>275047.21990785364</v>
      </c>
      <c r="D153" s="286"/>
      <c r="E153" s="243"/>
      <c r="F153" s="243">
        <f t="shared" si="6"/>
        <v>275047</v>
      </c>
      <c r="G153" s="243">
        <f t="shared" si="5"/>
        <v>0</v>
      </c>
      <c r="H153" s="245"/>
      <c r="I153" s="245"/>
      <c r="J153" s="245"/>
      <c r="K153" s="245"/>
      <c r="L153" s="245"/>
      <c r="M153" s="245">
        <v>76443</v>
      </c>
      <c r="N153" s="245"/>
      <c r="O153" s="245"/>
      <c r="P153" s="245"/>
      <c r="Q153" s="245"/>
      <c r="R153" s="245">
        <v>91471</v>
      </c>
      <c r="S153" s="245"/>
      <c r="T153" s="245"/>
      <c r="U153" s="245"/>
      <c r="V153" s="245"/>
      <c r="W153" s="245">
        <v>86218</v>
      </c>
      <c r="X153" s="245"/>
      <c r="Y153" s="245"/>
      <c r="Z153" s="245"/>
      <c r="AA153" s="245"/>
      <c r="AB153" s="245"/>
      <c r="AC153" s="245">
        <v>20915</v>
      </c>
      <c r="AD153" s="245"/>
      <c r="AE153" s="245"/>
      <c r="AF153" s="245"/>
      <c r="AG153" s="245"/>
      <c r="AH153" s="245"/>
      <c r="AI153" s="245"/>
      <c r="AJ153" s="245"/>
      <c r="AK153" s="75"/>
      <c r="AL153" s="75"/>
      <c r="AM153" s="75"/>
    </row>
    <row r="154" spans="1:39" s="7" customFormat="1" ht="18.600000000000001" thickBot="1" x14ac:dyDescent="0.4">
      <c r="A154" s="228" t="s">
        <v>149</v>
      </c>
      <c r="B154" s="51" t="s">
        <v>327</v>
      </c>
      <c r="C154" s="243">
        <v>289630.98254838155</v>
      </c>
      <c r="D154" s="286"/>
      <c r="E154" s="243"/>
      <c r="F154" s="243">
        <f t="shared" si="6"/>
        <v>289631</v>
      </c>
      <c r="G154" s="243">
        <f t="shared" si="5"/>
        <v>0</v>
      </c>
      <c r="H154" s="245"/>
      <c r="I154" s="245"/>
      <c r="J154" s="245"/>
      <c r="K154" s="245">
        <v>29475</v>
      </c>
      <c r="L154" s="245"/>
      <c r="M154" s="245">
        <v>14120</v>
      </c>
      <c r="N154" s="245">
        <v>23398</v>
      </c>
      <c r="O154" s="245">
        <v>23880</v>
      </c>
      <c r="P154" s="245">
        <v>23028</v>
      </c>
      <c r="Q154" s="245">
        <v>23041</v>
      </c>
      <c r="R154" s="245">
        <v>22688</v>
      </c>
      <c r="S154" s="245">
        <v>24605</v>
      </c>
      <c r="T154" s="245">
        <v>23202</v>
      </c>
      <c r="U154" s="245"/>
      <c r="V154" s="245">
        <v>46586</v>
      </c>
      <c r="W154" s="245">
        <v>21059</v>
      </c>
      <c r="X154" s="245">
        <v>14549</v>
      </c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75"/>
      <c r="AL154" s="75"/>
      <c r="AM154" s="75"/>
    </row>
    <row r="155" spans="1:39" s="7" customFormat="1" ht="18.600000000000001" thickBot="1" x14ac:dyDescent="0.4">
      <c r="A155" s="228" t="s">
        <v>150</v>
      </c>
      <c r="B155" s="51" t="s">
        <v>328</v>
      </c>
      <c r="C155" s="243">
        <v>68749.916914391331</v>
      </c>
      <c r="D155" s="286"/>
      <c r="E155" s="243"/>
      <c r="F155" s="243">
        <f t="shared" si="6"/>
        <v>68750</v>
      </c>
      <c r="G155" s="243">
        <f t="shared" si="5"/>
        <v>0</v>
      </c>
      <c r="H155" s="245"/>
      <c r="I155" s="245"/>
      <c r="J155" s="245"/>
      <c r="K155" s="245"/>
      <c r="L155" s="245"/>
      <c r="M155" s="245"/>
      <c r="N155" s="245"/>
      <c r="O155" s="245">
        <v>30751</v>
      </c>
      <c r="P155" s="245"/>
      <c r="Q155" s="245"/>
      <c r="R155" s="245"/>
      <c r="S155" s="245">
        <v>37843</v>
      </c>
      <c r="T155" s="245"/>
      <c r="U155" s="245"/>
      <c r="V155" s="245"/>
      <c r="W155" s="245"/>
      <c r="X155" s="245"/>
      <c r="Y155" s="245"/>
      <c r="Z155" s="245"/>
      <c r="AA155" s="245"/>
      <c r="AB155" s="245">
        <v>156</v>
      </c>
      <c r="AC155" s="245"/>
      <c r="AD155" s="245"/>
      <c r="AE155" s="245"/>
      <c r="AF155" s="245"/>
      <c r="AG155" s="245"/>
      <c r="AH155" s="245"/>
      <c r="AI155" s="245"/>
      <c r="AJ155" s="245"/>
      <c r="AK155" s="75"/>
      <c r="AL155" s="75"/>
      <c r="AM155" s="75"/>
    </row>
    <row r="156" spans="1:39" s="7" customFormat="1" ht="18.600000000000001" thickBot="1" x14ac:dyDescent="0.4">
      <c r="A156" s="228" t="s">
        <v>151</v>
      </c>
      <c r="B156" s="51" t="s">
        <v>329</v>
      </c>
      <c r="C156" s="243">
        <v>76786.089344078355</v>
      </c>
      <c r="D156" s="286">
        <v>9095</v>
      </c>
      <c r="E156" s="243">
        <f>IF(ISBLANK(D156),,C156)</f>
        <v>76786.089344078355</v>
      </c>
      <c r="F156" s="243">
        <f t="shared" si="6"/>
        <v>0</v>
      </c>
      <c r="G156" s="243">
        <f t="shared" si="5"/>
        <v>0</v>
      </c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75"/>
      <c r="AL156" s="75"/>
      <c r="AM156" s="75"/>
    </row>
    <row r="157" spans="1:39" s="7" customFormat="1" ht="18.600000000000001" thickBot="1" x14ac:dyDescent="0.4">
      <c r="A157" s="228" t="s">
        <v>152</v>
      </c>
      <c r="B157" s="205" t="s">
        <v>330</v>
      </c>
      <c r="C157" s="243">
        <v>142252.48933300993</v>
      </c>
      <c r="D157" s="286"/>
      <c r="E157" s="243"/>
      <c r="F157" s="243">
        <f t="shared" si="6"/>
        <v>142252</v>
      </c>
      <c r="G157" s="243">
        <f t="shared" si="5"/>
        <v>0</v>
      </c>
      <c r="H157" s="245"/>
      <c r="I157" s="245"/>
      <c r="J157" s="245"/>
      <c r="K157" s="245"/>
      <c r="L157" s="245"/>
      <c r="M157" s="245"/>
      <c r="N157" s="245"/>
      <c r="O157" s="245">
        <v>65176</v>
      </c>
      <c r="P157" s="245"/>
      <c r="Q157" s="245"/>
      <c r="R157" s="245"/>
      <c r="S157" s="245">
        <v>73316</v>
      </c>
      <c r="T157" s="245"/>
      <c r="U157" s="245">
        <v>3729</v>
      </c>
      <c r="V157" s="245"/>
      <c r="W157" s="245"/>
      <c r="X157" s="245"/>
      <c r="Y157" s="245"/>
      <c r="Z157" s="245"/>
      <c r="AA157" s="245"/>
      <c r="AB157" s="245"/>
      <c r="AC157" s="245"/>
      <c r="AD157" s="245">
        <v>31</v>
      </c>
      <c r="AE157" s="245"/>
      <c r="AF157" s="245"/>
      <c r="AG157" s="245"/>
      <c r="AH157" s="245"/>
      <c r="AI157" s="245"/>
      <c r="AJ157" s="245"/>
      <c r="AK157" s="75"/>
      <c r="AL157" s="75"/>
      <c r="AM157" s="75"/>
    </row>
    <row r="158" spans="1:39" s="7" customFormat="1" ht="18.600000000000001" thickBot="1" x14ac:dyDescent="0.4">
      <c r="A158" s="228" t="s">
        <v>153</v>
      </c>
      <c r="B158" s="205" t="s">
        <v>331</v>
      </c>
      <c r="C158" s="243">
        <v>34032.173008517595</v>
      </c>
      <c r="D158" s="286">
        <v>9095</v>
      </c>
      <c r="E158" s="243">
        <f>IF(ISBLANK(D158),,C158)</f>
        <v>34032.173008517595</v>
      </c>
      <c r="F158" s="243">
        <f t="shared" si="6"/>
        <v>0</v>
      </c>
      <c r="G158" s="243">
        <f t="shared" si="5"/>
        <v>0</v>
      </c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75"/>
      <c r="AL158" s="75"/>
      <c r="AM158" s="75"/>
    </row>
    <row r="159" spans="1:39" s="7" customFormat="1" ht="18.600000000000001" thickBot="1" x14ac:dyDescent="0.4">
      <c r="A159" s="228" t="s">
        <v>154</v>
      </c>
      <c r="B159" s="205" t="s">
        <v>332</v>
      </c>
      <c r="C159" s="243">
        <v>94748.998132247609</v>
      </c>
      <c r="D159" s="286"/>
      <c r="E159" s="243"/>
      <c r="F159" s="243">
        <f t="shared" si="6"/>
        <v>94749</v>
      </c>
      <c r="G159" s="243">
        <f t="shared" si="5"/>
        <v>0</v>
      </c>
      <c r="H159" s="245"/>
      <c r="I159" s="245"/>
      <c r="J159" s="245"/>
      <c r="K159" s="245"/>
      <c r="L159" s="245"/>
      <c r="M159" s="245"/>
      <c r="N159" s="245">
        <v>45000</v>
      </c>
      <c r="O159" s="245"/>
      <c r="P159" s="245"/>
      <c r="Q159" s="245"/>
      <c r="R159" s="245">
        <v>49749</v>
      </c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75"/>
      <c r="AL159" s="75"/>
      <c r="AM159" s="75"/>
    </row>
    <row r="160" spans="1:39" s="7" customFormat="1" ht="18.600000000000001" thickBot="1" x14ac:dyDescent="0.4">
      <c r="A160" s="228" t="s">
        <v>155</v>
      </c>
      <c r="B160" s="205" t="s">
        <v>333</v>
      </c>
      <c r="C160" s="243">
        <v>118049.19525454329</v>
      </c>
      <c r="D160" s="286"/>
      <c r="E160" s="243"/>
      <c r="F160" s="243">
        <f t="shared" si="6"/>
        <v>118049</v>
      </c>
      <c r="G160" s="243">
        <f t="shared" si="5"/>
        <v>0</v>
      </c>
      <c r="H160" s="245"/>
      <c r="I160" s="245"/>
      <c r="J160" s="245"/>
      <c r="K160" s="245"/>
      <c r="L160" s="245"/>
      <c r="M160" s="245"/>
      <c r="N160" s="245"/>
      <c r="O160" s="245">
        <v>56113</v>
      </c>
      <c r="P160" s="245"/>
      <c r="Q160" s="245"/>
      <c r="R160" s="245"/>
      <c r="S160" s="245">
        <v>61931</v>
      </c>
      <c r="T160" s="245"/>
      <c r="U160" s="245"/>
      <c r="V160" s="245"/>
      <c r="W160" s="245"/>
      <c r="X160" s="245"/>
      <c r="Y160" s="245"/>
      <c r="Z160" s="245">
        <v>5</v>
      </c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75"/>
      <c r="AL160" s="75"/>
      <c r="AM160" s="75"/>
    </row>
    <row r="161" spans="1:39" s="7" customFormat="1" ht="18.600000000000001" thickBot="1" x14ac:dyDescent="0.4">
      <c r="A161" s="228" t="s">
        <v>156</v>
      </c>
      <c r="B161" s="205" t="s">
        <v>334</v>
      </c>
      <c r="C161" s="243">
        <v>479632.70609982661</v>
      </c>
      <c r="D161" s="286"/>
      <c r="E161" s="243"/>
      <c r="F161" s="243">
        <f t="shared" si="6"/>
        <v>479633</v>
      </c>
      <c r="G161" s="243">
        <f t="shared" si="5"/>
        <v>0</v>
      </c>
      <c r="H161" s="245"/>
      <c r="I161" s="245"/>
      <c r="J161" s="245"/>
      <c r="K161" s="245"/>
      <c r="L161" s="245">
        <v>47123</v>
      </c>
      <c r="M161" s="245"/>
      <c r="N161" s="245">
        <v>85488</v>
      </c>
      <c r="O161" s="245"/>
      <c r="P161" s="245">
        <v>71716</v>
      </c>
      <c r="Q161" s="245"/>
      <c r="R161" s="245">
        <v>78957</v>
      </c>
      <c r="S161" s="245"/>
      <c r="T161" s="245">
        <v>149904</v>
      </c>
      <c r="U161" s="245"/>
      <c r="V161" s="245"/>
      <c r="W161" s="245">
        <v>35270</v>
      </c>
      <c r="X161" s="245"/>
      <c r="Y161" s="245">
        <v>11175</v>
      </c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75"/>
      <c r="AL161" s="75"/>
      <c r="AM161" s="75"/>
    </row>
    <row r="162" spans="1:39" s="7" customFormat="1" ht="18.600000000000001" thickBot="1" x14ac:dyDescent="0.4">
      <c r="A162" s="228" t="s">
        <v>157</v>
      </c>
      <c r="B162" s="51" t="s">
        <v>335</v>
      </c>
      <c r="C162" s="243">
        <v>19226.198611466643</v>
      </c>
      <c r="D162" s="286"/>
      <c r="E162" s="243"/>
      <c r="F162" s="243">
        <f t="shared" si="6"/>
        <v>19226</v>
      </c>
      <c r="G162" s="243">
        <f t="shared" si="5"/>
        <v>0</v>
      </c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>
        <v>19226</v>
      </c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75"/>
      <c r="AL162" s="75"/>
      <c r="AM162" s="75"/>
    </row>
    <row r="163" spans="1:39" s="7" customFormat="1" ht="18.600000000000001" thickBot="1" x14ac:dyDescent="0.4">
      <c r="A163" s="228" t="s">
        <v>158</v>
      </c>
      <c r="B163" s="51" t="s">
        <v>336</v>
      </c>
      <c r="C163" s="243">
        <v>62058.66842729679</v>
      </c>
      <c r="D163" s="286"/>
      <c r="E163" s="243"/>
      <c r="F163" s="243">
        <f t="shared" si="6"/>
        <v>62059</v>
      </c>
      <c r="G163" s="243">
        <f t="shared" si="5"/>
        <v>0</v>
      </c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>
        <v>62059</v>
      </c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75"/>
      <c r="AL163" s="75"/>
      <c r="AM163" s="75"/>
    </row>
    <row r="164" spans="1:39" s="7" customFormat="1" ht="18.600000000000001" thickBot="1" x14ac:dyDescent="0.4">
      <c r="A164" s="228" t="s">
        <v>159</v>
      </c>
      <c r="B164" s="51" t="s">
        <v>337</v>
      </c>
      <c r="C164" s="243">
        <v>83813.090906950718</v>
      </c>
      <c r="D164" s="286"/>
      <c r="E164" s="243"/>
      <c r="F164" s="243">
        <f t="shared" si="6"/>
        <v>83813</v>
      </c>
      <c r="G164" s="243">
        <f t="shared" si="5"/>
        <v>0</v>
      </c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>
        <v>71366</v>
      </c>
      <c r="S164" s="245"/>
      <c r="T164" s="245"/>
      <c r="U164" s="245"/>
      <c r="V164" s="245"/>
      <c r="W164" s="245"/>
      <c r="X164" s="245">
        <v>12447</v>
      </c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75"/>
      <c r="AL164" s="75"/>
      <c r="AM164" s="75"/>
    </row>
    <row r="165" spans="1:39" s="7" customFormat="1" ht="18.600000000000001" thickBot="1" x14ac:dyDescent="0.4">
      <c r="A165" s="228" t="s">
        <v>160</v>
      </c>
      <c r="B165" s="51" t="s">
        <v>338</v>
      </c>
      <c r="C165" s="243">
        <v>35611.670939701959</v>
      </c>
      <c r="D165" s="286">
        <v>9040</v>
      </c>
      <c r="E165" s="243">
        <f>IF(ISBLANK(D165),,C165)</f>
        <v>35611.670939701959</v>
      </c>
      <c r="F165" s="243">
        <f t="shared" si="6"/>
        <v>0</v>
      </c>
      <c r="G165" s="243">
        <f t="shared" si="5"/>
        <v>0</v>
      </c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75"/>
      <c r="AL165" s="75"/>
      <c r="AM165" s="75"/>
    </row>
    <row r="166" spans="1:39" s="7" customFormat="1" ht="18.600000000000001" thickBot="1" x14ac:dyDescent="0.4">
      <c r="A166" s="228" t="s">
        <v>161</v>
      </c>
      <c r="B166" s="51" t="s">
        <v>339</v>
      </c>
      <c r="C166" s="243">
        <v>27104.035703483751</v>
      </c>
      <c r="D166" s="286">
        <v>9040</v>
      </c>
      <c r="E166" s="243">
        <f>IF(ISBLANK(D166),,C166)</f>
        <v>27104.035703483751</v>
      </c>
      <c r="F166" s="243">
        <f t="shared" si="6"/>
        <v>0</v>
      </c>
      <c r="G166" s="243">
        <f t="shared" si="5"/>
        <v>0</v>
      </c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75"/>
      <c r="AL166" s="75"/>
      <c r="AM166" s="75"/>
    </row>
    <row r="167" spans="1:39" s="7" customFormat="1" ht="18.600000000000001" thickBot="1" x14ac:dyDescent="0.4">
      <c r="A167" s="228" t="s">
        <v>162</v>
      </c>
      <c r="B167" s="51" t="s">
        <v>340</v>
      </c>
      <c r="C167" s="243">
        <v>256242.24382883834</v>
      </c>
      <c r="D167" s="286"/>
      <c r="E167" s="243"/>
      <c r="F167" s="243">
        <f t="shared" si="6"/>
        <v>256242</v>
      </c>
      <c r="G167" s="243">
        <f t="shared" si="5"/>
        <v>0</v>
      </c>
      <c r="H167" s="245"/>
      <c r="I167" s="245"/>
      <c r="J167" s="245"/>
      <c r="K167" s="245"/>
      <c r="L167" s="245"/>
      <c r="M167" s="245">
        <v>86471</v>
      </c>
      <c r="N167" s="245"/>
      <c r="O167" s="245">
        <v>35970</v>
      </c>
      <c r="P167" s="245"/>
      <c r="Q167" s="245"/>
      <c r="R167" s="245">
        <v>58643</v>
      </c>
      <c r="S167" s="245">
        <v>75158</v>
      </c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75"/>
      <c r="AL167" s="75"/>
      <c r="AM167" s="75"/>
    </row>
    <row r="168" spans="1:39" s="7" customFormat="1" ht="18.600000000000001" thickBot="1" x14ac:dyDescent="0.4">
      <c r="A168" s="228" t="s">
        <v>163</v>
      </c>
      <c r="B168" s="51" t="s">
        <v>341</v>
      </c>
      <c r="C168" s="243">
        <v>71988.964445159552</v>
      </c>
      <c r="D168" s="286"/>
      <c r="E168" s="243"/>
      <c r="F168" s="243">
        <f t="shared" si="6"/>
        <v>71989</v>
      </c>
      <c r="G168" s="243">
        <f t="shared" si="5"/>
        <v>0</v>
      </c>
      <c r="H168" s="245"/>
      <c r="I168" s="245"/>
      <c r="J168" s="245"/>
      <c r="K168" s="245"/>
      <c r="L168" s="245">
        <v>10517</v>
      </c>
      <c r="M168" s="245">
        <v>7402</v>
      </c>
      <c r="N168" s="245">
        <v>8043</v>
      </c>
      <c r="O168" s="245">
        <v>2582</v>
      </c>
      <c r="P168" s="245">
        <v>7730</v>
      </c>
      <c r="Q168" s="245">
        <v>7472</v>
      </c>
      <c r="R168" s="245">
        <v>6961</v>
      </c>
      <c r="S168" s="245">
        <v>5748</v>
      </c>
      <c r="T168" s="245">
        <v>15517</v>
      </c>
      <c r="U168" s="245"/>
      <c r="V168" s="245"/>
      <c r="W168" s="245">
        <v>17</v>
      </c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75"/>
      <c r="AL168" s="75"/>
      <c r="AM168" s="75"/>
    </row>
    <row r="169" spans="1:39" s="7" customFormat="1" ht="18.600000000000001" thickBot="1" x14ac:dyDescent="0.4">
      <c r="A169" s="228" t="s">
        <v>164</v>
      </c>
      <c r="B169" s="51" t="s">
        <v>342</v>
      </c>
      <c r="C169" s="243">
        <v>285223.27434950363</v>
      </c>
      <c r="D169" s="286"/>
      <c r="E169" s="243"/>
      <c r="F169" s="243">
        <f t="shared" si="6"/>
        <v>285223</v>
      </c>
      <c r="G169" s="243">
        <f t="shared" si="5"/>
        <v>0</v>
      </c>
      <c r="H169" s="245"/>
      <c r="I169" s="245"/>
      <c r="J169" s="245"/>
      <c r="K169" s="245"/>
      <c r="L169" s="245">
        <v>84442</v>
      </c>
      <c r="M169" s="245"/>
      <c r="N169" s="245"/>
      <c r="O169" s="245"/>
      <c r="P169" s="245">
        <v>126047</v>
      </c>
      <c r="Q169" s="245"/>
      <c r="R169" s="245"/>
      <c r="S169" s="245">
        <v>64743</v>
      </c>
      <c r="T169" s="245"/>
      <c r="U169" s="245"/>
      <c r="V169" s="245"/>
      <c r="W169" s="245"/>
      <c r="X169" s="245"/>
      <c r="Y169" s="245"/>
      <c r="Z169" s="245"/>
      <c r="AA169" s="245">
        <f>586+9405</f>
        <v>9991</v>
      </c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75"/>
      <c r="AL169" s="75"/>
      <c r="AM169" s="75"/>
    </row>
    <row r="170" spans="1:39" s="7" customFormat="1" ht="18.600000000000001" thickBot="1" x14ac:dyDescent="0.4">
      <c r="A170" s="228" t="s">
        <v>165</v>
      </c>
      <c r="B170" s="51" t="s">
        <v>343</v>
      </c>
      <c r="C170" s="243">
        <v>58334.600374646128</v>
      </c>
      <c r="D170" s="286">
        <v>9040</v>
      </c>
      <c r="E170" s="243">
        <f t="shared" ref="E170:E175" si="7">IF(ISBLANK(D170),,C170)</f>
        <v>58334.600374646128</v>
      </c>
      <c r="F170" s="243">
        <f t="shared" si="6"/>
        <v>0</v>
      </c>
      <c r="G170" s="243">
        <f t="shared" si="5"/>
        <v>0</v>
      </c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75"/>
      <c r="AL170" s="75"/>
      <c r="AM170" s="75"/>
    </row>
    <row r="171" spans="1:39" s="7" customFormat="1" ht="18.600000000000001" thickBot="1" x14ac:dyDescent="0.4">
      <c r="A171" s="228" t="s">
        <v>166</v>
      </c>
      <c r="B171" s="51" t="s">
        <v>344</v>
      </c>
      <c r="C171" s="243">
        <v>16341</v>
      </c>
      <c r="D171" s="286">
        <v>9025</v>
      </c>
      <c r="E171" s="243">
        <f t="shared" si="7"/>
        <v>16341</v>
      </c>
      <c r="F171" s="243">
        <f t="shared" si="6"/>
        <v>0</v>
      </c>
      <c r="G171" s="243">
        <f t="shared" si="5"/>
        <v>0</v>
      </c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75"/>
      <c r="AL171" s="75"/>
      <c r="AM171" s="75"/>
    </row>
    <row r="172" spans="1:39" s="7" customFormat="1" ht="18.600000000000001" thickBot="1" x14ac:dyDescent="0.4">
      <c r="A172" s="228" t="s">
        <v>167</v>
      </c>
      <c r="B172" s="51" t="s">
        <v>345</v>
      </c>
      <c r="C172" s="243">
        <v>16909.058809701797</v>
      </c>
      <c r="D172" s="286">
        <v>9040</v>
      </c>
      <c r="E172" s="243">
        <f t="shared" si="7"/>
        <v>16909.058809701797</v>
      </c>
      <c r="F172" s="243">
        <f t="shared" si="6"/>
        <v>0</v>
      </c>
      <c r="G172" s="243">
        <f t="shared" si="5"/>
        <v>0</v>
      </c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75"/>
      <c r="AL172" s="75"/>
      <c r="AM172" s="75"/>
    </row>
    <row r="173" spans="1:39" s="7" customFormat="1" ht="18.600000000000001" thickBot="1" x14ac:dyDescent="0.4">
      <c r="A173" s="228" t="s">
        <v>168</v>
      </c>
      <c r="B173" s="51" t="s">
        <v>346</v>
      </c>
      <c r="C173" s="243">
        <v>9086.5829490223678</v>
      </c>
      <c r="D173" s="286">
        <v>9040</v>
      </c>
      <c r="E173" s="243">
        <f t="shared" si="7"/>
        <v>9086.5829490223678</v>
      </c>
      <c r="F173" s="243">
        <f t="shared" si="6"/>
        <v>0</v>
      </c>
      <c r="G173" s="243">
        <f t="shared" ref="G173:G198" si="8">ROUND(IF(ISBLANK(E173),C173-F173,C173-E173),0)</f>
        <v>0</v>
      </c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75"/>
      <c r="AL173" s="75"/>
      <c r="AM173" s="75"/>
    </row>
    <row r="174" spans="1:39" s="7" customFormat="1" ht="18.600000000000001" thickBot="1" x14ac:dyDescent="0.4">
      <c r="A174" s="228" t="s">
        <v>169</v>
      </c>
      <c r="B174" s="51" t="s">
        <v>347</v>
      </c>
      <c r="C174" s="243">
        <v>24038</v>
      </c>
      <c r="D174" s="286">
        <v>9025</v>
      </c>
      <c r="E174" s="243">
        <f t="shared" si="7"/>
        <v>24038</v>
      </c>
      <c r="F174" s="243">
        <f t="shared" si="6"/>
        <v>0</v>
      </c>
      <c r="G174" s="243">
        <f t="shared" si="8"/>
        <v>0</v>
      </c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75"/>
      <c r="AL174" s="75"/>
      <c r="AM174" s="75"/>
    </row>
    <row r="175" spans="1:39" s="7" customFormat="1" ht="18.600000000000001" thickBot="1" x14ac:dyDescent="0.4">
      <c r="A175" s="228" t="s">
        <v>170</v>
      </c>
      <c r="B175" s="51" t="s">
        <v>348</v>
      </c>
      <c r="C175" s="243">
        <v>331184.82927249075</v>
      </c>
      <c r="D175" s="286">
        <v>9035</v>
      </c>
      <c r="E175" s="243">
        <f t="shared" si="7"/>
        <v>331184.82927249075</v>
      </c>
      <c r="F175" s="243">
        <f t="shared" si="6"/>
        <v>0</v>
      </c>
      <c r="G175" s="243">
        <f t="shared" si="8"/>
        <v>0</v>
      </c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75"/>
      <c r="AL175" s="75"/>
      <c r="AM175" s="75"/>
    </row>
    <row r="176" spans="1:39" s="7" customFormat="1" ht="18.600000000000001" thickBot="1" x14ac:dyDescent="0.4">
      <c r="A176" s="228" t="s">
        <v>171</v>
      </c>
      <c r="B176" s="51" t="s">
        <v>349</v>
      </c>
      <c r="C176" s="243">
        <v>149727.2963121307</v>
      </c>
      <c r="D176" s="286"/>
      <c r="E176" s="243"/>
      <c r="F176" s="243">
        <f t="shared" si="6"/>
        <v>149727</v>
      </c>
      <c r="G176" s="243">
        <f t="shared" si="8"/>
        <v>0</v>
      </c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>
        <f>118227+10597</f>
        <v>128824</v>
      </c>
      <c r="T176" s="245"/>
      <c r="U176" s="245">
        <v>18346</v>
      </c>
      <c r="V176" s="245"/>
      <c r="W176" s="245"/>
      <c r="X176" s="245"/>
      <c r="Y176" s="245"/>
      <c r="Z176" s="245"/>
      <c r="AA176" s="245">
        <v>2557</v>
      </c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75"/>
      <c r="AL176" s="75"/>
      <c r="AM176" s="75"/>
    </row>
    <row r="177" spans="1:39" s="7" customFormat="1" ht="18.600000000000001" thickBot="1" x14ac:dyDescent="0.4">
      <c r="A177" s="228" t="s">
        <v>172</v>
      </c>
      <c r="B177" s="51" t="s">
        <v>477</v>
      </c>
      <c r="C177" s="243">
        <v>226953.02885802375</v>
      </c>
      <c r="D177" s="286"/>
      <c r="E177" s="243"/>
      <c r="F177" s="243">
        <f t="shared" si="6"/>
        <v>226953</v>
      </c>
      <c r="G177" s="243">
        <f t="shared" si="8"/>
        <v>0</v>
      </c>
      <c r="H177" s="245"/>
      <c r="I177" s="245"/>
      <c r="J177" s="245"/>
      <c r="K177" s="245"/>
      <c r="L177" s="245">
        <v>30714</v>
      </c>
      <c r="M177" s="245">
        <v>90905</v>
      </c>
      <c r="N177" s="245"/>
      <c r="O177" s="245"/>
      <c r="P177" s="245"/>
      <c r="Q177" s="245"/>
      <c r="R177" s="245"/>
      <c r="S177" s="245">
        <v>100969</v>
      </c>
      <c r="T177" s="245"/>
      <c r="U177" s="245"/>
      <c r="V177" s="245"/>
      <c r="W177" s="245"/>
      <c r="X177" s="245"/>
      <c r="Y177" s="245"/>
      <c r="Z177" s="245"/>
      <c r="AA177" s="245"/>
      <c r="AB177" s="245">
        <v>4365</v>
      </c>
      <c r="AC177" s="245"/>
      <c r="AD177" s="245"/>
      <c r="AE177" s="245"/>
      <c r="AF177" s="245"/>
      <c r="AG177" s="245"/>
      <c r="AH177" s="245"/>
      <c r="AI177" s="245"/>
      <c r="AJ177" s="245"/>
      <c r="AK177" s="75"/>
      <c r="AL177" s="75"/>
      <c r="AM177" s="75"/>
    </row>
    <row r="178" spans="1:39" s="7" customFormat="1" ht="18.600000000000001" thickBot="1" x14ac:dyDescent="0.4">
      <c r="A178" s="228" t="s">
        <v>173</v>
      </c>
      <c r="B178" s="51" t="s">
        <v>350</v>
      </c>
      <c r="C178" s="243">
        <v>243364.46108879615</v>
      </c>
      <c r="D178" s="286"/>
      <c r="E178" s="243"/>
      <c r="F178" s="243">
        <f t="shared" si="6"/>
        <v>243364</v>
      </c>
      <c r="G178" s="243">
        <f t="shared" si="8"/>
        <v>0</v>
      </c>
      <c r="H178" s="245"/>
      <c r="I178" s="245"/>
      <c r="J178" s="245"/>
      <c r="K178" s="245">
        <v>24891</v>
      </c>
      <c r="L178" s="245">
        <v>10550</v>
      </c>
      <c r="M178" s="245">
        <v>22220</v>
      </c>
      <c r="N178" s="245"/>
      <c r="O178" s="245">
        <v>39700</v>
      </c>
      <c r="P178" s="245"/>
      <c r="Q178" s="245">
        <v>40914</v>
      </c>
      <c r="R178" s="245">
        <v>20331</v>
      </c>
      <c r="S178" s="245"/>
      <c r="T178" s="245">
        <v>23249</v>
      </c>
      <c r="U178" s="245">
        <v>47370</v>
      </c>
      <c r="V178" s="245"/>
      <c r="W178" s="245"/>
      <c r="X178" s="245">
        <v>14139</v>
      </c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75"/>
      <c r="AL178" s="75"/>
      <c r="AM178" s="75"/>
    </row>
    <row r="179" spans="1:39" s="7" customFormat="1" ht="18.600000000000001" thickBot="1" x14ac:dyDescent="0.4">
      <c r="A179" s="228" t="s">
        <v>174</v>
      </c>
      <c r="B179" s="51" t="s">
        <v>351</v>
      </c>
      <c r="C179" s="243">
        <v>237557.91354965226</v>
      </c>
      <c r="D179" s="286"/>
      <c r="E179" s="243"/>
      <c r="F179" s="243">
        <f t="shared" si="6"/>
        <v>237558</v>
      </c>
      <c r="G179" s="243">
        <f t="shared" si="8"/>
        <v>0</v>
      </c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>
        <v>237558</v>
      </c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75"/>
      <c r="AL179" s="75"/>
      <c r="AM179" s="75"/>
    </row>
    <row r="180" spans="1:39" s="7" customFormat="1" ht="18.600000000000001" thickBot="1" x14ac:dyDescent="0.4">
      <c r="A180" s="228" t="s">
        <v>175</v>
      </c>
      <c r="B180" s="51" t="s">
        <v>352</v>
      </c>
      <c r="C180" s="243">
        <v>5125739.6744987899</v>
      </c>
      <c r="D180" s="286"/>
      <c r="E180" s="243"/>
      <c r="F180" s="243">
        <f t="shared" si="6"/>
        <v>5125740</v>
      </c>
      <c r="G180" s="243">
        <f t="shared" si="8"/>
        <v>0</v>
      </c>
      <c r="H180" s="245"/>
      <c r="I180" s="245"/>
      <c r="J180" s="245"/>
      <c r="K180" s="245">
        <v>479481</v>
      </c>
      <c r="L180" s="245"/>
      <c r="M180" s="245"/>
      <c r="N180" s="245">
        <v>93075</v>
      </c>
      <c r="O180" s="245">
        <v>406210</v>
      </c>
      <c r="P180" s="245">
        <v>575822</v>
      </c>
      <c r="Q180" s="245">
        <v>464705</v>
      </c>
      <c r="R180" s="245">
        <v>414310</v>
      </c>
      <c r="S180" s="245">
        <v>522494</v>
      </c>
      <c r="T180" s="245">
        <v>653075</v>
      </c>
      <c r="U180" s="245"/>
      <c r="V180" s="245">
        <v>815799</v>
      </c>
      <c r="W180" s="245">
        <v>443356</v>
      </c>
      <c r="X180" s="245">
        <v>257413</v>
      </c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75"/>
      <c r="AL180" s="75"/>
      <c r="AM180" s="75"/>
    </row>
    <row r="181" spans="1:39" s="7" customFormat="1" ht="18.600000000000001" thickBot="1" x14ac:dyDescent="0.4">
      <c r="A181" s="228" t="s">
        <v>176</v>
      </c>
      <c r="B181" s="51" t="s">
        <v>353</v>
      </c>
      <c r="C181" s="243">
        <v>105887.33412033461</v>
      </c>
      <c r="D181" s="286">
        <v>9035</v>
      </c>
      <c r="E181" s="243">
        <f>IF(ISBLANK(D181),,C181)</f>
        <v>105887.33412033461</v>
      </c>
      <c r="F181" s="243">
        <f t="shared" si="6"/>
        <v>0</v>
      </c>
      <c r="G181" s="243">
        <f t="shared" si="8"/>
        <v>0</v>
      </c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75"/>
      <c r="AL181" s="75"/>
      <c r="AM181" s="75"/>
    </row>
    <row r="182" spans="1:39" s="7" customFormat="1" ht="18.600000000000001" thickBot="1" x14ac:dyDescent="0.4">
      <c r="A182" s="228" t="s">
        <v>177</v>
      </c>
      <c r="B182" s="51" t="s">
        <v>354</v>
      </c>
      <c r="C182" s="243">
        <v>458206.0850161924</v>
      </c>
      <c r="D182" s="286"/>
      <c r="E182" s="243"/>
      <c r="F182" s="243">
        <f t="shared" si="6"/>
        <v>458206</v>
      </c>
      <c r="G182" s="243">
        <f t="shared" si="8"/>
        <v>0</v>
      </c>
      <c r="H182" s="245"/>
      <c r="I182" s="245"/>
      <c r="J182" s="245"/>
      <c r="K182" s="245"/>
      <c r="L182" s="245"/>
      <c r="M182" s="245"/>
      <c r="N182" s="245">
        <v>52466</v>
      </c>
      <c r="O182" s="245"/>
      <c r="P182" s="245"/>
      <c r="Q182" s="245"/>
      <c r="R182" s="245"/>
      <c r="S182" s="245">
        <v>245368</v>
      </c>
      <c r="T182" s="245"/>
      <c r="U182" s="245"/>
      <c r="V182" s="245"/>
      <c r="W182" s="245">
        <v>153041</v>
      </c>
      <c r="X182" s="245"/>
      <c r="Y182" s="245"/>
      <c r="Z182" s="245">
        <v>7331</v>
      </c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75"/>
      <c r="AL182" s="75"/>
      <c r="AM182" s="75"/>
    </row>
    <row r="183" spans="1:39" s="7" customFormat="1" ht="18.600000000000001" thickBot="1" x14ac:dyDescent="0.4">
      <c r="A183" s="228" t="s">
        <v>178</v>
      </c>
      <c r="B183" s="51" t="s">
        <v>355</v>
      </c>
      <c r="C183" s="243">
        <v>160797.76564928837</v>
      </c>
      <c r="D183" s="286"/>
      <c r="E183" s="243"/>
      <c r="F183" s="243">
        <f t="shared" si="6"/>
        <v>160798</v>
      </c>
      <c r="G183" s="243">
        <f t="shared" si="8"/>
        <v>0</v>
      </c>
      <c r="H183" s="245"/>
      <c r="I183" s="245"/>
      <c r="J183" s="245"/>
      <c r="K183" s="245"/>
      <c r="L183" s="245">
        <v>17565</v>
      </c>
      <c r="M183" s="245"/>
      <c r="N183" s="245">
        <v>34846</v>
      </c>
      <c r="O183" s="245">
        <v>19788</v>
      </c>
      <c r="P183" s="245"/>
      <c r="Q183" s="245">
        <v>33418</v>
      </c>
      <c r="R183" s="245"/>
      <c r="S183" s="245">
        <v>20763</v>
      </c>
      <c r="T183" s="245"/>
      <c r="U183" s="245">
        <v>11553</v>
      </c>
      <c r="V183" s="245">
        <v>4171</v>
      </c>
      <c r="W183" s="245"/>
      <c r="X183" s="245">
        <v>18694</v>
      </c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75"/>
      <c r="AL183" s="75"/>
      <c r="AM183" s="75"/>
    </row>
    <row r="184" spans="1:39" s="7" customFormat="1" ht="18.600000000000001" thickBot="1" x14ac:dyDescent="0.4">
      <c r="A184" s="228" t="s">
        <v>179</v>
      </c>
      <c r="B184" s="205" t="s">
        <v>356</v>
      </c>
      <c r="C184" s="243">
        <v>15439.634863511497</v>
      </c>
      <c r="D184" s="286">
        <v>9035</v>
      </c>
      <c r="E184" s="243">
        <f>IF(ISBLANK(D184),,C184)</f>
        <v>15439.634863511497</v>
      </c>
      <c r="F184" s="243">
        <f t="shared" si="6"/>
        <v>0</v>
      </c>
      <c r="G184" s="243">
        <f t="shared" si="8"/>
        <v>0</v>
      </c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75"/>
      <c r="AL184" s="75"/>
      <c r="AM184" s="75"/>
    </row>
    <row r="185" spans="1:39" s="7" customFormat="1" ht="18.600000000000001" thickBot="1" x14ac:dyDescent="0.4">
      <c r="A185" s="228" t="s">
        <v>180</v>
      </c>
      <c r="B185" s="51" t="s">
        <v>357</v>
      </c>
      <c r="C185" s="243">
        <v>17691.195058623656</v>
      </c>
      <c r="D185" s="286">
        <v>9035</v>
      </c>
      <c r="E185" s="243">
        <f>IF(ISBLANK(D185),,C185)</f>
        <v>17691.195058623656</v>
      </c>
      <c r="F185" s="243">
        <f t="shared" si="6"/>
        <v>0</v>
      </c>
      <c r="G185" s="243">
        <f t="shared" si="8"/>
        <v>0</v>
      </c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75"/>
      <c r="AL185" s="75"/>
      <c r="AM185" s="75"/>
    </row>
    <row r="186" spans="1:39" s="7" customFormat="1" ht="18.600000000000001" thickBot="1" x14ac:dyDescent="0.4">
      <c r="A186" s="228" t="s">
        <v>181</v>
      </c>
      <c r="B186" s="51" t="s">
        <v>358</v>
      </c>
      <c r="C186" s="243">
        <v>77516.075103390918</v>
      </c>
      <c r="D186" s="286">
        <v>9035</v>
      </c>
      <c r="E186" s="243">
        <f>IF(ISBLANK(D186),,C186)</f>
        <v>77516.075103390918</v>
      </c>
      <c r="F186" s="243">
        <f t="shared" si="6"/>
        <v>0</v>
      </c>
      <c r="G186" s="243">
        <f t="shared" si="8"/>
        <v>0</v>
      </c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75"/>
      <c r="AL186" s="75"/>
      <c r="AM186" s="75"/>
    </row>
    <row r="187" spans="1:39" s="7" customFormat="1" ht="18.600000000000001" thickBot="1" x14ac:dyDescent="0.4">
      <c r="A187" s="228" t="s">
        <v>182</v>
      </c>
      <c r="B187" s="51" t="s">
        <v>359</v>
      </c>
      <c r="C187" s="243">
        <v>160745.19764711455</v>
      </c>
      <c r="D187" s="286"/>
      <c r="E187" s="243"/>
      <c r="F187" s="243">
        <f t="shared" si="6"/>
        <v>160745</v>
      </c>
      <c r="G187" s="243">
        <f t="shared" si="8"/>
        <v>0</v>
      </c>
      <c r="H187" s="245"/>
      <c r="I187" s="245"/>
      <c r="J187" s="245"/>
      <c r="K187" s="245"/>
      <c r="L187" s="245">
        <f>3900+21062</f>
        <v>24962</v>
      </c>
      <c r="M187" s="245"/>
      <c r="N187" s="245"/>
      <c r="O187" s="245">
        <f>23380+22222+22368</f>
        <v>67970</v>
      </c>
      <c r="P187" s="245">
        <v>22517</v>
      </c>
      <c r="Q187" s="245"/>
      <c r="R187" s="245"/>
      <c r="S187" s="245">
        <f>19281+22368</f>
        <v>41649</v>
      </c>
      <c r="T187" s="245"/>
      <c r="U187" s="245"/>
      <c r="V187" s="245"/>
      <c r="W187" s="245"/>
      <c r="X187" s="245"/>
      <c r="Y187" s="245"/>
      <c r="Z187" s="245"/>
      <c r="AA187" s="245">
        <v>3647</v>
      </c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75"/>
      <c r="AL187" s="75"/>
      <c r="AM187" s="75"/>
    </row>
    <row r="188" spans="1:39" s="7" customFormat="1" ht="18.600000000000001" thickBot="1" x14ac:dyDescent="0.4">
      <c r="A188" s="228" t="s">
        <v>183</v>
      </c>
      <c r="B188" s="51" t="s">
        <v>360</v>
      </c>
      <c r="C188" s="243">
        <v>100535.62862006274</v>
      </c>
      <c r="D188" s="286"/>
      <c r="E188" s="243"/>
      <c r="F188" s="243">
        <f t="shared" si="6"/>
        <v>100536</v>
      </c>
      <c r="G188" s="243">
        <f t="shared" si="8"/>
        <v>0</v>
      </c>
      <c r="H188" s="245"/>
      <c r="I188" s="245"/>
      <c r="J188" s="245"/>
      <c r="K188" s="245"/>
      <c r="L188" s="245"/>
      <c r="M188" s="245"/>
      <c r="N188" s="245">
        <v>35230</v>
      </c>
      <c r="O188" s="245"/>
      <c r="P188" s="245"/>
      <c r="Q188" s="245"/>
      <c r="R188" s="245">
        <v>53692</v>
      </c>
      <c r="S188" s="245">
        <v>11614</v>
      </c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75"/>
      <c r="AL188" s="75"/>
      <c r="AM188" s="75"/>
    </row>
    <row r="189" spans="1:39" s="7" customFormat="1" ht="18.600000000000001" thickBot="1" x14ac:dyDescent="0.4">
      <c r="A189" s="228" t="s">
        <v>184</v>
      </c>
      <c r="B189" s="51" t="s">
        <v>361</v>
      </c>
      <c r="C189" s="243">
        <v>11622</v>
      </c>
      <c r="D189" s="286">
        <v>9025</v>
      </c>
      <c r="E189" s="243">
        <f>IF(ISBLANK(D189),,C189)</f>
        <v>11622</v>
      </c>
      <c r="F189" s="243">
        <f t="shared" si="6"/>
        <v>0</v>
      </c>
      <c r="G189" s="243">
        <f t="shared" si="8"/>
        <v>0</v>
      </c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75"/>
      <c r="AL189" s="75"/>
      <c r="AM189" s="75"/>
    </row>
    <row r="190" spans="1:39" s="7" customFormat="1" ht="18.600000000000001" thickBot="1" x14ac:dyDescent="0.4">
      <c r="A190" s="228" t="s">
        <v>185</v>
      </c>
      <c r="B190" s="51" t="s">
        <v>506</v>
      </c>
      <c r="C190" s="243">
        <v>0</v>
      </c>
      <c r="D190" s="286"/>
      <c r="E190" s="243"/>
      <c r="F190" s="243">
        <f t="shared" si="6"/>
        <v>0</v>
      </c>
      <c r="G190" s="243">
        <f t="shared" si="8"/>
        <v>0</v>
      </c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75"/>
      <c r="AL190" s="75"/>
      <c r="AM190" s="75"/>
    </row>
    <row r="191" spans="1:39" s="7" customFormat="1" ht="18.600000000000001" thickBot="1" x14ac:dyDescent="0.4">
      <c r="A191" s="229" t="s">
        <v>522</v>
      </c>
      <c r="B191" s="51" t="s">
        <v>364</v>
      </c>
      <c r="C191" s="243">
        <v>1957079</v>
      </c>
      <c r="D191" s="287"/>
      <c r="E191" s="243"/>
      <c r="F191" s="243">
        <f t="shared" si="6"/>
        <v>1957079</v>
      </c>
      <c r="G191" s="243">
        <f t="shared" si="8"/>
        <v>0</v>
      </c>
      <c r="H191" s="245"/>
      <c r="I191" s="245"/>
      <c r="J191" s="245"/>
      <c r="K191" s="245">
        <v>21667</v>
      </c>
      <c r="L191" s="245">
        <v>137953</v>
      </c>
      <c r="M191" s="245">
        <v>79439</v>
      </c>
      <c r="N191" s="245">
        <v>62223</v>
      </c>
      <c r="O191" s="245">
        <v>210866</v>
      </c>
      <c r="P191" s="245">
        <v>143720</v>
      </c>
      <c r="Q191" s="245">
        <v>255732</v>
      </c>
      <c r="R191" s="245">
        <v>88954</v>
      </c>
      <c r="S191" s="245">
        <f>594761-295957</f>
        <v>298804</v>
      </c>
      <c r="T191" s="245">
        <v>294961</v>
      </c>
      <c r="U191" s="245">
        <f>91793+1051</f>
        <v>92844</v>
      </c>
      <c r="V191" s="245">
        <v>117298</v>
      </c>
      <c r="W191" s="245"/>
      <c r="X191" s="245">
        <v>75763</v>
      </c>
      <c r="Y191" s="245">
        <v>76855</v>
      </c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75"/>
      <c r="AL191" s="75"/>
      <c r="AM191" s="75"/>
    </row>
    <row r="192" spans="1:39" s="7" customFormat="1" ht="18.600000000000001" thickBot="1" x14ac:dyDescent="0.4">
      <c r="A192" s="228" t="s">
        <v>366</v>
      </c>
      <c r="B192" s="51" t="s">
        <v>365</v>
      </c>
      <c r="C192" s="243">
        <v>106940</v>
      </c>
      <c r="D192" s="287"/>
      <c r="E192" s="243"/>
      <c r="F192" s="243">
        <f t="shared" si="6"/>
        <v>106940</v>
      </c>
      <c r="G192" s="243">
        <f t="shared" si="8"/>
        <v>0</v>
      </c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>
        <v>90971</v>
      </c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>
        <v>15969</v>
      </c>
      <c r="AH192" s="245"/>
      <c r="AI192" s="245"/>
      <c r="AJ192" s="245"/>
      <c r="AK192" s="75"/>
      <c r="AL192" s="75"/>
      <c r="AM192" s="75"/>
    </row>
    <row r="193" spans="1:39" s="7" customFormat="1" ht="18.600000000000001" thickBot="1" x14ac:dyDescent="0.4">
      <c r="A193" s="230" t="s">
        <v>374</v>
      </c>
      <c r="B193" s="206" t="s">
        <v>379</v>
      </c>
      <c r="C193" s="243">
        <f>SUMIF(D13:D192,"9025",E13:E192)</f>
        <v>766390</v>
      </c>
      <c r="D193" s="288"/>
      <c r="E193" s="243"/>
      <c r="F193" s="243">
        <f t="shared" si="6"/>
        <v>766390</v>
      </c>
      <c r="G193" s="243">
        <f t="shared" si="8"/>
        <v>0</v>
      </c>
      <c r="H193" s="245"/>
      <c r="I193" s="245"/>
      <c r="J193" s="245"/>
      <c r="K193" s="245"/>
      <c r="L193" s="245"/>
      <c r="M193" s="245">
        <v>125147</v>
      </c>
      <c r="N193" s="245"/>
      <c r="O193" s="245">
        <v>9140</v>
      </c>
      <c r="P193" s="245">
        <v>57074</v>
      </c>
      <c r="Q193" s="245">
        <v>152956</v>
      </c>
      <c r="R193" s="245">
        <v>58583</v>
      </c>
      <c r="S193" s="245">
        <v>118629</v>
      </c>
      <c r="T193" s="245">
        <v>32886</v>
      </c>
      <c r="U193" s="245"/>
      <c r="V193" s="245">
        <v>120654</v>
      </c>
      <c r="W193" s="245"/>
      <c r="X193" s="245">
        <v>91319</v>
      </c>
      <c r="Y193" s="245">
        <v>2</v>
      </c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75"/>
      <c r="AL193" s="75"/>
      <c r="AM193" s="75"/>
    </row>
    <row r="194" spans="1:39" s="7" customFormat="1" ht="18.600000000000001" thickBot="1" x14ac:dyDescent="0.4">
      <c r="A194" s="230" t="s">
        <v>375</v>
      </c>
      <c r="B194" s="206" t="s">
        <v>380</v>
      </c>
      <c r="C194" s="243">
        <f>SUMIF(D13:D192,"9035",E13:E192)</f>
        <v>860869.24969848432</v>
      </c>
      <c r="D194" s="288"/>
      <c r="E194" s="243"/>
      <c r="F194" s="243">
        <f t="shared" si="6"/>
        <v>860869</v>
      </c>
      <c r="G194" s="243">
        <f t="shared" si="8"/>
        <v>0</v>
      </c>
      <c r="H194" s="245"/>
      <c r="I194" s="245"/>
      <c r="J194" s="245"/>
      <c r="K194" s="245">
        <v>16205</v>
      </c>
      <c r="L194" s="245"/>
      <c r="M194" s="245"/>
      <c r="N194" s="245">
        <v>6832</v>
      </c>
      <c r="O194" s="245">
        <v>220100</v>
      </c>
      <c r="P194" s="245">
        <v>103000</v>
      </c>
      <c r="Q194" s="245">
        <v>55000</v>
      </c>
      <c r="R194" s="245">
        <v>76000</v>
      </c>
      <c r="S194" s="245">
        <v>61500</v>
      </c>
      <c r="T194" s="245">
        <v>120000</v>
      </c>
      <c r="U194" s="245">
        <v>80000</v>
      </c>
      <c r="V194" s="245">
        <f>21692+8946</f>
        <v>30638</v>
      </c>
      <c r="W194" s="245">
        <v>3025</v>
      </c>
      <c r="X194" s="245">
        <v>2983</v>
      </c>
      <c r="Y194" s="245">
        <v>3028</v>
      </c>
      <c r="Z194" s="245">
        <v>82558</v>
      </c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75"/>
      <c r="AL194" s="75"/>
      <c r="AM194" s="75"/>
    </row>
    <row r="195" spans="1:39" ht="16.2" thickBot="1" x14ac:dyDescent="0.35">
      <c r="A195" s="230" t="s">
        <v>376</v>
      </c>
      <c r="B195" s="57" t="s">
        <v>381</v>
      </c>
      <c r="C195" s="243">
        <f>SUMIF(D13:D192,"9040",E13:E192)+2</f>
        <v>243784.03831317942</v>
      </c>
      <c r="D195" s="288"/>
      <c r="E195" s="243"/>
      <c r="F195" s="243">
        <f t="shared" si="6"/>
        <v>243784</v>
      </c>
      <c r="G195" s="243">
        <f t="shared" si="8"/>
        <v>0</v>
      </c>
      <c r="H195" s="250"/>
      <c r="I195" s="250"/>
      <c r="J195" s="250"/>
      <c r="K195" s="250"/>
      <c r="L195" s="250">
        <v>2997</v>
      </c>
      <c r="M195" s="250"/>
      <c r="N195" s="245">
        <v>20146</v>
      </c>
      <c r="O195" s="250"/>
      <c r="P195" s="250"/>
      <c r="Q195" s="250">
        <v>72314</v>
      </c>
      <c r="R195" s="250">
        <v>84473</v>
      </c>
      <c r="S195" s="250">
        <v>50</v>
      </c>
      <c r="T195" s="250">
        <v>51723</v>
      </c>
      <c r="U195" s="250"/>
      <c r="V195" s="250">
        <v>50</v>
      </c>
      <c r="W195" s="250">
        <v>5300</v>
      </c>
      <c r="X195" s="245"/>
      <c r="Y195" s="250"/>
      <c r="Z195" s="250">
        <v>6729</v>
      </c>
      <c r="AA195" s="250">
        <v>2</v>
      </c>
      <c r="AB195" s="250"/>
      <c r="AC195" s="250"/>
      <c r="AD195" s="250"/>
      <c r="AE195" s="250"/>
      <c r="AF195" s="250"/>
      <c r="AG195" s="250"/>
      <c r="AH195" s="250"/>
      <c r="AI195" s="250"/>
      <c r="AJ195" s="250"/>
      <c r="AK195" s="76"/>
      <c r="AL195" s="76"/>
      <c r="AM195" s="76"/>
    </row>
    <row r="196" spans="1:39" ht="16.2" thickBot="1" x14ac:dyDescent="0.35">
      <c r="A196" s="230" t="s">
        <v>523</v>
      </c>
      <c r="B196" s="57" t="s">
        <v>478</v>
      </c>
      <c r="C196" s="243">
        <f>SUMIF(D14:D193,"9060",E14:E193)</f>
        <v>0</v>
      </c>
      <c r="D196" s="288"/>
      <c r="E196" s="243"/>
      <c r="F196" s="243">
        <f t="shared" si="6"/>
        <v>0</v>
      </c>
      <c r="G196" s="243">
        <f t="shared" si="8"/>
        <v>0</v>
      </c>
      <c r="H196" s="250"/>
      <c r="I196" s="250"/>
      <c r="J196" s="250"/>
      <c r="K196" s="250"/>
      <c r="L196" s="250"/>
      <c r="M196" s="250"/>
      <c r="N196" s="245"/>
      <c r="O196" s="250"/>
      <c r="P196" s="250"/>
      <c r="Q196" s="250"/>
      <c r="R196" s="250"/>
      <c r="S196" s="250"/>
      <c r="T196" s="250"/>
      <c r="U196" s="250"/>
      <c r="V196" s="250"/>
      <c r="W196" s="250"/>
      <c r="X196" s="245"/>
      <c r="Y196" s="250"/>
      <c r="Z196" s="250"/>
      <c r="AA196" s="250"/>
      <c r="AB196" s="250"/>
      <c r="AC196" s="250"/>
      <c r="AD196" s="250"/>
      <c r="AE196" s="250"/>
      <c r="AF196" s="250"/>
      <c r="AG196" s="250"/>
      <c r="AH196" s="250"/>
      <c r="AI196" s="250"/>
      <c r="AJ196" s="250"/>
      <c r="AK196" s="76"/>
      <c r="AL196" s="76"/>
      <c r="AM196" s="76"/>
    </row>
    <row r="197" spans="1:39" ht="16.2" thickBot="1" x14ac:dyDescent="0.35">
      <c r="A197" s="230" t="s">
        <v>377</v>
      </c>
      <c r="B197" s="206" t="s">
        <v>382</v>
      </c>
      <c r="C197" s="243">
        <f>SUMIF(D13:D192,"9095",E13:E192)</f>
        <v>152616.77010912047</v>
      </c>
      <c r="D197" s="288"/>
      <c r="E197" s="243"/>
      <c r="F197" s="243">
        <f t="shared" si="6"/>
        <v>152617</v>
      </c>
      <c r="G197" s="243">
        <f t="shared" si="8"/>
        <v>0</v>
      </c>
      <c r="H197" s="250"/>
      <c r="I197" s="250"/>
      <c r="J197" s="250"/>
      <c r="K197" s="250"/>
      <c r="L197" s="250"/>
      <c r="M197" s="250"/>
      <c r="N197" s="245"/>
      <c r="O197" s="250"/>
      <c r="P197" s="250"/>
      <c r="Q197" s="250"/>
      <c r="R197" s="250"/>
      <c r="S197" s="250"/>
      <c r="T197" s="250">
        <v>152611</v>
      </c>
      <c r="U197" s="250"/>
      <c r="V197" s="250"/>
      <c r="W197" s="250"/>
      <c r="X197" s="245"/>
      <c r="Y197" s="250"/>
      <c r="Z197" s="250"/>
      <c r="AA197" s="250"/>
      <c r="AB197" s="250"/>
      <c r="AC197" s="250"/>
      <c r="AD197" s="250"/>
      <c r="AE197" s="250"/>
      <c r="AF197" s="250"/>
      <c r="AG197" s="250">
        <v>6</v>
      </c>
      <c r="AH197" s="250"/>
      <c r="AI197" s="250"/>
      <c r="AJ197" s="250"/>
      <c r="AK197" s="76"/>
      <c r="AL197" s="76"/>
      <c r="AM197" s="76"/>
    </row>
    <row r="198" spans="1:39" ht="16.2" thickBot="1" x14ac:dyDescent="0.35">
      <c r="A198" s="230" t="s">
        <v>378</v>
      </c>
      <c r="B198" s="58" t="s">
        <v>383</v>
      </c>
      <c r="C198" s="243">
        <f>SUMIF(D13:D192,"9125",E13:E192)</f>
        <v>0</v>
      </c>
      <c r="D198" s="288"/>
      <c r="E198" s="243"/>
      <c r="F198" s="243">
        <f t="shared" si="6"/>
        <v>0</v>
      </c>
      <c r="G198" s="243">
        <f t="shared" si="8"/>
        <v>0</v>
      </c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45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250"/>
      <c r="AI198" s="250"/>
      <c r="AJ198" s="250"/>
      <c r="AK198" s="76"/>
      <c r="AL198" s="76"/>
      <c r="AM198" s="76"/>
    </row>
    <row r="199" spans="1:39" ht="16.2" thickBot="1" x14ac:dyDescent="0.35">
      <c r="A199" s="112"/>
      <c r="B199" s="58"/>
      <c r="C199" s="251"/>
      <c r="D199" s="288"/>
      <c r="E199" s="243"/>
      <c r="F199" s="243"/>
      <c r="G199" s="243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0"/>
      <c r="AH199" s="250"/>
      <c r="AI199" s="250"/>
      <c r="AJ199" s="250"/>
      <c r="AK199" s="76"/>
      <c r="AL199" s="76"/>
      <c r="AM199" s="76"/>
    </row>
    <row r="200" spans="1:39" s="138" customFormat="1" ht="16.2" thickBot="1" x14ac:dyDescent="0.35">
      <c r="A200" s="135" t="s">
        <v>537</v>
      </c>
      <c r="B200" s="135"/>
      <c r="C200" s="252">
        <f>SUM(C13:C199)-E200</f>
        <v>143590913.32786185</v>
      </c>
      <c r="D200" s="253" t="s">
        <v>392</v>
      </c>
      <c r="E200" s="252">
        <f>SUM(E13:E198)</f>
        <v>2023658.0581207839</v>
      </c>
      <c r="F200" s="252">
        <f t="shared" ref="F200:AH200" si="9">SUM(F13:F198)</f>
        <v>143577877</v>
      </c>
      <c r="G200" s="252">
        <f>SUM(G13:G198)</f>
        <v>13039</v>
      </c>
      <c r="H200" s="252">
        <f t="shared" si="9"/>
        <v>0</v>
      </c>
      <c r="I200" s="252">
        <f t="shared" si="9"/>
        <v>0</v>
      </c>
      <c r="J200" s="252">
        <f t="shared" si="9"/>
        <v>96948</v>
      </c>
      <c r="K200" s="252">
        <f t="shared" si="9"/>
        <v>5123652</v>
      </c>
      <c r="L200" s="252">
        <f t="shared" si="9"/>
        <v>2627388</v>
      </c>
      <c r="M200" s="252">
        <f t="shared" si="9"/>
        <v>4560518</v>
      </c>
      <c r="N200" s="252">
        <f t="shared" si="9"/>
        <v>5398613</v>
      </c>
      <c r="O200" s="252">
        <f t="shared" si="9"/>
        <v>15058754</v>
      </c>
      <c r="P200" s="252">
        <f t="shared" si="9"/>
        <v>11998075</v>
      </c>
      <c r="Q200" s="252">
        <f t="shared" si="9"/>
        <v>12794254</v>
      </c>
      <c r="R200" s="252">
        <f t="shared" si="9"/>
        <v>14072586</v>
      </c>
      <c r="S200" s="252">
        <f t="shared" si="9"/>
        <v>13968726</v>
      </c>
      <c r="T200" s="252">
        <f t="shared" si="9"/>
        <v>11379583</v>
      </c>
      <c r="U200" s="252">
        <f t="shared" si="9"/>
        <v>6380461</v>
      </c>
      <c r="V200" s="252">
        <f t="shared" si="9"/>
        <v>16586054</v>
      </c>
      <c r="W200" s="252">
        <f t="shared" si="9"/>
        <v>7149602</v>
      </c>
      <c r="X200" s="252">
        <f t="shared" si="9"/>
        <v>6545538</v>
      </c>
      <c r="Y200" s="252">
        <f t="shared" si="9"/>
        <v>7537839</v>
      </c>
      <c r="Z200" s="252">
        <f t="shared" si="9"/>
        <v>774418</v>
      </c>
      <c r="AA200" s="252">
        <f t="shared" si="9"/>
        <v>360315</v>
      </c>
      <c r="AB200" s="252">
        <f t="shared" si="9"/>
        <v>870219</v>
      </c>
      <c r="AC200" s="252">
        <f t="shared" si="9"/>
        <v>181212</v>
      </c>
      <c r="AD200" s="252">
        <f t="shared" si="9"/>
        <v>45977</v>
      </c>
      <c r="AE200" s="252">
        <f t="shared" si="9"/>
        <v>880</v>
      </c>
      <c r="AF200" s="252">
        <f t="shared" si="9"/>
        <v>220</v>
      </c>
      <c r="AG200" s="252">
        <f t="shared" si="9"/>
        <v>25704</v>
      </c>
      <c r="AH200" s="252">
        <f t="shared" si="9"/>
        <v>0</v>
      </c>
      <c r="AI200" s="252">
        <f t="shared" ref="AI200:AJ200" si="10">SUM(AI13:AI198)</f>
        <v>37422</v>
      </c>
      <c r="AJ200" s="252">
        <f t="shared" si="10"/>
        <v>2919</v>
      </c>
      <c r="AK200" s="137"/>
      <c r="AL200" s="137"/>
      <c r="AM200" s="137"/>
    </row>
    <row r="201" spans="1:39" ht="18" x14ac:dyDescent="0.35">
      <c r="A201" s="73"/>
      <c r="B201" s="73"/>
      <c r="C201" s="185"/>
      <c r="D201" s="74"/>
      <c r="E201" s="73"/>
      <c r="F201" s="73"/>
      <c r="G201" s="73"/>
      <c r="M201" s="188"/>
    </row>
    <row r="202" spans="1:39" ht="18" x14ac:dyDescent="0.35">
      <c r="C202" s="185"/>
      <c r="D202" s="151"/>
      <c r="E202" s="73"/>
      <c r="F202" s="73"/>
      <c r="G202" s="152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V202" s="188"/>
      <c r="W202" s="188"/>
      <c r="AG202" s="290"/>
    </row>
    <row r="203" spans="1:39" ht="18" x14ac:dyDescent="0.35">
      <c r="C203" s="186"/>
      <c r="D203" s="151"/>
      <c r="R203" s="188"/>
      <c r="U203" s="188"/>
    </row>
    <row r="204" spans="1:39" x14ac:dyDescent="0.3">
      <c r="C204" s="186"/>
      <c r="D204" s="17"/>
      <c r="S204" s="188"/>
    </row>
    <row r="205" spans="1:39" x14ac:dyDescent="0.3">
      <c r="C205" s="186"/>
      <c r="D205" s="17"/>
    </row>
    <row r="206" spans="1:39" x14ac:dyDescent="0.3">
      <c r="C206" s="186"/>
      <c r="D206" s="17"/>
    </row>
    <row r="207" spans="1:39" x14ac:dyDescent="0.3">
      <c r="C207" s="186"/>
      <c r="D207" s="17"/>
    </row>
    <row r="208" spans="1:39" x14ac:dyDescent="0.3">
      <c r="C208" s="186"/>
      <c r="D208" s="17"/>
    </row>
    <row r="209" spans="3:4" x14ac:dyDescent="0.3">
      <c r="C209" s="186"/>
      <c r="D209" s="17"/>
    </row>
    <row r="210" spans="3:4" x14ac:dyDescent="0.3">
      <c r="C210" s="186"/>
      <c r="D210" s="17"/>
    </row>
    <row r="211" spans="3:4" x14ac:dyDescent="0.3">
      <c r="C211" s="186"/>
      <c r="D211" s="17"/>
    </row>
    <row r="212" spans="3:4" x14ac:dyDescent="0.3">
      <c r="C212" s="186"/>
      <c r="D212" s="17"/>
    </row>
    <row r="213" spans="3:4" x14ac:dyDescent="0.3">
      <c r="C213" s="186"/>
      <c r="D213" s="17"/>
    </row>
    <row r="214" spans="3:4" x14ac:dyDescent="0.3">
      <c r="C214" s="186"/>
      <c r="D214" s="17"/>
    </row>
    <row r="215" spans="3:4" x14ac:dyDescent="0.3">
      <c r="C215" s="186"/>
      <c r="D215" s="17"/>
    </row>
    <row r="216" spans="3:4" x14ac:dyDescent="0.3">
      <c r="C216" s="186"/>
      <c r="D216" s="17"/>
    </row>
    <row r="217" spans="3:4" x14ac:dyDescent="0.3">
      <c r="C217" s="186"/>
      <c r="D217" s="17"/>
    </row>
    <row r="218" spans="3:4" x14ac:dyDescent="0.3">
      <c r="C218" s="186"/>
      <c r="D218" s="17"/>
    </row>
    <row r="219" spans="3:4" x14ac:dyDescent="0.3">
      <c r="C219" s="186"/>
      <c r="D219" s="17"/>
    </row>
    <row r="220" spans="3:4" x14ac:dyDescent="0.3">
      <c r="C220" s="186"/>
      <c r="D220" s="17"/>
    </row>
    <row r="221" spans="3:4" x14ac:dyDescent="0.3">
      <c r="D221" s="17"/>
    </row>
    <row r="222" spans="3:4" x14ac:dyDescent="0.3">
      <c r="D222" s="17"/>
    </row>
    <row r="223" spans="3:4" x14ac:dyDescent="0.3">
      <c r="D223" s="17"/>
    </row>
    <row r="224" spans="3:4" x14ac:dyDescent="0.3">
      <c r="D224" s="17"/>
    </row>
    <row r="225" spans="4:4" x14ac:dyDescent="0.3">
      <c r="D225" s="17"/>
    </row>
    <row r="226" spans="4:4" x14ac:dyDescent="0.3">
      <c r="D226" s="17"/>
    </row>
    <row r="227" spans="4:4" x14ac:dyDescent="0.3">
      <c r="D227" s="17"/>
    </row>
    <row r="228" spans="4:4" x14ac:dyDescent="0.3">
      <c r="D228" s="17"/>
    </row>
    <row r="229" spans="4:4" x14ac:dyDescent="0.3">
      <c r="D229" s="17"/>
    </row>
  </sheetData>
  <sheetProtection password="EF32" sheet="1" objects="1" scenarios="1"/>
  <pageMargins left="0.1" right="0.1" top="0.1" bottom="0.1" header="0.5" footer="0.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9CCFF"/>
  </sheetPr>
  <dimension ref="A1:AI202"/>
  <sheetViews>
    <sheetView workbookViewId="0">
      <pane xSplit="5" ySplit="24" topLeftCell="F25" activePane="bottomRight" state="frozen"/>
      <selection activeCell="E155" sqref="E155"/>
      <selection pane="topRight" activeCell="E155" sqref="E155"/>
      <selection pane="bottomLeft" activeCell="E155" sqref="E155"/>
      <selection pane="bottomRight" activeCell="F25" sqref="F25"/>
    </sheetView>
  </sheetViews>
  <sheetFormatPr defaultColWidth="9.109375" defaultRowHeight="14.4" x14ac:dyDescent="0.3"/>
  <cols>
    <col min="1" max="1" width="9.109375" style="2"/>
    <col min="2" max="2" width="36.6640625" style="2" customWidth="1"/>
    <col min="3" max="3" width="20.88671875" style="2" customWidth="1"/>
    <col min="4" max="4" width="18.88671875" style="2" customWidth="1"/>
    <col min="5" max="5" width="17" style="2" customWidth="1"/>
    <col min="6" max="20" width="15.6640625" style="2" customWidth="1"/>
    <col min="21" max="21" width="12.5546875" style="2" bestFit="1" customWidth="1"/>
    <col min="22" max="22" width="15" style="2" bestFit="1" customWidth="1"/>
    <col min="23" max="23" width="14.6640625" style="2" bestFit="1" customWidth="1"/>
    <col min="24" max="24" width="12.109375" style="2" bestFit="1" customWidth="1"/>
    <col min="25" max="25" width="13.44140625" style="2" bestFit="1" customWidth="1"/>
    <col min="26" max="26" width="11" style="2" bestFit="1" customWidth="1"/>
    <col min="27" max="27" width="9.6640625" style="2" bestFit="1" customWidth="1"/>
    <col min="28" max="28" width="9.33203125" style="2" bestFit="1" customWidth="1"/>
    <col min="29" max="29" width="9.5546875" style="2" bestFit="1" customWidth="1"/>
    <col min="30" max="30" width="8.88671875" style="2" bestFit="1" customWidth="1"/>
    <col min="31" max="31" width="11.5546875" style="2" bestFit="1" customWidth="1"/>
    <col min="32" max="32" width="15.44140625" style="2" bestFit="1" customWidth="1"/>
    <col min="33" max="35" width="15.44140625" style="12" bestFit="1" customWidth="1"/>
    <col min="36" max="16384" width="9.109375" style="2"/>
  </cols>
  <sheetData>
    <row r="1" spans="1:35" ht="21" x14ac:dyDescent="0.4">
      <c r="A1" s="18" t="s">
        <v>0</v>
      </c>
      <c r="B1" s="19"/>
      <c r="C1" s="20" t="s">
        <v>389</v>
      </c>
      <c r="D1" s="18"/>
      <c r="E1" s="21"/>
      <c r="F1" s="22"/>
      <c r="G1" s="22"/>
      <c r="H1" s="20" t="str">
        <f>C1</f>
        <v>Title I-C Migrant</v>
      </c>
      <c r="I1" s="20"/>
      <c r="J1" s="18"/>
      <c r="K1" s="18"/>
      <c r="L1" s="21"/>
      <c r="M1" s="21"/>
      <c r="N1" s="22"/>
      <c r="O1" s="196" t="str">
        <f>C1</f>
        <v>Title I-C Migrant</v>
      </c>
      <c r="P1" s="20"/>
      <c r="Q1" s="20"/>
      <c r="R1" s="18"/>
      <c r="S1" s="18"/>
      <c r="T1" s="21"/>
      <c r="U1" s="196" t="str">
        <f>C1</f>
        <v>Title I-C Migrant</v>
      </c>
      <c r="V1" s="197"/>
      <c r="W1" s="197"/>
      <c r="X1" s="197"/>
      <c r="Y1" s="197"/>
      <c r="Z1" s="197"/>
      <c r="AA1" s="197"/>
      <c r="AB1" s="197"/>
      <c r="AC1" s="197"/>
      <c r="AD1" s="196" t="str">
        <f>C1</f>
        <v>Title I-C Migrant</v>
      </c>
      <c r="AE1" s="197"/>
      <c r="AF1" s="197"/>
      <c r="AG1" s="197"/>
      <c r="AH1" s="197"/>
      <c r="AI1" s="197"/>
    </row>
    <row r="2" spans="1:35" ht="21" x14ac:dyDescent="0.4">
      <c r="A2" s="23" t="s">
        <v>1</v>
      </c>
      <c r="B2" s="19"/>
      <c r="C2" s="24">
        <v>84.010999999999996</v>
      </c>
      <c r="D2" s="23"/>
      <c r="E2" s="25"/>
      <c r="F2" s="22"/>
      <c r="G2" s="22"/>
      <c r="H2" s="23" t="str">
        <f>"FY"&amp;C4</f>
        <v>FY2014-15</v>
      </c>
      <c r="I2" s="20"/>
      <c r="J2" s="20" t="s">
        <v>392</v>
      </c>
      <c r="K2" s="26"/>
      <c r="L2" s="25"/>
      <c r="M2" s="25"/>
      <c r="N2" s="25"/>
      <c r="O2" s="199" t="str">
        <f>"FY"&amp;C4</f>
        <v>FY2014-15</v>
      </c>
      <c r="P2" s="23"/>
      <c r="Q2" s="20"/>
      <c r="R2" s="20" t="s">
        <v>392</v>
      </c>
      <c r="S2" s="26"/>
      <c r="T2" s="25"/>
      <c r="U2" s="199" t="str">
        <f>"FY"&amp;C4</f>
        <v>FY2014-15</v>
      </c>
      <c r="V2" s="197"/>
      <c r="W2" s="197"/>
      <c r="X2" s="197"/>
      <c r="Y2" s="197"/>
      <c r="Z2" s="197"/>
      <c r="AA2" s="197"/>
      <c r="AB2" s="197"/>
      <c r="AC2" s="197"/>
      <c r="AD2" s="199" t="str">
        <f>"FY"&amp;C4</f>
        <v>FY2014-15</v>
      </c>
      <c r="AE2" s="197"/>
      <c r="AF2" s="197"/>
      <c r="AG2" s="197"/>
      <c r="AH2" s="197"/>
      <c r="AI2" s="197"/>
    </row>
    <row r="3" spans="1:35" ht="21" x14ac:dyDescent="0.4">
      <c r="A3" s="23" t="s">
        <v>4</v>
      </c>
      <c r="B3" s="19"/>
      <c r="C3" s="26">
        <v>4011</v>
      </c>
      <c r="D3" s="23"/>
      <c r="E3" s="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</row>
    <row r="4" spans="1:35" ht="21" x14ac:dyDescent="0.4">
      <c r="A4" s="23" t="s">
        <v>2</v>
      </c>
      <c r="B4" s="19"/>
      <c r="C4" s="20" t="str">
        <f>'NCLB Title I-A Formula'!$C$4</f>
        <v>2014-15</v>
      </c>
      <c r="D4" s="25"/>
      <c r="E4" s="2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</row>
    <row r="5" spans="1:35" ht="21" x14ac:dyDescent="0.4">
      <c r="A5" s="23" t="s">
        <v>435</v>
      </c>
      <c r="B5" s="19"/>
      <c r="C5" s="181" t="s">
        <v>536</v>
      </c>
      <c r="D5" s="23"/>
      <c r="E5" s="2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5" ht="21" x14ac:dyDescent="0.4">
      <c r="A6" s="23" t="s">
        <v>5</v>
      </c>
      <c r="B6" s="19"/>
      <c r="C6" s="23" t="s">
        <v>6</v>
      </c>
      <c r="D6" s="23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5" ht="21" x14ac:dyDescent="0.4">
      <c r="A7" s="23" t="s">
        <v>384</v>
      </c>
      <c r="B7" s="19"/>
      <c r="C7" s="199" t="s">
        <v>468</v>
      </c>
      <c r="D7" s="2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</row>
    <row r="8" spans="1:35" ht="21" x14ac:dyDescent="0.4">
      <c r="A8" s="23" t="s">
        <v>385</v>
      </c>
      <c r="B8" s="19"/>
      <c r="C8" s="23" t="s">
        <v>386</v>
      </c>
      <c r="D8" s="25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s="12" customFormat="1" ht="21.6" thickBot="1" x14ac:dyDescent="0.45">
      <c r="A9" s="23" t="s">
        <v>436</v>
      </c>
      <c r="B9" s="19"/>
      <c r="C9" s="199" t="s">
        <v>467</v>
      </c>
      <c r="D9" s="2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5" s="4" customFormat="1" ht="32.25" customHeight="1" thickBot="1" x14ac:dyDescent="0.35">
      <c r="A10" s="107" t="s">
        <v>369</v>
      </c>
      <c r="B10" s="108" t="s">
        <v>370</v>
      </c>
      <c r="C10" s="109" t="s">
        <v>371</v>
      </c>
      <c r="D10" s="108" t="s">
        <v>372</v>
      </c>
      <c r="E10" s="64" t="s">
        <v>373</v>
      </c>
      <c r="F10" s="111" t="s">
        <v>442</v>
      </c>
      <c r="G10" s="111" t="s">
        <v>443</v>
      </c>
      <c r="H10" s="111" t="s">
        <v>444</v>
      </c>
      <c r="I10" s="111" t="s">
        <v>446</v>
      </c>
      <c r="J10" s="111" t="s">
        <v>447</v>
      </c>
      <c r="K10" s="111" t="s">
        <v>448</v>
      </c>
      <c r="L10" s="111" t="s">
        <v>449</v>
      </c>
      <c r="M10" s="111" t="s">
        <v>450</v>
      </c>
      <c r="N10" s="111" t="s">
        <v>451</v>
      </c>
      <c r="O10" s="111" t="s">
        <v>452</v>
      </c>
      <c r="P10" s="111" t="s">
        <v>453</v>
      </c>
      <c r="Q10" s="111" t="s">
        <v>454</v>
      </c>
      <c r="R10" s="111" t="s">
        <v>455</v>
      </c>
      <c r="S10" s="111" t="s">
        <v>456</v>
      </c>
      <c r="T10" s="111" t="s">
        <v>457</v>
      </c>
      <c r="U10" s="111" t="s">
        <v>464</v>
      </c>
      <c r="V10" s="111" t="s">
        <v>465</v>
      </c>
      <c r="W10" s="111" t="s">
        <v>466</v>
      </c>
      <c r="X10" s="111" t="s">
        <v>527</v>
      </c>
      <c r="Y10" s="111" t="s">
        <v>528</v>
      </c>
      <c r="Z10" s="111" t="s">
        <v>529</v>
      </c>
      <c r="AA10" s="111" t="s">
        <v>530</v>
      </c>
      <c r="AB10" s="111" t="s">
        <v>531</v>
      </c>
      <c r="AC10" s="111" t="s">
        <v>532</v>
      </c>
      <c r="AD10" s="111" t="s">
        <v>533</v>
      </c>
      <c r="AE10" s="111" t="s">
        <v>534</v>
      </c>
      <c r="AF10" s="111" t="s">
        <v>535</v>
      </c>
      <c r="AG10" s="111" t="s">
        <v>543</v>
      </c>
      <c r="AH10" s="111" t="s">
        <v>544</v>
      </c>
      <c r="AI10" s="111" t="s">
        <v>545</v>
      </c>
    </row>
    <row r="11" spans="1:35" s="3" customFormat="1" ht="18.600000000000001" hidden="1" thickBot="1" x14ac:dyDescent="0.4">
      <c r="A11" s="106" t="s">
        <v>8</v>
      </c>
      <c r="B11" s="49" t="s">
        <v>186</v>
      </c>
      <c r="C11" s="104">
        <v>0</v>
      </c>
      <c r="D11" s="89">
        <f t="shared" ref="D11:D24" si="0">SUM(F11:T11)</f>
        <v>0</v>
      </c>
      <c r="E11" s="99">
        <f>C11-D11</f>
        <v>0</v>
      </c>
      <c r="F11" s="85"/>
      <c r="G11" s="85"/>
      <c r="H11" s="85"/>
      <c r="I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35" s="3" customFormat="1" ht="18.600000000000001" hidden="1" thickBot="1" x14ac:dyDescent="0.4">
      <c r="A12" s="50" t="s">
        <v>9</v>
      </c>
      <c r="B12" s="51" t="s">
        <v>187</v>
      </c>
      <c r="C12" s="54">
        <v>0</v>
      </c>
      <c r="D12" s="87">
        <f t="shared" si="0"/>
        <v>0</v>
      </c>
      <c r="E12" s="100">
        <f t="shared" ref="E12:E75" si="1">C12-D12</f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35" s="3" customFormat="1" ht="18.600000000000001" hidden="1" thickBot="1" x14ac:dyDescent="0.4">
      <c r="A13" s="50" t="s">
        <v>10</v>
      </c>
      <c r="B13" s="51" t="s">
        <v>188</v>
      </c>
      <c r="C13" s="54">
        <v>0</v>
      </c>
      <c r="D13" s="87">
        <f t="shared" si="0"/>
        <v>0</v>
      </c>
      <c r="E13" s="100">
        <f t="shared" si="1"/>
        <v>0</v>
      </c>
      <c r="F13" s="85"/>
      <c r="G13" s="85"/>
      <c r="H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35" s="3" customFormat="1" ht="18.600000000000001" hidden="1" thickBot="1" x14ac:dyDescent="0.4">
      <c r="A14" s="50" t="s">
        <v>11</v>
      </c>
      <c r="B14" s="51" t="s">
        <v>189</v>
      </c>
      <c r="C14" s="54">
        <v>0</v>
      </c>
      <c r="D14" s="87">
        <f t="shared" si="0"/>
        <v>0</v>
      </c>
      <c r="E14" s="100">
        <f t="shared" si="1"/>
        <v>0</v>
      </c>
      <c r="F14" s="85"/>
      <c r="G14" s="85"/>
      <c r="H14" s="85"/>
      <c r="I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35" s="3" customFormat="1" ht="18.600000000000001" hidden="1" thickBot="1" x14ac:dyDescent="0.4">
      <c r="A15" s="50" t="s">
        <v>12</v>
      </c>
      <c r="B15" s="51" t="s">
        <v>190</v>
      </c>
      <c r="C15" s="54">
        <v>0</v>
      </c>
      <c r="D15" s="87">
        <f t="shared" si="0"/>
        <v>0</v>
      </c>
      <c r="E15" s="100">
        <f t="shared" si="1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35" s="3" customFormat="1" ht="18.600000000000001" hidden="1" thickBot="1" x14ac:dyDescent="0.4">
      <c r="A16" s="50" t="s">
        <v>13</v>
      </c>
      <c r="B16" s="51" t="s">
        <v>191</v>
      </c>
      <c r="C16" s="54">
        <v>0</v>
      </c>
      <c r="D16" s="87">
        <f t="shared" si="0"/>
        <v>0</v>
      </c>
      <c r="E16" s="100">
        <f t="shared" si="1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35" s="3" customFormat="1" ht="18.600000000000001" hidden="1" thickBot="1" x14ac:dyDescent="0.4">
      <c r="A17" s="50" t="s">
        <v>14</v>
      </c>
      <c r="B17" s="51" t="s">
        <v>192</v>
      </c>
      <c r="C17" s="54">
        <v>0</v>
      </c>
      <c r="D17" s="87">
        <f t="shared" si="0"/>
        <v>0</v>
      </c>
      <c r="E17" s="100">
        <f t="shared" si="1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35" s="7" customFormat="1" ht="18.600000000000001" hidden="1" thickBot="1" x14ac:dyDescent="0.4">
      <c r="A18" s="50" t="s">
        <v>15</v>
      </c>
      <c r="B18" s="51" t="s">
        <v>193</v>
      </c>
      <c r="C18" s="54">
        <v>0</v>
      </c>
      <c r="D18" s="87">
        <f t="shared" si="0"/>
        <v>0</v>
      </c>
      <c r="E18" s="100">
        <f t="shared" si="1"/>
        <v>0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35" s="86" customFormat="1" ht="16.2" hidden="1" thickBot="1" x14ac:dyDescent="0.35">
      <c r="A19" s="50" t="s">
        <v>16</v>
      </c>
      <c r="B19" s="51" t="s">
        <v>194</v>
      </c>
      <c r="C19" s="54">
        <v>0</v>
      </c>
      <c r="D19" s="87">
        <f t="shared" si="0"/>
        <v>0</v>
      </c>
      <c r="E19" s="100">
        <f t="shared" si="1"/>
        <v>0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35" s="7" customFormat="1" ht="18.600000000000001" hidden="1" thickBot="1" x14ac:dyDescent="0.4">
      <c r="A20" s="50" t="s">
        <v>17</v>
      </c>
      <c r="B20" s="51" t="s">
        <v>195</v>
      </c>
      <c r="C20" s="54">
        <v>0</v>
      </c>
      <c r="D20" s="87">
        <f t="shared" si="0"/>
        <v>0</v>
      </c>
      <c r="E20" s="100">
        <f t="shared" si="1"/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35" s="7" customFormat="1" ht="18.600000000000001" hidden="1" thickBot="1" x14ac:dyDescent="0.4">
      <c r="A21" s="50" t="s">
        <v>18</v>
      </c>
      <c r="B21" s="51" t="s">
        <v>196</v>
      </c>
      <c r="C21" s="54">
        <v>0</v>
      </c>
      <c r="D21" s="87">
        <f t="shared" si="0"/>
        <v>0</v>
      </c>
      <c r="E21" s="100">
        <f t="shared" si="1"/>
        <v>0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35" s="7" customFormat="1" ht="18.600000000000001" hidden="1" thickBot="1" x14ac:dyDescent="0.4">
      <c r="A22" s="50" t="s">
        <v>19</v>
      </c>
      <c r="B22" s="51" t="s">
        <v>197</v>
      </c>
      <c r="C22" s="54">
        <v>0</v>
      </c>
      <c r="D22" s="87">
        <f t="shared" si="0"/>
        <v>0</v>
      </c>
      <c r="E22" s="100">
        <f t="shared" si="1"/>
        <v>0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35" s="7" customFormat="1" ht="18.600000000000001" hidden="1" thickBot="1" x14ac:dyDescent="0.4">
      <c r="A23" s="50" t="s">
        <v>20</v>
      </c>
      <c r="B23" s="51" t="s">
        <v>198</v>
      </c>
      <c r="C23" s="54">
        <v>0</v>
      </c>
      <c r="D23" s="87">
        <f t="shared" si="0"/>
        <v>0</v>
      </c>
      <c r="E23" s="100">
        <f t="shared" si="1"/>
        <v>0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35" s="6" customFormat="1" ht="16.2" hidden="1" thickBot="1" x14ac:dyDescent="0.35">
      <c r="A24" s="50" t="s">
        <v>21</v>
      </c>
      <c r="B24" s="51" t="s">
        <v>199</v>
      </c>
      <c r="C24" s="52">
        <v>0</v>
      </c>
      <c r="D24" s="87">
        <f t="shared" si="0"/>
        <v>0</v>
      </c>
      <c r="E24" s="100">
        <f t="shared" si="1"/>
        <v>0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AG24" s="13"/>
      <c r="AH24" s="13"/>
      <c r="AI24" s="13"/>
    </row>
    <row r="25" spans="1:35" s="6" customFormat="1" ht="16.2" thickBot="1" x14ac:dyDescent="0.35">
      <c r="A25" s="233" t="s">
        <v>22</v>
      </c>
      <c r="B25" s="51" t="s">
        <v>200</v>
      </c>
      <c r="C25" s="254">
        <v>1236903</v>
      </c>
      <c r="D25" s="255">
        <f>SUM(F25:AI25)</f>
        <v>1215986</v>
      </c>
      <c r="E25" s="256">
        <f t="shared" si="1"/>
        <v>20917</v>
      </c>
      <c r="F25" s="257"/>
      <c r="G25" s="257"/>
      <c r="H25" s="257"/>
      <c r="I25" s="257"/>
      <c r="J25" s="258">
        <v>293427</v>
      </c>
      <c r="K25" s="257">
        <v>95080</v>
      </c>
      <c r="L25" s="257"/>
      <c r="M25" s="257">
        <v>172503</v>
      </c>
      <c r="N25" s="257">
        <v>85541</v>
      </c>
      <c r="O25" s="257">
        <v>83012</v>
      </c>
      <c r="P25" s="257">
        <v>115212</v>
      </c>
      <c r="Q25" s="257">
        <v>125358</v>
      </c>
      <c r="R25" s="257">
        <v>146014</v>
      </c>
      <c r="S25" s="257">
        <v>61538</v>
      </c>
      <c r="T25" s="257">
        <v>2842</v>
      </c>
      <c r="U25" s="257">
        <v>35459</v>
      </c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</row>
    <row r="26" spans="1:35" s="6" customFormat="1" ht="16.2" hidden="1" thickBot="1" x14ac:dyDescent="0.35">
      <c r="A26" s="233"/>
      <c r="B26" s="51" t="s">
        <v>201</v>
      </c>
      <c r="C26" s="255"/>
      <c r="D26" s="255">
        <f t="shared" ref="D26:D89" si="2">SUM(F26:AI26)</f>
        <v>0</v>
      </c>
      <c r="E26" s="256">
        <f t="shared" si="1"/>
        <v>0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</row>
    <row r="27" spans="1:35" s="6" customFormat="1" ht="16.2" hidden="1" thickBot="1" x14ac:dyDescent="0.35">
      <c r="A27" s="233"/>
      <c r="B27" s="51" t="s">
        <v>202</v>
      </c>
      <c r="C27" s="255"/>
      <c r="D27" s="255">
        <f t="shared" si="2"/>
        <v>0</v>
      </c>
      <c r="E27" s="256">
        <f t="shared" si="1"/>
        <v>0</v>
      </c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 s="6" customFormat="1" ht="16.2" hidden="1" thickBot="1" x14ac:dyDescent="0.35">
      <c r="A28" s="233"/>
      <c r="B28" s="51" t="s">
        <v>203</v>
      </c>
      <c r="C28" s="255"/>
      <c r="D28" s="255">
        <f t="shared" si="2"/>
        <v>0</v>
      </c>
      <c r="E28" s="256">
        <f t="shared" si="1"/>
        <v>0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</row>
    <row r="29" spans="1:35" ht="16.2" hidden="1" thickBot="1" x14ac:dyDescent="0.35">
      <c r="A29" s="233"/>
      <c r="B29" s="51" t="s">
        <v>204</v>
      </c>
      <c r="C29" s="255"/>
      <c r="D29" s="255">
        <f t="shared" si="2"/>
        <v>0</v>
      </c>
      <c r="E29" s="256">
        <f t="shared" si="1"/>
        <v>0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</row>
    <row r="30" spans="1:35" ht="16.2" hidden="1" thickBot="1" x14ac:dyDescent="0.35">
      <c r="A30" s="233"/>
      <c r="B30" s="51" t="s">
        <v>205</v>
      </c>
      <c r="C30" s="255"/>
      <c r="D30" s="255">
        <f t="shared" si="2"/>
        <v>0</v>
      </c>
      <c r="E30" s="256">
        <f t="shared" si="1"/>
        <v>0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</row>
    <row r="31" spans="1:35" ht="16.2" hidden="1" thickBot="1" x14ac:dyDescent="0.35">
      <c r="A31" s="233"/>
      <c r="B31" s="51" t="s">
        <v>206</v>
      </c>
      <c r="C31" s="255"/>
      <c r="D31" s="255">
        <f t="shared" si="2"/>
        <v>0</v>
      </c>
      <c r="E31" s="256">
        <f t="shared" si="1"/>
        <v>0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</row>
    <row r="32" spans="1:35" ht="16.2" hidden="1" thickBot="1" x14ac:dyDescent="0.35">
      <c r="A32" s="233"/>
      <c r="B32" s="51" t="s">
        <v>207</v>
      </c>
      <c r="C32" s="255"/>
      <c r="D32" s="255">
        <f t="shared" si="2"/>
        <v>0</v>
      </c>
      <c r="E32" s="256">
        <f t="shared" si="1"/>
        <v>0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</row>
    <row r="33" spans="1:35" ht="16.2" hidden="1" thickBot="1" x14ac:dyDescent="0.35">
      <c r="A33" s="233"/>
      <c r="B33" s="51" t="s">
        <v>208</v>
      </c>
      <c r="C33" s="255"/>
      <c r="D33" s="255">
        <f t="shared" si="2"/>
        <v>0</v>
      </c>
      <c r="E33" s="256">
        <f t="shared" si="1"/>
        <v>0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</row>
    <row r="34" spans="1:35" ht="16.2" hidden="1" thickBot="1" x14ac:dyDescent="0.35">
      <c r="A34" s="233"/>
      <c r="B34" s="51" t="s">
        <v>209</v>
      </c>
      <c r="C34" s="255"/>
      <c r="D34" s="255">
        <f t="shared" si="2"/>
        <v>0</v>
      </c>
      <c r="E34" s="256">
        <f t="shared" si="1"/>
        <v>0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</row>
    <row r="35" spans="1:35" ht="16.2" hidden="1" thickBot="1" x14ac:dyDescent="0.35">
      <c r="A35" s="233"/>
      <c r="B35" s="51" t="s">
        <v>210</v>
      </c>
      <c r="C35" s="255"/>
      <c r="D35" s="255">
        <f t="shared" si="2"/>
        <v>0</v>
      </c>
      <c r="E35" s="256">
        <f t="shared" si="1"/>
        <v>0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</row>
    <row r="36" spans="1:35" ht="16.2" hidden="1" thickBot="1" x14ac:dyDescent="0.35">
      <c r="A36" s="233"/>
      <c r="B36" s="51" t="s">
        <v>211</v>
      </c>
      <c r="C36" s="255"/>
      <c r="D36" s="255">
        <f t="shared" si="2"/>
        <v>0</v>
      </c>
      <c r="E36" s="256">
        <f t="shared" si="1"/>
        <v>0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</row>
    <row r="37" spans="1:35" ht="16.2" hidden="1" thickBot="1" x14ac:dyDescent="0.35">
      <c r="A37" s="233"/>
      <c r="B37" s="51" t="s">
        <v>212</v>
      </c>
      <c r="C37" s="255"/>
      <c r="D37" s="255">
        <f t="shared" si="2"/>
        <v>0</v>
      </c>
      <c r="E37" s="256">
        <f t="shared" si="1"/>
        <v>0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</row>
    <row r="38" spans="1:35" ht="16.2" hidden="1" thickBot="1" x14ac:dyDescent="0.35">
      <c r="A38" s="233"/>
      <c r="B38" s="51" t="s">
        <v>213</v>
      </c>
      <c r="C38" s="255"/>
      <c r="D38" s="255">
        <f t="shared" si="2"/>
        <v>0</v>
      </c>
      <c r="E38" s="256">
        <f t="shared" si="1"/>
        <v>0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</row>
    <row r="39" spans="1:35" ht="16.2" hidden="1" thickBot="1" x14ac:dyDescent="0.35">
      <c r="A39" s="233"/>
      <c r="B39" s="51" t="s">
        <v>391</v>
      </c>
      <c r="C39" s="255"/>
      <c r="D39" s="255">
        <f t="shared" si="2"/>
        <v>0</v>
      </c>
      <c r="E39" s="256">
        <f t="shared" si="1"/>
        <v>0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</row>
    <row r="40" spans="1:35" ht="16.2" hidden="1" thickBot="1" x14ac:dyDescent="0.35">
      <c r="A40" s="233"/>
      <c r="B40" s="51" t="s">
        <v>215</v>
      </c>
      <c r="C40" s="255"/>
      <c r="D40" s="255">
        <f t="shared" si="2"/>
        <v>0</v>
      </c>
      <c r="E40" s="256">
        <f t="shared" si="1"/>
        <v>0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</row>
    <row r="41" spans="1:35" ht="16.2" hidden="1" thickBot="1" x14ac:dyDescent="0.35">
      <c r="A41" s="233"/>
      <c r="B41" s="51" t="s">
        <v>216</v>
      </c>
      <c r="C41" s="255"/>
      <c r="D41" s="255">
        <f t="shared" si="2"/>
        <v>0</v>
      </c>
      <c r="E41" s="256">
        <f t="shared" si="1"/>
        <v>0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</row>
    <row r="42" spans="1:35" ht="16.2" hidden="1" thickBot="1" x14ac:dyDescent="0.35">
      <c r="A42" s="233"/>
      <c r="B42" s="51" t="s">
        <v>217</v>
      </c>
      <c r="C42" s="255"/>
      <c r="D42" s="255">
        <f t="shared" si="2"/>
        <v>0</v>
      </c>
      <c r="E42" s="256">
        <f t="shared" si="1"/>
        <v>0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</row>
    <row r="43" spans="1:35" ht="16.2" hidden="1" thickBot="1" x14ac:dyDescent="0.35">
      <c r="A43" s="233"/>
      <c r="B43" s="51" t="s">
        <v>218</v>
      </c>
      <c r="C43" s="255"/>
      <c r="D43" s="255">
        <f t="shared" si="2"/>
        <v>0</v>
      </c>
      <c r="E43" s="256">
        <f t="shared" si="1"/>
        <v>0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</row>
    <row r="44" spans="1:35" ht="16.2" hidden="1" thickBot="1" x14ac:dyDescent="0.35">
      <c r="A44" s="233"/>
      <c r="B44" s="51" t="s">
        <v>219</v>
      </c>
      <c r="C44" s="255"/>
      <c r="D44" s="255">
        <f t="shared" si="2"/>
        <v>0</v>
      </c>
      <c r="E44" s="256">
        <f t="shared" si="1"/>
        <v>0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</row>
    <row r="45" spans="1:35" ht="16.2" hidden="1" thickBot="1" x14ac:dyDescent="0.35">
      <c r="A45" s="233"/>
      <c r="B45" s="53" t="s">
        <v>220</v>
      </c>
      <c r="C45" s="255"/>
      <c r="D45" s="255">
        <f t="shared" si="2"/>
        <v>0</v>
      </c>
      <c r="E45" s="256">
        <f t="shared" si="1"/>
        <v>0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</row>
    <row r="46" spans="1:35" ht="16.2" hidden="1" thickBot="1" x14ac:dyDescent="0.35">
      <c r="A46" s="233"/>
      <c r="B46" s="51" t="s">
        <v>221</v>
      </c>
      <c r="C46" s="255"/>
      <c r="D46" s="255">
        <f t="shared" si="2"/>
        <v>0</v>
      </c>
      <c r="E46" s="256">
        <f t="shared" si="1"/>
        <v>0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</row>
    <row r="47" spans="1:35" ht="16.2" hidden="1" thickBot="1" x14ac:dyDescent="0.35">
      <c r="A47" s="233"/>
      <c r="B47" s="51" t="s">
        <v>222</v>
      </c>
      <c r="C47" s="255"/>
      <c r="D47" s="255">
        <f t="shared" si="2"/>
        <v>0</v>
      </c>
      <c r="E47" s="256">
        <f t="shared" si="1"/>
        <v>0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</row>
    <row r="48" spans="1:35" ht="16.2" hidden="1" thickBot="1" x14ac:dyDescent="0.35">
      <c r="A48" s="233"/>
      <c r="B48" s="51" t="s">
        <v>223</v>
      </c>
      <c r="C48" s="255"/>
      <c r="D48" s="255">
        <f t="shared" si="2"/>
        <v>0</v>
      </c>
      <c r="E48" s="256">
        <f t="shared" si="1"/>
        <v>0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</row>
    <row r="49" spans="1:35" ht="16.2" hidden="1" thickBot="1" x14ac:dyDescent="0.35">
      <c r="A49" s="233"/>
      <c r="B49" s="51" t="s">
        <v>224</v>
      </c>
      <c r="C49" s="255"/>
      <c r="D49" s="255">
        <f t="shared" si="2"/>
        <v>0</v>
      </c>
      <c r="E49" s="256">
        <f t="shared" si="1"/>
        <v>0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</row>
    <row r="50" spans="1:35" ht="16.2" hidden="1" thickBot="1" x14ac:dyDescent="0.35">
      <c r="A50" s="233"/>
      <c r="B50" s="51" t="s">
        <v>225</v>
      </c>
      <c r="C50" s="255"/>
      <c r="D50" s="255">
        <f t="shared" si="2"/>
        <v>0</v>
      </c>
      <c r="E50" s="256">
        <f t="shared" si="1"/>
        <v>0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</row>
    <row r="51" spans="1:35" ht="16.2" hidden="1" thickBot="1" x14ac:dyDescent="0.35">
      <c r="A51" s="233"/>
      <c r="B51" s="51" t="s">
        <v>226</v>
      </c>
      <c r="C51" s="255"/>
      <c r="D51" s="255">
        <f t="shared" si="2"/>
        <v>0</v>
      </c>
      <c r="E51" s="256">
        <f t="shared" si="1"/>
        <v>0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</row>
    <row r="52" spans="1:35" ht="16.2" hidden="1" thickBot="1" x14ac:dyDescent="0.35">
      <c r="A52" s="233"/>
      <c r="B52" s="51" t="s">
        <v>227</v>
      </c>
      <c r="C52" s="255"/>
      <c r="D52" s="255">
        <f t="shared" si="2"/>
        <v>0</v>
      </c>
      <c r="E52" s="256">
        <f t="shared" si="1"/>
        <v>0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</row>
    <row r="53" spans="1:35" ht="16.2" hidden="1" thickBot="1" x14ac:dyDescent="0.35">
      <c r="A53" s="233"/>
      <c r="B53" s="51" t="s">
        <v>228</v>
      </c>
      <c r="C53" s="255"/>
      <c r="D53" s="255">
        <f t="shared" si="2"/>
        <v>0</v>
      </c>
      <c r="E53" s="256">
        <f t="shared" si="1"/>
        <v>0</v>
      </c>
      <c r="F53" s="150"/>
      <c r="G53" s="150"/>
      <c r="H53" s="150"/>
      <c r="I53" s="258"/>
      <c r="J53" s="258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</row>
    <row r="54" spans="1:35" ht="16.2" hidden="1" thickBot="1" x14ac:dyDescent="0.35">
      <c r="A54" s="233"/>
      <c r="B54" s="51" t="s">
        <v>229</v>
      </c>
      <c r="C54" s="255"/>
      <c r="D54" s="255">
        <f t="shared" si="2"/>
        <v>0</v>
      </c>
      <c r="E54" s="256">
        <f t="shared" si="1"/>
        <v>0</v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</row>
    <row r="55" spans="1:35" ht="16.2" hidden="1" thickBot="1" x14ac:dyDescent="0.35">
      <c r="A55" s="233"/>
      <c r="B55" s="51" t="s">
        <v>230</v>
      </c>
      <c r="C55" s="255"/>
      <c r="D55" s="255">
        <f t="shared" si="2"/>
        <v>0</v>
      </c>
      <c r="E55" s="256">
        <f t="shared" si="1"/>
        <v>0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</row>
    <row r="56" spans="1:35" ht="16.2" hidden="1" thickBot="1" x14ac:dyDescent="0.35">
      <c r="A56" s="233"/>
      <c r="B56" s="51" t="s">
        <v>231</v>
      </c>
      <c r="C56" s="255"/>
      <c r="D56" s="255">
        <f t="shared" si="2"/>
        <v>0</v>
      </c>
      <c r="E56" s="256">
        <f t="shared" si="1"/>
        <v>0</v>
      </c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</row>
    <row r="57" spans="1:35" ht="16.2" hidden="1" thickBot="1" x14ac:dyDescent="0.35">
      <c r="A57" s="233"/>
      <c r="B57" s="51" t="s">
        <v>232</v>
      </c>
      <c r="C57" s="255"/>
      <c r="D57" s="255">
        <f t="shared" si="2"/>
        <v>0</v>
      </c>
      <c r="E57" s="256">
        <f t="shared" si="1"/>
        <v>0</v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</row>
    <row r="58" spans="1:35" ht="16.2" hidden="1" thickBot="1" x14ac:dyDescent="0.35">
      <c r="A58" s="233"/>
      <c r="B58" s="51" t="s">
        <v>233</v>
      </c>
      <c r="C58" s="255"/>
      <c r="D58" s="255">
        <f t="shared" si="2"/>
        <v>0</v>
      </c>
      <c r="E58" s="256">
        <f t="shared" si="1"/>
        <v>0</v>
      </c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</row>
    <row r="59" spans="1:35" ht="16.2" hidden="1" thickBot="1" x14ac:dyDescent="0.35">
      <c r="A59" s="233"/>
      <c r="B59" s="51" t="s">
        <v>234</v>
      </c>
      <c r="C59" s="255"/>
      <c r="D59" s="255">
        <f t="shared" si="2"/>
        <v>0</v>
      </c>
      <c r="E59" s="256">
        <f t="shared" si="1"/>
        <v>0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</row>
    <row r="60" spans="1:35" ht="16.2" hidden="1" thickBot="1" x14ac:dyDescent="0.35">
      <c r="A60" s="233"/>
      <c r="B60" s="51" t="s">
        <v>235</v>
      </c>
      <c r="C60" s="255"/>
      <c r="D60" s="255">
        <f t="shared" si="2"/>
        <v>0</v>
      </c>
      <c r="E60" s="256">
        <f t="shared" si="1"/>
        <v>0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</row>
    <row r="61" spans="1:35" ht="16.2" hidden="1" thickBot="1" x14ac:dyDescent="0.35">
      <c r="A61" s="233"/>
      <c r="B61" s="51" t="s">
        <v>236</v>
      </c>
      <c r="C61" s="255"/>
      <c r="D61" s="255">
        <f t="shared" si="2"/>
        <v>0</v>
      </c>
      <c r="E61" s="256">
        <f t="shared" si="1"/>
        <v>0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</row>
    <row r="62" spans="1:35" ht="16.2" hidden="1" thickBot="1" x14ac:dyDescent="0.35">
      <c r="A62" s="233"/>
      <c r="B62" s="51" t="s">
        <v>237</v>
      </c>
      <c r="C62" s="255"/>
      <c r="D62" s="255">
        <f t="shared" si="2"/>
        <v>0</v>
      </c>
      <c r="E62" s="256">
        <f t="shared" si="1"/>
        <v>0</v>
      </c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</row>
    <row r="63" spans="1:35" ht="16.2" hidden="1" thickBot="1" x14ac:dyDescent="0.35">
      <c r="A63" s="233"/>
      <c r="B63" s="51" t="s">
        <v>238</v>
      </c>
      <c r="C63" s="255"/>
      <c r="D63" s="255">
        <f t="shared" si="2"/>
        <v>0</v>
      </c>
      <c r="E63" s="256">
        <f t="shared" si="1"/>
        <v>0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</row>
    <row r="64" spans="1:35" ht="16.2" hidden="1" thickBot="1" x14ac:dyDescent="0.35">
      <c r="A64" s="233"/>
      <c r="B64" s="51" t="s">
        <v>239</v>
      </c>
      <c r="C64" s="255"/>
      <c r="D64" s="255">
        <f t="shared" si="2"/>
        <v>0</v>
      </c>
      <c r="E64" s="256">
        <f t="shared" si="1"/>
        <v>0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</row>
    <row r="65" spans="1:35" ht="16.2" hidden="1" thickBot="1" x14ac:dyDescent="0.35">
      <c r="A65" s="233"/>
      <c r="B65" s="51" t="s">
        <v>240</v>
      </c>
      <c r="C65" s="255"/>
      <c r="D65" s="255">
        <f t="shared" si="2"/>
        <v>0</v>
      </c>
      <c r="E65" s="256">
        <f t="shared" si="1"/>
        <v>0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</row>
    <row r="66" spans="1:35" ht="16.2" hidden="1" thickBot="1" x14ac:dyDescent="0.35">
      <c r="A66" s="233"/>
      <c r="B66" s="51" t="s">
        <v>241</v>
      </c>
      <c r="C66" s="255"/>
      <c r="D66" s="255">
        <f t="shared" si="2"/>
        <v>0</v>
      </c>
      <c r="E66" s="256">
        <f t="shared" si="1"/>
        <v>0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</row>
    <row r="67" spans="1:35" ht="16.2" hidden="1" thickBot="1" x14ac:dyDescent="0.35">
      <c r="A67" s="233"/>
      <c r="B67" s="51" t="s">
        <v>242</v>
      </c>
      <c r="C67" s="255"/>
      <c r="D67" s="255">
        <f t="shared" si="2"/>
        <v>0</v>
      </c>
      <c r="E67" s="256">
        <f t="shared" si="1"/>
        <v>0</v>
      </c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</row>
    <row r="68" spans="1:35" ht="16.2" hidden="1" thickBot="1" x14ac:dyDescent="0.35">
      <c r="A68" s="233"/>
      <c r="B68" s="51" t="s">
        <v>243</v>
      </c>
      <c r="C68" s="255"/>
      <c r="D68" s="255">
        <f t="shared" si="2"/>
        <v>0</v>
      </c>
      <c r="E68" s="256">
        <f t="shared" si="1"/>
        <v>0</v>
      </c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</row>
    <row r="69" spans="1:35" ht="16.2" hidden="1" thickBot="1" x14ac:dyDescent="0.35">
      <c r="A69" s="233"/>
      <c r="B69" s="51" t="s">
        <v>244</v>
      </c>
      <c r="C69" s="255"/>
      <c r="D69" s="255">
        <f t="shared" si="2"/>
        <v>0</v>
      </c>
      <c r="E69" s="256">
        <f t="shared" si="1"/>
        <v>0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</row>
    <row r="70" spans="1:35" ht="16.2" hidden="1" thickBot="1" x14ac:dyDescent="0.35">
      <c r="A70" s="233"/>
      <c r="B70" s="51" t="s">
        <v>245</v>
      </c>
      <c r="C70" s="255"/>
      <c r="D70" s="255">
        <f t="shared" si="2"/>
        <v>0</v>
      </c>
      <c r="E70" s="256">
        <f t="shared" si="1"/>
        <v>0</v>
      </c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</row>
    <row r="71" spans="1:35" ht="16.2" hidden="1" thickBot="1" x14ac:dyDescent="0.35">
      <c r="A71" s="233"/>
      <c r="B71" s="51" t="s">
        <v>246</v>
      </c>
      <c r="C71" s="255"/>
      <c r="D71" s="255">
        <f t="shared" si="2"/>
        <v>0</v>
      </c>
      <c r="E71" s="256">
        <f t="shared" si="1"/>
        <v>0</v>
      </c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</row>
    <row r="72" spans="1:35" ht="16.2" hidden="1" thickBot="1" x14ac:dyDescent="0.35">
      <c r="A72" s="233"/>
      <c r="B72" s="51" t="s">
        <v>247</v>
      </c>
      <c r="C72" s="255"/>
      <c r="D72" s="255">
        <f t="shared" si="2"/>
        <v>0</v>
      </c>
      <c r="E72" s="256">
        <f t="shared" si="1"/>
        <v>0</v>
      </c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</row>
    <row r="73" spans="1:35" ht="16.2" hidden="1" thickBot="1" x14ac:dyDescent="0.35">
      <c r="A73" s="233"/>
      <c r="B73" s="51" t="s">
        <v>248</v>
      </c>
      <c r="C73" s="255"/>
      <c r="D73" s="255">
        <f t="shared" si="2"/>
        <v>0</v>
      </c>
      <c r="E73" s="256">
        <f t="shared" si="1"/>
        <v>0</v>
      </c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</row>
    <row r="74" spans="1:35" ht="16.2" hidden="1" thickBot="1" x14ac:dyDescent="0.35">
      <c r="A74" s="233"/>
      <c r="B74" s="51" t="s">
        <v>249</v>
      </c>
      <c r="C74" s="255"/>
      <c r="D74" s="255">
        <f t="shared" si="2"/>
        <v>0</v>
      </c>
      <c r="E74" s="256">
        <f t="shared" si="1"/>
        <v>0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</row>
    <row r="75" spans="1:35" ht="16.2" hidden="1" thickBot="1" x14ac:dyDescent="0.35">
      <c r="A75" s="233"/>
      <c r="B75" s="51" t="s">
        <v>250</v>
      </c>
      <c r="C75" s="255"/>
      <c r="D75" s="255">
        <f t="shared" si="2"/>
        <v>0</v>
      </c>
      <c r="E75" s="256">
        <f t="shared" si="1"/>
        <v>0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</row>
    <row r="76" spans="1:35" ht="16.2" hidden="1" thickBot="1" x14ac:dyDescent="0.35">
      <c r="A76" s="233"/>
      <c r="B76" s="51" t="s">
        <v>251</v>
      </c>
      <c r="C76" s="255"/>
      <c r="D76" s="255">
        <f t="shared" si="2"/>
        <v>0</v>
      </c>
      <c r="E76" s="256">
        <f t="shared" ref="E76:E139" si="3">C76-D76</f>
        <v>0</v>
      </c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</row>
    <row r="77" spans="1:35" ht="16.2" hidden="1" thickBot="1" x14ac:dyDescent="0.35">
      <c r="A77" s="233"/>
      <c r="B77" s="51" t="s">
        <v>252</v>
      </c>
      <c r="C77" s="255"/>
      <c r="D77" s="255">
        <f t="shared" si="2"/>
        <v>0</v>
      </c>
      <c r="E77" s="256">
        <f t="shared" si="3"/>
        <v>0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</row>
    <row r="78" spans="1:35" ht="16.2" hidden="1" thickBot="1" x14ac:dyDescent="0.35">
      <c r="A78" s="233"/>
      <c r="B78" s="51" t="s">
        <v>253</v>
      </c>
      <c r="C78" s="255"/>
      <c r="D78" s="255">
        <f t="shared" si="2"/>
        <v>0</v>
      </c>
      <c r="E78" s="256">
        <f t="shared" si="3"/>
        <v>0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</row>
    <row r="79" spans="1:35" ht="16.2" hidden="1" thickBot="1" x14ac:dyDescent="0.35">
      <c r="A79" s="233"/>
      <c r="B79" s="51" t="s">
        <v>254</v>
      </c>
      <c r="C79" s="255"/>
      <c r="D79" s="255">
        <f t="shared" si="2"/>
        <v>0</v>
      </c>
      <c r="E79" s="256">
        <f t="shared" si="3"/>
        <v>0</v>
      </c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</row>
    <row r="80" spans="1:35" ht="16.2" hidden="1" thickBot="1" x14ac:dyDescent="0.35">
      <c r="A80" s="233"/>
      <c r="B80" s="51" t="s">
        <v>255</v>
      </c>
      <c r="C80" s="255"/>
      <c r="D80" s="255">
        <f t="shared" si="2"/>
        <v>0</v>
      </c>
      <c r="E80" s="256">
        <f t="shared" si="3"/>
        <v>0</v>
      </c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</row>
    <row r="81" spans="1:35" ht="16.2" hidden="1" thickBot="1" x14ac:dyDescent="0.35">
      <c r="A81" s="233"/>
      <c r="B81" s="51" t="s">
        <v>256</v>
      </c>
      <c r="C81" s="255"/>
      <c r="D81" s="255">
        <f t="shared" si="2"/>
        <v>0</v>
      </c>
      <c r="E81" s="256">
        <f t="shared" si="3"/>
        <v>0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</row>
    <row r="82" spans="1:35" ht="16.2" hidden="1" thickBot="1" x14ac:dyDescent="0.35">
      <c r="A82" s="233"/>
      <c r="B82" s="51" t="s">
        <v>257</v>
      </c>
      <c r="C82" s="255"/>
      <c r="D82" s="255">
        <f t="shared" si="2"/>
        <v>0</v>
      </c>
      <c r="E82" s="256">
        <f t="shared" si="3"/>
        <v>0</v>
      </c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</row>
    <row r="83" spans="1:35" ht="16.2" hidden="1" thickBot="1" x14ac:dyDescent="0.35">
      <c r="A83" s="233"/>
      <c r="B83" s="51" t="s">
        <v>258</v>
      </c>
      <c r="C83" s="255"/>
      <c r="D83" s="255">
        <f t="shared" si="2"/>
        <v>0</v>
      </c>
      <c r="E83" s="256">
        <f t="shared" si="3"/>
        <v>0</v>
      </c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</row>
    <row r="84" spans="1:35" ht="16.2" hidden="1" thickBot="1" x14ac:dyDescent="0.35">
      <c r="A84" s="233"/>
      <c r="B84" s="51" t="s">
        <v>259</v>
      </c>
      <c r="C84" s="255"/>
      <c r="D84" s="255">
        <f t="shared" si="2"/>
        <v>0</v>
      </c>
      <c r="E84" s="256">
        <f t="shared" si="3"/>
        <v>0</v>
      </c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</row>
    <row r="85" spans="1:35" ht="16.2" hidden="1" thickBot="1" x14ac:dyDescent="0.35">
      <c r="A85" s="233"/>
      <c r="B85" s="51" t="s">
        <v>260</v>
      </c>
      <c r="C85" s="255"/>
      <c r="D85" s="255">
        <f t="shared" si="2"/>
        <v>0</v>
      </c>
      <c r="E85" s="256">
        <f t="shared" si="3"/>
        <v>0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</row>
    <row r="86" spans="1:35" ht="16.2" hidden="1" thickBot="1" x14ac:dyDescent="0.35">
      <c r="A86" s="233"/>
      <c r="B86" s="51" t="s">
        <v>261</v>
      </c>
      <c r="C86" s="255"/>
      <c r="D86" s="255">
        <f t="shared" si="2"/>
        <v>0</v>
      </c>
      <c r="E86" s="256">
        <f t="shared" si="3"/>
        <v>0</v>
      </c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</row>
    <row r="87" spans="1:35" ht="16.2" hidden="1" thickBot="1" x14ac:dyDescent="0.35">
      <c r="A87" s="233"/>
      <c r="B87" s="53" t="s">
        <v>262</v>
      </c>
      <c r="C87" s="255"/>
      <c r="D87" s="255">
        <f t="shared" si="2"/>
        <v>0</v>
      </c>
      <c r="E87" s="256">
        <f t="shared" si="3"/>
        <v>0</v>
      </c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</row>
    <row r="88" spans="1:35" ht="16.2" hidden="1" thickBot="1" x14ac:dyDescent="0.35">
      <c r="A88" s="233"/>
      <c r="B88" s="51" t="s">
        <v>263</v>
      </c>
      <c r="C88" s="255"/>
      <c r="D88" s="255">
        <f t="shared" si="2"/>
        <v>0</v>
      </c>
      <c r="E88" s="256">
        <f t="shared" si="3"/>
        <v>0</v>
      </c>
      <c r="F88" s="150"/>
      <c r="G88" s="150"/>
      <c r="H88" s="150"/>
      <c r="I88" s="150"/>
      <c r="J88" s="25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</row>
    <row r="89" spans="1:35" ht="16.2" hidden="1" thickBot="1" x14ac:dyDescent="0.35">
      <c r="A89" s="233"/>
      <c r="B89" s="51" t="s">
        <v>264</v>
      </c>
      <c r="C89" s="255"/>
      <c r="D89" s="255">
        <f t="shared" si="2"/>
        <v>0</v>
      </c>
      <c r="E89" s="256">
        <f t="shared" si="3"/>
        <v>0</v>
      </c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</row>
    <row r="90" spans="1:35" ht="16.2" hidden="1" thickBot="1" x14ac:dyDescent="0.35">
      <c r="A90" s="233"/>
      <c r="B90" s="51" t="s">
        <v>265</v>
      </c>
      <c r="C90" s="255"/>
      <c r="D90" s="255">
        <f t="shared" ref="D90:D153" si="4">SUM(F90:AI90)</f>
        <v>0</v>
      </c>
      <c r="E90" s="256">
        <f t="shared" si="3"/>
        <v>0</v>
      </c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</row>
    <row r="91" spans="1:35" ht="16.2" hidden="1" thickBot="1" x14ac:dyDescent="0.35">
      <c r="A91" s="233"/>
      <c r="B91" s="51" t="s">
        <v>266</v>
      </c>
      <c r="C91" s="255"/>
      <c r="D91" s="255">
        <f t="shared" si="4"/>
        <v>0</v>
      </c>
      <c r="E91" s="256">
        <f t="shared" si="3"/>
        <v>0</v>
      </c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</row>
    <row r="92" spans="1:35" ht="16.2" hidden="1" thickBot="1" x14ac:dyDescent="0.35">
      <c r="A92" s="233"/>
      <c r="B92" s="51" t="s">
        <v>267</v>
      </c>
      <c r="C92" s="255"/>
      <c r="D92" s="255">
        <f t="shared" si="4"/>
        <v>0</v>
      </c>
      <c r="E92" s="256">
        <f t="shared" si="3"/>
        <v>0</v>
      </c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</row>
    <row r="93" spans="1:35" ht="16.2" hidden="1" thickBot="1" x14ac:dyDescent="0.35">
      <c r="A93" s="233"/>
      <c r="B93" s="51" t="s">
        <v>268</v>
      </c>
      <c r="C93" s="255"/>
      <c r="D93" s="255">
        <f t="shared" si="4"/>
        <v>0</v>
      </c>
      <c r="E93" s="256">
        <f t="shared" si="3"/>
        <v>0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</row>
    <row r="94" spans="1:35" ht="16.2" hidden="1" thickBot="1" x14ac:dyDescent="0.35">
      <c r="A94" s="233"/>
      <c r="B94" s="51" t="s">
        <v>269</v>
      </c>
      <c r="C94" s="255"/>
      <c r="D94" s="255">
        <f t="shared" si="4"/>
        <v>0</v>
      </c>
      <c r="E94" s="256">
        <f t="shared" si="3"/>
        <v>0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</row>
    <row r="95" spans="1:35" ht="16.2" hidden="1" thickBot="1" x14ac:dyDescent="0.35">
      <c r="A95" s="233"/>
      <c r="B95" s="51" t="s">
        <v>270</v>
      </c>
      <c r="C95" s="255"/>
      <c r="D95" s="255">
        <f t="shared" si="4"/>
        <v>0</v>
      </c>
      <c r="E95" s="256">
        <f t="shared" si="3"/>
        <v>0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</row>
    <row r="96" spans="1:35" ht="16.2" hidden="1" thickBot="1" x14ac:dyDescent="0.35">
      <c r="A96" s="233"/>
      <c r="B96" s="51" t="s">
        <v>271</v>
      </c>
      <c r="C96" s="255"/>
      <c r="D96" s="255">
        <f t="shared" si="4"/>
        <v>0</v>
      </c>
      <c r="E96" s="256">
        <f t="shared" si="3"/>
        <v>0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</row>
    <row r="97" spans="1:35" ht="16.2" hidden="1" thickBot="1" x14ac:dyDescent="0.35">
      <c r="A97" s="233"/>
      <c r="B97" s="51" t="s">
        <v>272</v>
      </c>
      <c r="C97" s="255"/>
      <c r="D97" s="255">
        <f t="shared" si="4"/>
        <v>0</v>
      </c>
      <c r="E97" s="256">
        <f t="shared" si="3"/>
        <v>0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</row>
    <row r="98" spans="1:35" ht="16.2" hidden="1" thickBot="1" x14ac:dyDescent="0.35">
      <c r="A98" s="233"/>
      <c r="B98" s="51" t="s">
        <v>273</v>
      </c>
      <c r="C98" s="255"/>
      <c r="D98" s="255">
        <f t="shared" si="4"/>
        <v>0</v>
      </c>
      <c r="E98" s="256">
        <f t="shared" si="3"/>
        <v>0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</row>
    <row r="99" spans="1:35" ht="16.2" hidden="1" thickBot="1" x14ac:dyDescent="0.35">
      <c r="A99" s="233"/>
      <c r="B99" s="51" t="s">
        <v>274</v>
      </c>
      <c r="C99" s="255"/>
      <c r="D99" s="255">
        <f t="shared" si="4"/>
        <v>0</v>
      </c>
      <c r="E99" s="256">
        <f t="shared" si="3"/>
        <v>0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</row>
    <row r="100" spans="1:35" ht="16.2" hidden="1" thickBot="1" x14ac:dyDescent="0.35">
      <c r="A100" s="233"/>
      <c r="B100" s="51" t="s">
        <v>275</v>
      </c>
      <c r="C100" s="255"/>
      <c r="D100" s="255">
        <f t="shared" si="4"/>
        <v>0</v>
      </c>
      <c r="E100" s="256">
        <f t="shared" si="3"/>
        <v>0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</row>
    <row r="101" spans="1:35" ht="16.2" hidden="1" thickBot="1" x14ac:dyDescent="0.35">
      <c r="A101" s="233"/>
      <c r="B101" s="51" t="s">
        <v>276</v>
      </c>
      <c r="C101" s="255"/>
      <c r="D101" s="255">
        <f t="shared" si="4"/>
        <v>0</v>
      </c>
      <c r="E101" s="256">
        <f t="shared" si="3"/>
        <v>0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</row>
    <row r="102" spans="1:35" ht="16.2" hidden="1" thickBot="1" x14ac:dyDescent="0.35">
      <c r="A102" s="233"/>
      <c r="B102" s="51" t="s">
        <v>277</v>
      </c>
      <c r="C102" s="255"/>
      <c r="D102" s="255">
        <f t="shared" si="4"/>
        <v>0</v>
      </c>
      <c r="E102" s="256">
        <f t="shared" si="3"/>
        <v>0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</row>
    <row r="103" spans="1:35" ht="16.2" hidden="1" thickBot="1" x14ac:dyDescent="0.35">
      <c r="A103" s="233"/>
      <c r="B103" s="51" t="s">
        <v>278</v>
      </c>
      <c r="C103" s="255"/>
      <c r="D103" s="255">
        <f t="shared" si="4"/>
        <v>0</v>
      </c>
      <c r="E103" s="256">
        <f t="shared" si="3"/>
        <v>0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</row>
    <row r="104" spans="1:35" ht="16.2" hidden="1" thickBot="1" x14ac:dyDescent="0.35">
      <c r="A104" s="233"/>
      <c r="B104" s="51" t="s">
        <v>279</v>
      </c>
      <c r="C104" s="255"/>
      <c r="D104" s="255">
        <f t="shared" si="4"/>
        <v>0</v>
      </c>
      <c r="E104" s="256">
        <f t="shared" si="3"/>
        <v>0</v>
      </c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</row>
    <row r="105" spans="1:35" ht="16.2" hidden="1" thickBot="1" x14ac:dyDescent="0.35">
      <c r="A105" s="233"/>
      <c r="B105" s="51" t="s">
        <v>280</v>
      </c>
      <c r="C105" s="255"/>
      <c r="D105" s="255">
        <f t="shared" si="4"/>
        <v>0</v>
      </c>
      <c r="E105" s="256">
        <f t="shared" si="3"/>
        <v>0</v>
      </c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</row>
    <row r="106" spans="1:35" ht="16.2" hidden="1" thickBot="1" x14ac:dyDescent="0.35">
      <c r="A106" s="233"/>
      <c r="B106" s="51" t="s">
        <v>281</v>
      </c>
      <c r="C106" s="255"/>
      <c r="D106" s="255">
        <f t="shared" si="4"/>
        <v>0</v>
      </c>
      <c r="E106" s="256">
        <f t="shared" si="3"/>
        <v>0</v>
      </c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</row>
    <row r="107" spans="1:35" ht="16.2" hidden="1" thickBot="1" x14ac:dyDescent="0.35">
      <c r="A107" s="233"/>
      <c r="B107" s="51" t="s">
        <v>405</v>
      </c>
      <c r="C107" s="255"/>
      <c r="D107" s="255">
        <f t="shared" si="4"/>
        <v>0</v>
      </c>
      <c r="E107" s="256">
        <f t="shared" si="3"/>
        <v>0</v>
      </c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</row>
    <row r="108" spans="1:35" ht="16.2" hidden="1" thickBot="1" x14ac:dyDescent="0.35">
      <c r="A108" s="233"/>
      <c r="B108" s="51" t="s">
        <v>283</v>
      </c>
      <c r="C108" s="255"/>
      <c r="D108" s="255">
        <f t="shared" si="4"/>
        <v>0</v>
      </c>
      <c r="E108" s="256">
        <f t="shared" si="3"/>
        <v>0</v>
      </c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</row>
    <row r="109" spans="1:35" ht="16.2" hidden="1" thickBot="1" x14ac:dyDescent="0.35">
      <c r="A109" s="233"/>
      <c r="B109" s="51" t="s">
        <v>284</v>
      </c>
      <c r="C109" s="255"/>
      <c r="D109" s="255">
        <f t="shared" si="4"/>
        <v>0</v>
      </c>
      <c r="E109" s="256">
        <f t="shared" si="3"/>
        <v>0</v>
      </c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</row>
    <row r="110" spans="1:35" ht="16.2" hidden="1" thickBot="1" x14ac:dyDescent="0.35">
      <c r="A110" s="233"/>
      <c r="B110" s="51" t="s">
        <v>285</v>
      </c>
      <c r="C110" s="255"/>
      <c r="D110" s="255">
        <f t="shared" si="4"/>
        <v>0</v>
      </c>
      <c r="E110" s="256">
        <f t="shared" si="3"/>
        <v>0</v>
      </c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</row>
    <row r="111" spans="1:35" ht="16.2" hidden="1" thickBot="1" x14ac:dyDescent="0.35">
      <c r="A111" s="233"/>
      <c r="B111" s="51" t="s">
        <v>286</v>
      </c>
      <c r="C111" s="255"/>
      <c r="D111" s="255">
        <f t="shared" si="4"/>
        <v>0</v>
      </c>
      <c r="E111" s="256">
        <f t="shared" si="3"/>
        <v>0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</row>
    <row r="112" spans="1:35" ht="16.2" hidden="1" thickBot="1" x14ac:dyDescent="0.35">
      <c r="A112" s="233"/>
      <c r="B112" s="51" t="s">
        <v>287</v>
      </c>
      <c r="C112" s="255"/>
      <c r="D112" s="255">
        <f t="shared" si="4"/>
        <v>0</v>
      </c>
      <c r="E112" s="256">
        <f t="shared" si="3"/>
        <v>0</v>
      </c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</row>
    <row r="113" spans="1:35" ht="16.2" hidden="1" thickBot="1" x14ac:dyDescent="0.35">
      <c r="A113" s="233"/>
      <c r="B113" s="51" t="s">
        <v>288</v>
      </c>
      <c r="C113" s="255"/>
      <c r="D113" s="255">
        <f t="shared" si="4"/>
        <v>0</v>
      </c>
      <c r="E113" s="256">
        <f t="shared" si="3"/>
        <v>0</v>
      </c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</row>
    <row r="114" spans="1:35" ht="16.2" hidden="1" thickBot="1" x14ac:dyDescent="0.35">
      <c r="A114" s="233"/>
      <c r="B114" s="51" t="s">
        <v>289</v>
      </c>
      <c r="C114" s="255"/>
      <c r="D114" s="255">
        <f t="shared" si="4"/>
        <v>0</v>
      </c>
      <c r="E114" s="256">
        <f t="shared" si="3"/>
        <v>0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</row>
    <row r="115" spans="1:35" ht="16.2" hidden="1" thickBot="1" x14ac:dyDescent="0.35">
      <c r="A115" s="233"/>
      <c r="B115" s="51" t="s">
        <v>290</v>
      </c>
      <c r="C115" s="255"/>
      <c r="D115" s="255">
        <f t="shared" si="4"/>
        <v>0</v>
      </c>
      <c r="E115" s="256">
        <f t="shared" si="3"/>
        <v>0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</row>
    <row r="116" spans="1:35" ht="16.2" hidden="1" thickBot="1" x14ac:dyDescent="0.35">
      <c r="A116" s="233"/>
      <c r="B116" s="51" t="s">
        <v>291</v>
      </c>
      <c r="C116" s="255"/>
      <c r="D116" s="255">
        <f t="shared" si="4"/>
        <v>0</v>
      </c>
      <c r="E116" s="256">
        <f t="shared" si="3"/>
        <v>0</v>
      </c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</row>
    <row r="117" spans="1:35" ht="16.2" hidden="1" thickBot="1" x14ac:dyDescent="0.35">
      <c r="A117" s="233"/>
      <c r="B117" s="51" t="s">
        <v>292</v>
      </c>
      <c r="C117" s="255"/>
      <c r="D117" s="255">
        <f t="shared" si="4"/>
        <v>0</v>
      </c>
      <c r="E117" s="256">
        <f t="shared" si="3"/>
        <v>0</v>
      </c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</row>
    <row r="118" spans="1:35" ht="16.2" thickBot="1" x14ac:dyDescent="0.35">
      <c r="A118" s="233" t="s">
        <v>115</v>
      </c>
      <c r="B118" s="51" t="s">
        <v>293</v>
      </c>
      <c r="C118" s="255">
        <v>631427</v>
      </c>
      <c r="D118" s="255">
        <f t="shared" si="4"/>
        <v>631427</v>
      </c>
      <c r="E118" s="256">
        <f t="shared" si="3"/>
        <v>0</v>
      </c>
      <c r="F118" s="150"/>
      <c r="G118" s="150"/>
      <c r="H118" s="150"/>
      <c r="I118" s="150">
        <v>76427</v>
      </c>
      <c r="J118" s="150">
        <v>75000</v>
      </c>
      <c r="K118" s="150"/>
      <c r="L118" s="150"/>
      <c r="M118" s="150">
        <v>150000</v>
      </c>
      <c r="N118" s="150">
        <v>50000</v>
      </c>
      <c r="O118" s="150"/>
      <c r="P118" s="150">
        <v>120000</v>
      </c>
      <c r="Q118" s="150">
        <v>138000</v>
      </c>
      <c r="R118" s="150"/>
      <c r="S118" s="150"/>
      <c r="T118" s="150">
        <v>22000</v>
      </c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</row>
    <row r="119" spans="1:35" ht="16.2" hidden="1" thickBot="1" x14ac:dyDescent="0.35">
      <c r="A119" s="233"/>
      <c r="B119" s="51" t="s">
        <v>294</v>
      </c>
      <c r="C119" s="255"/>
      <c r="D119" s="255">
        <f t="shared" si="4"/>
        <v>0</v>
      </c>
      <c r="E119" s="256">
        <f t="shared" si="3"/>
        <v>0</v>
      </c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</row>
    <row r="120" spans="1:35" ht="16.2" hidden="1" thickBot="1" x14ac:dyDescent="0.35">
      <c r="A120" s="233"/>
      <c r="B120" s="51" t="s">
        <v>295</v>
      </c>
      <c r="C120" s="255"/>
      <c r="D120" s="255">
        <f t="shared" si="4"/>
        <v>0</v>
      </c>
      <c r="E120" s="256">
        <f t="shared" si="3"/>
        <v>0</v>
      </c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</row>
    <row r="121" spans="1:35" ht="16.2" hidden="1" thickBot="1" x14ac:dyDescent="0.35">
      <c r="A121" s="233"/>
      <c r="B121" s="51" t="s">
        <v>296</v>
      </c>
      <c r="C121" s="255"/>
      <c r="D121" s="255">
        <f t="shared" si="4"/>
        <v>0</v>
      </c>
      <c r="E121" s="256">
        <f t="shared" si="3"/>
        <v>0</v>
      </c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</row>
    <row r="122" spans="1:35" ht="16.2" hidden="1" thickBot="1" x14ac:dyDescent="0.35">
      <c r="A122" s="233"/>
      <c r="B122" s="51" t="s">
        <v>297</v>
      </c>
      <c r="C122" s="255"/>
      <c r="D122" s="255">
        <f t="shared" si="4"/>
        <v>0</v>
      </c>
      <c r="E122" s="256">
        <f t="shared" si="3"/>
        <v>0</v>
      </c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</row>
    <row r="123" spans="1:35" ht="16.2" hidden="1" thickBot="1" x14ac:dyDescent="0.35">
      <c r="A123" s="233"/>
      <c r="B123" s="51" t="s">
        <v>298</v>
      </c>
      <c r="C123" s="255"/>
      <c r="D123" s="255">
        <f t="shared" si="4"/>
        <v>0</v>
      </c>
      <c r="E123" s="256">
        <f t="shared" si="3"/>
        <v>0</v>
      </c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</row>
    <row r="124" spans="1:35" ht="16.2" hidden="1" thickBot="1" x14ac:dyDescent="0.35">
      <c r="A124" s="233"/>
      <c r="B124" s="51" t="s">
        <v>299</v>
      </c>
      <c r="C124" s="255"/>
      <c r="D124" s="255">
        <f t="shared" si="4"/>
        <v>0</v>
      </c>
      <c r="E124" s="256">
        <f t="shared" si="3"/>
        <v>0</v>
      </c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</row>
    <row r="125" spans="1:35" ht="16.2" hidden="1" thickBot="1" x14ac:dyDescent="0.35">
      <c r="A125" s="233"/>
      <c r="B125" s="51" t="s">
        <v>300</v>
      </c>
      <c r="C125" s="255"/>
      <c r="D125" s="255">
        <f t="shared" si="4"/>
        <v>0</v>
      </c>
      <c r="E125" s="256">
        <f t="shared" si="3"/>
        <v>0</v>
      </c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</row>
    <row r="126" spans="1:35" ht="16.2" hidden="1" thickBot="1" x14ac:dyDescent="0.35">
      <c r="A126" s="233"/>
      <c r="B126" s="51" t="s">
        <v>301</v>
      </c>
      <c r="C126" s="255"/>
      <c r="D126" s="255">
        <f t="shared" si="4"/>
        <v>0</v>
      </c>
      <c r="E126" s="256">
        <f t="shared" si="3"/>
        <v>0</v>
      </c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</row>
    <row r="127" spans="1:35" ht="16.2" hidden="1" thickBot="1" x14ac:dyDescent="0.35">
      <c r="A127" s="233"/>
      <c r="B127" s="51" t="s">
        <v>302</v>
      </c>
      <c r="C127" s="255"/>
      <c r="D127" s="255">
        <f t="shared" si="4"/>
        <v>0</v>
      </c>
      <c r="E127" s="256">
        <f t="shared" si="3"/>
        <v>0</v>
      </c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</row>
    <row r="128" spans="1:35" ht="16.2" hidden="1" thickBot="1" x14ac:dyDescent="0.35">
      <c r="A128" s="233"/>
      <c r="B128" s="51" t="s">
        <v>303</v>
      </c>
      <c r="C128" s="255"/>
      <c r="D128" s="255">
        <f t="shared" si="4"/>
        <v>0</v>
      </c>
      <c r="E128" s="256">
        <f t="shared" si="3"/>
        <v>0</v>
      </c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</row>
    <row r="129" spans="1:35" ht="16.2" hidden="1" thickBot="1" x14ac:dyDescent="0.35">
      <c r="A129" s="233"/>
      <c r="B129" s="51" t="s">
        <v>304</v>
      </c>
      <c r="C129" s="255"/>
      <c r="D129" s="255">
        <f t="shared" si="4"/>
        <v>0</v>
      </c>
      <c r="E129" s="256">
        <f t="shared" si="3"/>
        <v>0</v>
      </c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</row>
    <row r="130" spans="1:35" ht="16.2" hidden="1" thickBot="1" x14ac:dyDescent="0.35">
      <c r="A130" s="233"/>
      <c r="B130" s="51" t="s">
        <v>305</v>
      </c>
      <c r="C130" s="255"/>
      <c r="D130" s="255">
        <f t="shared" si="4"/>
        <v>0</v>
      </c>
      <c r="E130" s="256">
        <f t="shared" si="3"/>
        <v>0</v>
      </c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</row>
    <row r="131" spans="1:35" ht="16.2" hidden="1" thickBot="1" x14ac:dyDescent="0.35">
      <c r="A131" s="233"/>
      <c r="B131" s="51" t="s">
        <v>306</v>
      </c>
      <c r="C131" s="255"/>
      <c r="D131" s="255">
        <f t="shared" si="4"/>
        <v>0</v>
      </c>
      <c r="E131" s="256">
        <f t="shared" si="3"/>
        <v>0</v>
      </c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</row>
    <row r="132" spans="1:35" ht="16.2" hidden="1" thickBot="1" x14ac:dyDescent="0.35">
      <c r="A132" s="233"/>
      <c r="B132" s="51" t="s">
        <v>307</v>
      </c>
      <c r="C132" s="255"/>
      <c r="D132" s="255">
        <f t="shared" si="4"/>
        <v>0</v>
      </c>
      <c r="E132" s="256">
        <f t="shared" si="3"/>
        <v>0</v>
      </c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</row>
    <row r="133" spans="1:35" ht="16.2" hidden="1" thickBot="1" x14ac:dyDescent="0.35">
      <c r="A133" s="233"/>
      <c r="B133" s="51" t="s">
        <v>308</v>
      </c>
      <c r="C133" s="255"/>
      <c r="D133" s="255">
        <f t="shared" si="4"/>
        <v>0</v>
      </c>
      <c r="E133" s="256">
        <f t="shared" si="3"/>
        <v>0</v>
      </c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</row>
    <row r="134" spans="1:35" ht="16.2" hidden="1" thickBot="1" x14ac:dyDescent="0.35">
      <c r="A134" s="233"/>
      <c r="B134" s="51" t="s">
        <v>309</v>
      </c>
      <c r="C134" s="255"/>
      <c r="D134" s="255">
        <f t="shared" si="4"/>
        <v>0</v>
      </c>
      <c r="E134" s="256">
        <f t="shared" si="3"/>
        <v>0</v>
      </c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</row>
    <row r="135" spans="1:35" ht="16.2" hidden="1" thickBot="1" x14ac:dyDescent="0.35">
      <c r="A135" s="233"/>
      <c r="B135" s="51" t="s">
        <v>310</v>
      </c>
      <c r="C135" s="255"/>
      <c r="D135" s="255">
        <f t="shared" si="4"/>
        <v>0</v>
      </c>
      <c r="E135" s="256">
        <f t="shared" si="3"/>
        <v>0</v>
      </c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</row>
    <row r="136" spans="1:35" ht="16.2" hidden="1" thickBot="1" x14ac:dyDescent="0.35">
      <c r="A136" s="233"/>
      <c r="B136" s="51" t="s">
        <v>311</v>
      </c>
      <c r="C136" s="255"/>
      <c r="D136" s="255">
        <f t="shared" si="4"/>
        <v>0</v>
      </c>
      <c r="E136" s="256">
        <f t="shared" si="3"/>
        <v>0</v>
      </c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</row>
    <row r="137" spans="1:35" ht="16.2" hidden="1" thickBot="1" x14ac:dyDescent="0.35">
      <c r="A137" s="233"/>
      <c r="B137" s="51" t="s">
        <v>312</v>
      </c>
      <c r="C137" s="255"/>
      <c r="D137" s="255">
        <f t="shared" si="4"/>
        <v>0</v>
      </c>
      <c r="E137" s="256">
        <f t="shared" si="3"/>
        <v>0</v>
      </c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</row>
    <row r="138" spans="1:35" ht="16.2" hidden="1" thickBot="1" x14ac:dyDescent="0.35">
      <c r="A138" s="233"/>
      <c r="B138" s="51" t="s">
        <v>313</v>
      </c>
      <c r="C138" s="255"/>
      <c r="D138" s="255">
        <f t="shared" si="4"/>
        <v>0</v>
      </c>
      <c r="E138" s="256">
        <f t="shared" si="3"/>
        <v>0</v>
      </c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</row>
    <row r="139" spans="1:35" ht="16.2" hidden="1" thickBot="1" x14ac:dyDescent="0.35">
      <c r="A139" s="233"/>
      <c r="B139" s="51" t="s">
        <v>314</v>
      </c>
      <c r="C139" s="255"/>
      <c r="D139" s="255">
        <f t="shared" si="4"/>
        <v>0</v>
      </c>
      <c r="E139" s="256">
        <f t="shared" si="3"/>
        <v>0</v>
      </c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</row>
    <row r="140" spans="1:35" ht="16.2" hidden="1" thickBot="1" x14ac:dyDescent="0.35">
      <c r="A140" s="233"/>
      <c r="B140" s="51" t="s">
        <v>315</v>
      </c>
      <c r="C140" s="255"/>
      <c r="D140" s="255">
        <f t="shared" si="4"/>
        <v>0</v>
      </c>
      <c r="E140" s="256">
        <f t="shared" ref="E140:E197" si="5">C140-D140</f>
        <v>0</v>
      </c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</row>
    <row r="141" spans="1:35" ht="16.2" hidden="1" thickBot="1" x14ac:dyDescent="0.35">
      <c r="A141" s="233"/>
      <c r="B141" s="51" t="s">
        <v>316</v>
      </c>
      <c r="C141" s="255"/>
      <c r="D141" s="255">
        <f t="shared" si="4"/>
        <v>0</v>
      </c>
      <c r="E141" s="256">
        <f t="shared" si="5"/>
        <v>0</v>
      </c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</row>
    <row r="142" spans="1:35" ht="16.2" hidden="1" thickBot="1" x14ac:dyDescent="0.35">
      <c r="A142" s="233"/>
      <c r="B142" s="51" t="s">
        <v>394</v>
      </c>
      <c r="C142" s="255"/>
      <c r="D142" s="255">
        <f t="shared" si="4"/>
        <v>0</v>
      </c>
      <c r="E142" s="256">
        <f t="shared" si="5"/>
        <v>0</v>
      </c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</row>
    <row r="143" spans="1:35" ht="16.2" hidden="1" thickBot="1" x14ac:dyDescent="0.35">
      <c r="A143" s="233"/>
      <c r="B143" s="51" t="s">
        <v>318</v>
      </c>
      <c r="C143" s="255"/>
      <c r="D143" s="255">
        <f t="shared" si="4"/>
        <v>0</v>
      </c>
      <c r="E143" s="256">
        <f t="shared" si="5"/>
        <v>0</v>
      </c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</row>
    <row r="144" spans="1:35" ht="16.2" hidden="1" thickBot="1" x14ac:dyDescent="0.35">
      <c r="A144" s="233"/>
      <c r="B144" s="51" t="s">
        <v>319</v>
      </c>
      <c r="C144" s="255"/>
      <c r="D144" s="255">
        <f t="shared" si="4"/>
        <v>0</v>
      </c>
      <c r="E144" s="256">
        <f t="shared" si="5"/>
        <v>0</v>
      </c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</row>
    <row r="145" spans="1:35" ht="16.2" hidden="1" thickBot="1" x14ac:dyDescent="0.35">
      <c r="A145" s="233"/>
      <c r="B145" s="51" t="s">
        <v>320</v>
      </c>
      <c r="C145" s="255"/>
      <c r="D145" s="255">
        <f t="shared" si="4"/>
        <v>0</v>
      </c>
      <c r="E145" s="256">
        <f t="shared" si="5"/>
        <v>0</v>
      </c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</row>
    <row r="146" spans="1:35" ht="16.2" hidden="1" thickBot="1" x14ac:dyDescent="0.35">
      <c r="A146" s="233"/>
      <c r="B146" s="51" t="s">
        <v>321</v>
      </c>
      <c r="C146" s="255"/>
      <c r="D146" s="255">
        <f t="shared" si="4"/>
        <v>0</v>
      </c>
      <c r="E146" s="256">
        <f t="shared" si="5"/>
        <v>0</v>
      </c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</row>
    <row r="147" spans="1:35" ht="16.2" hidden="1" thickBot="1" x14ac:dyDescent="0.35">
      <c r="A147" s="233"/>
      <c r="B147" s="51" t="s">
        <v>322</v>
      </c>
      <c r="C147" s="255"/>
      <c r="D147" s="255">
        <f t="shared" si="4"/>
        <v>0</v>
      </c>
      <c r="E147" s="256">
        <f t="shared" si="5"/>
        <v>0</v>
      </c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</row>
    <row r="148" spans="1:35" ht="16.2" thickBot="1" x14ac:dyDescent="0.35">
      <c r="A148" s="233" t="s">
        <v>145</v>
      </c>
      <c r="B148" s="51" t="s">
        <v>323</v>
      </c>
      <c r="C148" s="255">
        <v>844610</v>
      </c>
      <c r="D148" s="255">
        <f t="shared" si="4"/>
        <v>655772</v>
      </c>
      <c r="E148" s="256">
        <f t="shared" si="5"/>
        <v>188838</v>
      </c>
      <c r="F148" s="150"/>
      <c r="G148" s="150"/>
      <c r="H148" s="150"/>
      <c r="I148" s="150"/>
      <c r="J148" s="150"/>
      <c r="K148" s="150"/>
      <c r="L148" s="150">
        <v>191338</v>
      </c>
      <c r="M148" s="150"/>
      <c r="N148" s="150"/>
      <c r="O148" s="150">
        <v>119666</v>
      </c>
      <c r="P148" s="150">
        <v>136837</v>
      </c>
      <c r="Q148" s="150">
        <v>52074</v>
      </c>
      <c r="R148" s="150"/>
      <c r="S148" s="150"/>
      <c r="T148" s="150">
        <f>128947+43630</f>
        <v>172577</v>
      </c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>
        <f>-2340-14380</f>
        <v>-16720</v>
      </c>
    </row>
    <row r="149" spans="1:35" ht="16.2" hidden="1" thickBot="1" x14ac:dyDescent="0.35">
      <c r="A149" s="233"/>
      <c r="B149" s="51" t="s">
        <v>324</v>
      </c>
      <c r="C149" s="255"/>
      <c r="D149" s="255">
        <f t="shared" si="4"/>
        <v>0</v>
      </c>
      <c r="E149" s="256">
        <f t="shared" si="5"/>
        <v>0</v>
      </c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</row>
    <row r="150" spans="1:35" ht="16.2" hidden="1" thickBot="1" x14ac:dyDescent="0.35">
      <c r="A150" s="233"/>
      <c r="B150" s="51" t="s">
        <v>325</v>
      </c>
      <c r="C150" s="255"/>
      <c r="D150" s="255">
        <f t="shared" si="4"/>
        <v>0</v>
      </c>
      <c r="E150" s="256">
        <f t="shared" si="5"/>
        <v>0</v>
      </c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</row>
    <row r="151" spans="1:35" ht="16.2" hidden="1" thickBot="1" x14ac:dyDescent="0.35">
      <c r="A151" s="233"/>
      <c r="B151" s="51" t="s">
        <v>326</v>
      </c>
      <c r="C151" s="255"/>
      <c r="D151" s="255">
        <f t="shared" si="4"/>
        <v>0</v>
      </c>
      <c r="E151" s="256">
        <f t="shared" si="5"/>
        <v>0</v>
      </c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</row>
    <row r="152" spans="1:35" ht="16.2" hidden="1" thickBot="1" x14ac:dyDescent="0.35">
      <c r="A152" s="233"/>
      <c r="B152" s="51" t="s">
        <v>327</v>
      </c>
      <c r="C152" s="255"/>
      <c r="D152" s="255">
        <f t="shared" si="4"/>
        <v>0</v>
      </c>
      <c r="E152" s="256">
        <f t="shared" si="5"/>
        <v>0</v>
      </c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</row>
    <row r="153" spans="1:35" ht="16.2" hidden="1" thickBot="1" x14ac:dyDescent="0.35">
      <c r="A153" s="233"/>
      <c r="B153" s="51" t="s">
        <v>328</v>
      </c>
      <c r="C153" s="255"/>
      <c r="D153" s="255">
        <f t="shared" si="4"/>
        <v>0</v>
      </c>
      <c r="E153" s="256">
        <f t="shared" si="5"/>
        <v>0</v>
      </c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</row>
    <row r="154" spans="1:35" ht="16.2" hidden="1" thickBot="1" x14ac:dyDescent="0.35">
      <c r="A154" s="233"/>
      <c r="B154" s="51" t="s">
        <v>329</v>
      </c>
      <c r="C154" s="255"/>
      <c r="D154" s="255">
        <f t="shared" ref="D154:D197" si="6">SUM(F154:AI154)</f>
        <v>0</v>
      </c>
      <c r="E154" s="256">
        <f t="shared" si="5"/>
        <v>0</v>
      </c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</row>
    <row r="155" spans="1:35" ht="16.2" hidden="1" thickBot="1" x14ac:dyDescent="0.35">
      <c r="A155" s="233"/>
      <c r="B155" s="51" t="s">
        <v>330</v>
      </c>
      <c r="C155" s="255"/>
      <c r="D155" s="255">
        <f t="shared" si="6"/>
        <v>0</v>
      </c>
      <c r="E155" s="256">
        <f t="shared" si="5"/>
        <v>0</v>
      </c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</row>
    <row r="156" spans="1:35" ht="16.2" hidden="1" thickBot="1" x14ac:dyDescent="0.35">
      <c r="A156" s="233"/>
      <c r="B156" s="51" t="s">
        <v>331</v>
      </c>
      <c r="C156" s="255"/>
      <c r="D156" s="255">
        <f t="shared" si="6"/>
        <v>0</v>
      </c>
      <c r="E156" s="256">
        <f t="shared" si="5"/>
        <v>0</v>
      </c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</row>
    <row r="157" spans="1:35" ht="16.2" hidden="1" thickBot="1" x14ac:dyDescent="0.35">
      <c r="A157" s="233"/>
      <c r="B157" s="51" t="s">
        <v>332</v>
      </c>
      <c r="C157" s="255"/>
      <c r="D157" s="255">
        <f t="shared" si="6"/>
        <v>0</v>
      </c>
      <c r="E157" s="256">
        <f t="shared" si="5"/>
        <v>0</v>
      </c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</row>
    <row r="158" spans="1:35" ht="16.2" hidden="1" thickBot="1" x14ac:dyDescent="0.35">
      <c r="A158" s="233"/>
      <c r="B158" s="51" t="s">
        <v>333</v>
      </c>
      <c r="C158" s="255"/>
      <c r="D158" s="255">
        <f t="shared" si="6"/>
        <v>0</v>
      </c>
      <c r="E158" s="256">
        <f t="shared" si="5"/>
        <v>0</v>
      </c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</row>
    <row r="159" spans="1:35" ht="16.2" hidden="1" thickBot="1" x14ac:dyDescent="0.35">
      <c r="A159" s="233"/>
      <c r="B159" s="51" t="s">
        <v>334</v>
      </c>
      <c r="C159" s="255"/>
      <c r="D159" s="255">
        <f t="shared" si="6"/>
        <v>0</v>
      </c>
      <c r="E159" s="256">
        <f t="shared" si="5"/>
        <v>0</v>
      </c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</row>
    <row r="160" spans="1:35" ht="16.2" hidden="1" thickBot="1" x14ac:dyDescent="0.35">
      <c r="A160" s="233"/>
      <c r="B160" s="51" t="s">
        <v>335</v>
      </c>
      <c r="C160" s="255"/>
      <c r="D160" s="255">
        <f t="shared" si="6"/>
        <v>0</v>
      </c>
      <c r="E160" s="256">
        <f t="shared" si="5"/>
        <v>0</v>
      </c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</row>
    <row r="161" spans="1:35" ht="16.2" hidden="1" thickBot="1" x14ac:dyDescent="0.35">
      <c r="A161" s="233"/>
      <c r="B161" s="51" t="s">
        <v>336</v>
      </c>
      <c r="C161" s="255"/>
      <c r="D161" s="255">
        <f t="shared" si="6"/>
        <v>0</v>
      </c>
      <c r="E161" s="256">
        <f t="shared" si="5"/>
        <v>0</v>
      </c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</row>
    <row r="162" spans="1:35" ht="16.2" hidden="1" thickBot="1" x14ac:dyDescent="0.35">
      <c r="A162" s="233"/>
      <c r="B162" s="51" t="s">
        <v>337</v>
      </c>
      <c r="C162" s="255"/>
      <c r="D162" s="255">
        <f t="shared" si="6"/>
        <v>0</v>
      </c>
      <c r="E162" s="256">
        <f t="shared" si="5"/>
        <v>0</v>
      </c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</row>
    <row r="163" spans="1:35" ht="16.2" hidden="1" thickBot="1" x14ac:dyDescent="0.35">
      <c r="A163" s="233"/>
      <c r="B163" s="51" t="s">
        <v>338</v>
      </c>
      <c r="C163" s="255"/>
      <c r="D163" s="255">
        <f t="shared" si="6"/>
        <v>0</v>
      </c>
      <c r="E163" s="256">
        <f t="shared" si="5"/>
        <v>0</v>
      </c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</row>
    <row r="164" spans="1:35" ht="16.2" hidden="1" thickBot="1" x14ac:dyDescent="0.35">
      <c r="A164" s="233"/>
      <c r="B164" s="51" t="s">
        <v>476</v>
      </c>
      <c r="C164" s="255"/>
      <c r="D164" s="255">
        <f t="shared" si="6"/>
        <v>0</v>
      </c>
      <c r="E164" s="256">
        <f t="shared" si="5"/>
        <v>0</v>
      </c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</row>
    <row r="165" spans="1:35" ht="16.2" hidden="1" thickBot="1" x14ac:dyDescent="0.35">
      <c r="A165" s="233"/>
      <c r="B165" s="51" t="s">
        <v>340</v>
      </c>
      <c r="C165" s="255"/>
      <c r="D165" s="255">
        <f t="shared" si="6"/>
        <v>0</v>
      </c>
      <c r="E165" s="256">
        <f t="shared" si="5"/>
        <v>0</v>
      </c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</row>
    <row r="166" spans="1:35" ht="16.2" hidden="1" thickBot="1" x14ac:dyDescent="0.35">
      <c r="A166" s="233"/>
      <c r="B166" s="51" t="s">
        <v>341</v>
      </c>
      <c r="C166" s="255"/>
      <c r="D166" s="255">
        <f t="shared" si="6"/>
        <v>0</v>
      </c>
      <c r="E166" s="256">
        <f t="shared" si="5"/>
        <v>0</v>
      </c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</row>
    <row r="167" spans="1:35" ht="16.2" hidden="1" thickBot="1" x14ac:dyDescent="0.35">
      <c r="A167" s="233"/>
      <c r="B167" s="51" t="s">
        <v>342</v>
      </c>
      <c r="C167" s="255"/>
      <c r="D167" s="255">
        <f t="shared" si="6"/>
        <v>0</v>
      </c>
      <c r="E167" s="256">
        <f t="shared" si="5"/>
        <v>0</v>
      </c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</row>
    <row r="168" spans="1:35" ht="16.2" hidden="1" thickBot="1" x14ac:dyDescent="0.35">
      <c r="A168" s="233"/>
      <c r="B168" s="51" t="s">
        <v>343</v>
      </c>
      <c r="C168" s="255"/>
      <c r="D168" s="255">
        <f t="shared" si="6"/>
        <v>0</v>
      </c>
      <c r="E168" s="256">
        <f t="shared" si="5"/>
        <v>0</v>
      </c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</row>
    <row r="169" spans="1:35" ht="16.2" hidden="1" thickBot="1" x14ac:dyDescent="0.35">
      <c r="A169" s="233"/>
      <c r="B169" s="51" t="s">
        <v>344</v>
      </c>
      <c r="C169" s="255"/>
      <c r="D169" s="255">
        <f t="shared" si="6"/>
        <v>0</v>
      </c>
      <c r="E169" s="256">
        <f t="shared" si="5"/>
        <v>0</v>
      </c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</row>
    <row r="170" spans="1:35" ht="16.2" hidden="1" thickBot="1" x14ac:dyDescent="0.35">
      <c r="A170" s="233"/>
      <c r="B170" s="51" t="s">
        <v>345</v>
      </c>
      <c r="C170" s="255"/>
      <c r="D170" s="255">
        <f t="shared" si="6"/>
        <v>0</v>
      </c>
      <c r="E170" s="256">
        <f t="shared" si="5"/>
        <v>0</v>
      </c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</row>
    <row r="171" spans="1:35" ht="16.2" hidden="1" thickBot="1" x14ac:dyDescent="0.35">
      <c r="A171" s="233"/>
      <c r="B171" s="51" t="s">
        <v>346</v>
      </c>
      <c r="C171" s="255"/>
      <c r="D171" s="255">
        <f t="shared" si="6"/>
        <v>0</v>
      </c>
      <c r="E171" s="256">
        <f t="shared" si="5"/>
        <v>0</v>
      </c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</row>
    <row r="172" spans="1:35" ht="16.2" hidden="1" thickBot="1" x14ac:dyDescent="0.35">
      <c r="A172" s="233"/>
      <c r="B172" s="51" t="s">
        <v>347</v>
      </c>
      <c r="C172" s="255"/>
      <c r="D172" s="255">
        <f t="shared" si="6"/>
        <v>0</v>
      </c>
      <c r="E172" s="256">
        <f t="shared" si="5"/>
        <v>0</v>
      </c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</row>
    <row r="173" spans="1:35" ht="16.2" hidden="1" thickBot="1" x14ac:dyDescent="0.35">
      <c r="A173" s="233"/>
      <c r="B173" s="51" t="s">
        <v>348</v>
      </c>
      <c r="C173" s="255"/>
      <c r="D173" s="255">
        <f t="shared" si="6"/>
        <v>0</v>
      </c>
      <c r="E173" s="256">
        <f t="shared" si="5"/>
        <v>0</v>
      </c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</row>
    <row r="174" spans="1:35" ht="16.2" hidden="1" thickBot="1" x14ac:dyDescent="0.35">
      <c r="A174" s="233"/>
      <c r="B174" s="51" t="s">
        <v>349</v>
      </c>
      <c r="C174" s="255"/>
      <c r="D174" s="255">
        <f t="shared" si="6"/>
        <v>0</v>
      </c>
      <c r="E174" s="256">
        <f t="shared" si="5"/>
        <v>0</v>
      </c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</row>
    <row r="175" spans="1:35" ht="16.2" hidden="1" thickBot="1" x14ac:dyDescent="0.35">
      <c r="A175" s="233"/>
      <c r="B175" s="51" t="s">
        <v>477</v>
      </c>
      <c r="C175" s="255"/>
      <c r="D175" s="255">
        <f t="shared" si="6"/>
        <v>0</v>
      </c>
      <c r="E175" s="256">
        <f t="shared" si="5"/>
        <v>0</v>
      </c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</row>
    <row r="176" spans="1:35" ht="16.2" hidden="1" thickBot="1" x14ac:dyDescent="0.35">
      <c r="A176" s="233"/>
      <c r="B176" s="51" t="s">
        <v>350</v>
      </c>
      <c r="C176" s="255"/>
      <c r="D176" s="255">
        <f t="shared" si="6"/>
        <v>0</v>
      </c>
      <c r="E176" s="256">
        <f t="shared" si="5"/>
        <v>0</v>
      </c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</row>
    <row r="177" spans="1:35" ht="16.2" hidden="1" thickBot="1" x14ac:dyDescent="0.35">
      <c r="A177" s="233"/>
      <c r="B177" s="51" t="s">
        <v>351</v>
      </c>
      <c r="C177" s="255"/>
      <c r="D177" s="255">
        <f t="shared" si="6"/>
        <v>0</v>
      </c>
      <c r="E177" s="256">
        <f t="shared" si="5"/>
        <v>0</v>
      </c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</row>
    <row r="178" spans="1:35" ht="16.2" hidden="1" thickBot="1" x14ac:dyDescent="0.35">
      <c r="A178" s="233"/>
      <c r="B178" s="51" t="s">
        <v>352</v>
      </c>
      <c r="C178" s="255"/>
      <c r="D178" s="255">
        <f t="shared" si="6"/>
        <v>0</v>
      </c>
      <c r="E178" s="256">
        <f t="shared" si="5"/>
        <v>0</v>
      </c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</row>
    <row r="179" spans="1:35" ht="16.2" hidden="1" thickBot="1" x14ac:dyDescent="0.35">
      <c r="A179" s="233"/>
      <c r="B179" s="51" t="s">
        <v>353</v>
      </c>
      <c r="C179" s="255"/>
      <c r="D179" s="255">
        <f t="shared" si="6"/>
        <v>0</v>
      </c>
      <c r="E179" s="256">
        <f t="shared" si="5"/>
        <v>0</v>
      </c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</row>
    <row r="180" spans="1:35" ht="16.2" hidden="1" thickBot="1" x14ac:dyDescent="0.35">
      <c r="A180" s="233"/>
      <c r="B180" s="51" t="s">
        <v>354</v>
      </c>
      <c r="C180" s="255"/>
      <c r="D180" s="255">
        <f t="shared" si="6"/>
        <v>0</v>
      </c>
      <c r="E180" s="256">
        <f t="shared" si="5"/>
        <v>0</v>
      </c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</row>
    <row r="181" spans="1:35" ht="16.2" hidden="1" thickBot="1" x14ac:dyDescent="0.35">
      <c r="A181" s="233"/>
      <c r="B181" s="51" t="s">
        <v>355</v>
      </c>
      <c r="C181" s="255"/>
      <c r="D181" s="255">
        <f t="shared" si="6"/>
        <v>0</v>
      </c>
      <c r="E181" s="256">
        <f t="shared" si="5"/>
        <v>0</v>
      </c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</row>
    <row r="182" spans="1:35" ht="16.2" hidden="1" thickBot="1" x14ac:dyDescent="0.35">
      <c r="A182" s="233"/>
      <c r="B182" s="51" t="s">
        <v>356</v>
      </c>
      <c r="C182" s="255"/>
      <c r="D182" s="255">
        <f t="shared" si="6"/>
        <v>0</v>
      </c>
      <c r="E182" s="256">
        <f t="shared" si="5"/>
        <v>0</v>
      </c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</row>
    <row r="183" spans="1:35" ht="16.2" hidden="1" thickBot="1" x14ac:dyDescent="0.35">
      <c r="A183" s="233"/>
      <c r="B183" s="51" t="s">
        <v>357</v>
      </c>
      <c r="C183" s="255"/>
      <c r="D183" s="255">
        <f t="shared" si="6"/>
        <v>0</v>
      </c>
      <c r="E183" s="256">
        <f t="shared" si="5"/>
        <v>0</v>
      </c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</row>
    <row r="184" spans="1:35" ht="16.2" hidden="1" thickBot="1" x14ac:dyDescent="0.35">
      <c r="A184" s="233"/>
      <c r="B184" s="51" t="s">
        <v>358</v>
      </c>
      <c r="C184" s="255"/>
      <c r="D184" s="255">
        <f t="shared" si="6"/>
        <v>0</v>
      </c>
      <c r="E184" s="256">
        <f t="shared" si="5"/>
        <v>0</v>
      </c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</row>
    <row r="185" spans="1:35" ht="16.2" hidden="1" thickBot="1" x14ac:dyDescent="0.35">
      <c r="A185" s="233"/>
      <c r="B185" s="51" t="s">
        <v>359</v>
      </c>
      <c r="C185" s="255"/>
      <c r="D185" s="255">
        <f t="shared" si="6"/>
        <v>0</v>
      </c>
      <c r="E185" s="256">
        <f t="shared" si="5"/>
        <v>0</v>
      </c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</row>
    <row r="186" spans="1:35" ht="16.2" hidden="1" thickBot="1" x14ac:dyDescent="0.35">
      <c r="A186" s="233"/>
      <c r="B186" s="51" t="s">
        <v>360</v>
      </c>
      <c r="C186" s="255"/>
      <c r="D186" s="255">
        <f t="shared" si="6"/>
        <v>0</v>
      </c>
      <c r="E186" s="256">
        <f t="shared" si="5"/>
        <v>0</v>
      </c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</row>
    <row r="187" spans="1:35" ht="16.2" hidden="1" thickBot="1" x14ac:dyDescent="0.35">
      <c r="A187" s="233"/>
      <c r="B187" s="51" t="s">
        <v>361</v>
      </c>
      <c r="C187" s="255"/>
      <c r="D187" s="255">
        <f t="shared" si="6"/>
        <v>0</v>
      </c>
      <c r="E187" s="256">
        <f t="shared" si="5"/>
        <v>0</v>
      </c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</row>
    <row r="188" spans="1:35" ht="16.2" hidden="1" thickBot="1" x14ac:dyDescent="0.35">
      <c r="A188" s="233"/>
      <c r="B188" s="51" t="s">
        <v>362</v>
      </c>
      <c r="C188" s="255"/>
      <c r="D188" s="255">
        <f t="shared" si="6"/>
        <v>0</v>
      </c>
      <c r="E188" s="256">
        <f t="shared" si="5"/>
        <v>0</v>
      </c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</row>
    <row r="189" spans="1:35" ht="16.2" hidden="1" thickBot="1" x14ac:dyDescent="0.35">
      <c r="A189" s="233"/>
      <c r="B189" s="51" t="s">
        <v>365</v>
      </c>
      <c r="C189" s="255"/>
      <c r="D189" s="255">
        <f t="shared" si="6"/>
        <v>0</v>
      </c>
      <c r="E189" s="256">
        <f t="shared" si="5"/>
        <v>0</v>
      </c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</row>
    <row r="190" spans="1:35" ht="16.2" hidden="1" thickBot="1" x14ac:dyDescent="0.35">
      <c r="A190" s="234"/>
      <c r="B190" s="51" t="s">
        <v>364</v>
      </c>
      <c r="C190" s="255"/>
      <c r="D190" s="255">
        <f t="shared" si="6"/>
        <v>0</v>
      </c>
      <c r="E190" s="256">
        <f t="shared" si="5"/>
        <v>0</v>
      </c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</row>
    <row r="191" spans="1:35" ht="16.2" hidden="1" thickBot="1" x14ac:dyDescent="0.35">
      <c r="A191" s="235"/>
      <c r="B191" s="56" t="s">
        <v>379</v>
      </c>
      <c r="C191" s="255"/>
      <c r="D191" s="255">
        <f t="shared" si="6"/>
        <v>0</v>
      </c>
      <c r="E191" s="256">
        <f t="shared" si="5"/>
        <v>0</v>
      </c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</row>
    <row r="192" spans="1:35" ht="16.2" thickBot="1" x14ac:dyDescent="0.35">
      <c r="A192" s="235" t="s">
        <v>375</v>
      </c>
      <c r="B192" s="56" t="s">
        <v>380</v>
      </c>
      <c r="C192" s="255">
        <v>2339226</v>
      </c>
      <c r="D192" s="255">
        <f t="shared" si="6"/>
        <v>2222538</v>
      </c>
      <c r="E192" s="256">
        <f t="shared" si="5"/>
        <v>116688</v>
      </c>
      <c r="F192" s="150"/>
      <c r="G192" s="150"/>
      <c r="H192" s="150">
        <f>222190+97810</f>
        <v>320000</v>
      </c>
      <c r="I192" s="150">
        <v>92500</v>
      </c>
      <c r="J192" s="258">
        <v>207000</v>
      </c>
      <c r="K192" s="258">
        <v>175250</v>
      </c>
      <c r="L192" s="150">
        <v>133000</v>
      </c>
      <c r="M192" s="150">
        <v>185000</v>
      </c>
      <c r="N192" s="150">
        <v>252000</v>
      </c>
      <c r="O192" s="150">
        <v>155000</v>
      </c>
      <c r="P192" s="150">
        <v>155000</v>
      </c>
      <c r="Q192" s="150">
        <v>165000</v>
      </c>
      <c r="R192" s="150">
        <v>135000</v>
      </c>
      <c r="S192" s="150">
        <v>116000</v>
      </c>
      <c r="T192" s="150">
        <v>131788</v>
      </c>
      <c r="U192" s="150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</row>
    <row r="193" spans="1:35" ht="16.2" hidden="1" thickBot="1" x14ac:dyDescent="0.35">
      <c r="A193" s="235"/>
      <c r="B193" s="57" t="s">
        <v>381</v>
      </c>
      <c r="C193" s="255"/>
      <c r="D193" s="255">
        <f t="shared" si="6"/>
        <v>0</v>
      </c>
      <c r="E193" s="256">
        <f t="shared" si="5"/>
        <v>0</v>
      </c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</row>
    <row r="194" spans="1:35" s="12" customFormat="1" ht="16.2" thickBot="1" x14ac:dyDescent="0.35">
      <c r="A194" s="235" t="s">
        <v>525</v>
      </c>
      <c r="B194" s="57" t="s">
        <v>409</v>
      </c>
      <c r="C194" s="255">
        <v>650337</v>
      </c>
      <c r="D194" s="255">
        <f t="shared" si="6"/>
        <v>596009</v>
      </c>
      <c r="E194" s="256">
        <f t="shared" si="5"/>
        <v>54328</v>
      </c>
      <c r="F194" s="150"/>
      <c r="G194" s="150"/>
      <c r="H194" s="258"/>
      <c r="I194" s="258"/>
      <c r="J194" s="258"/>
      <c r="K194" s="150">
        <v>176467</v>
      </c>
      <c r="L194" s="150"/>
      <c r="M194" s="150"/>
      <c r="N194" s="150">
        <v>137141</v>
      </c>
      <c r="O194" s="150"/>
      <c r="P194" s="150">
        <v>172652</v>
      </c>
      <c r="Q194" s="150">
        <v>52910</v>
      </c>
      <c r="R194" s="150"/>
      <c r="S194" s="150"/>
      <c r="T194" s="150"/>
      <c r="U194" s="224">
        <v>56839</v>
      </c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</row>
    <row r="195" spans="1:35" s="12" customFormat="1" ht="16.2" hidden="1" thickBot="1" x14ac:dyDescent="0.35">
      <c r="A195" s="190">
        <v>9060</v>
      </c>
      <c r="B195" s="57" t="s">
        <v>410</v>
      </c>
      <c r="C195" s="249"/>
      <c r="D195" s="255">
        <f t="shared" si="6"/>
        <v>0</v>
      </c>
      <c r="E195" s="256">
        <f t="shared" si="5"/>
        <v>0</v>
      </c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</row>
    <row r="196" spans="1:35" ht="16.2" hidden="1" thickBot="1" x14ac:dyDescent="0.35">
      <c r="A196" s="190" t="s">
        <v>377</v>
      </c>
      <c r="B196" s="56" t="s">
        <v>382</v>
      </c>
      <c r="C196" s="255"/>
      <c r="D196" s="255">
        <f t="shared" si="6"/>
        <v>0</v>
      </c>
      <c r="E196" s="256">
        <f t="shared" si="5"/>
        <v>0</v>
      </c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</row>
    <row r="197" spans="1:35" ht="16.2" hidden="1" thickBot="1" x14ac:dyDescent="0.35">
      <c r="A197" s="190" t="s">
        <v>378</v>
      </c>
      <c r="B197" s="58" t="s">
        <v>383</v>
      </c>
      <c r="C197" s="255"/>
      <c r="D197" s="255">
        <f t="shared" si="6"/>
        <v>0</v>
      </c>
      <c r="E197" s="256">
        <f t="shared" si="5"/>
        <v>0</v>
      </c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</row>
    <row r="198" spans="1:35" s="12" customFormat="1" ht="16.2" thickBot="1" x14ac:dyDescent="0.35">
      <c r="A198" s="191"/>
      <c r="B198" s="132"/>
      <c r="C198" s="260"/>
      <c r="D198" s="260"/>
      <c r="E198" s="261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</row>
    <row r="199" spans="1:35" s="134" customFormat="1" ht="16.2" thickBot="1" x14ac:dyDescent="0.35">
      <c r="A199" s="192" t="s">
        <v>537</v>
      </c>
      <c r="B199" s="133"/>
      <c r="C199" s="262">
        <f>SUM(C11:C197)</f>
        <v>5702503</v>
      </c>
      <c r="D199" s="262">
        <f t="shared" ref="D199:AF199" si="7">SUM(D11:D197)</f>
        <v>5321732</v>
      </c>
      <c r="E199" s="262">
        <f>SUM(E11:E198)</f>
        <v>380771</v>
      </c>
      <c r="F199" s="253">
        <f t="shared" si="7"/>
        <v>0</v>
      </c>
      <c r="G199" s="253">
        <f t="shared" si="7"/>
        <v>0</v>
      </c>
      <c r="H199" s="253">
        <f t="shared" si="7"/>
        <v>320000</v>
      </c>
      <c r="I199" s="253">
        <f t="shared" si="7"/>
        <v>168927</v>
      </c>
      <c r="J199" s="253">
        <f t="shared" si="7"/>
        <v>575427</v>
      </c>
      <c r="K199" s="253">
        <f t="shared" si="7"/>
        <v>446797</v>
      </c>
      <c r="L199" s="253">
        <f t="shared" si="7"/>
        <v>324338</v>
      </c>
      <c r="M199" s="253">
        <f t="shared" si="7"/>
        <v>507503</v>
      </c>
      <c r="N199" s="253">
        <f t="shared" si="7"/>
        <v>524682</v>
      </c>
      <c r="O199" s="253">
        <f t="shared" si="7"/>
        <v>357678</v>
      </c>
      <c r="P199" s="253">
        <f t="shared" si="7"/>
        <v>699701</v>
      </c>
      <c r="Q199" s="253">
        <f t="shared" si="7"/>
        <v>533342</v>
      </c>
      <c r="R199" s="253">
        <f t="shared" si="7"/>
        <v>281014</v>
      </c>
      <c r="S199" s="253">
        <f t="shared" si="7"/>
        <v>177538</v>
      </c>
      <c r="T199" s="253">
        <f t="shared" si="7"/>
        <v>329207</v>
      </c>
      <c r="U199" s="253">
        <f t="shared" si="7"/>
        <v>92298</v>
      </c>
      <c r="V199" s="253">
        <f t="shared" si="7"/>
        <v>0</v>
      </c>
      <c r="W199" s="253">
        <f t="shared" si="7"/>
        <v>0</v>
      </c>
      <c r="X199" s="253">
        <f t="shared" si="7"/>
        <v>0</v>
      </c>
      <c r="Y199" s="253">
        <f t="shared" si="7"/>
        <v>0</v>
      </c>
      <c r="Z199" s="253">
        <f t="shared" si="7"/>
        <v>0</v>
      </c>
      <c r="AA199" s="253">
        <f t="shared" si="7"/>
        <v>0</v>
      </c>
      <c r="AB199" s="253">
        <f t="shared" si="7"/>
        <v>0</v>
      </c>
      <c r="AC199" s="253">
        <f t="shared" si="7"/>
        <v>0</v>
      </c>
      <c r="AD199" s="253">
        <f t="shared" si="7"/>
        <v>0</v>
      </c>
      <c r="AE199" s="253">
        <f t="shared" si="7"/>
        <v>0</v>
      </c>
      <c r="AF199" s="253">
        <f t="shared" si="7"/>
        <v>0</v>
      </c>
      <c r="AG199" s="253">
        <f t="shared" ref="AG199:AH199" si="8">SUM(AG11:AG197)</f>
        <v>0</v>
      </c>
      <c r="AH199" s="253">
        <f t="shared" si="8"/>
        <v>0</v>
      </c>
      <c r="AI199" s="253">
        <f t="shared" ref="AI199" si="9">SUM(AI11:AI197)</f>
        <v>-16720</v>
      </c>
    </row>
    <row r="201" spans="1:35" x14ac:dyDescent="0.3">
      <c r="O201" s="193"/>
    </row>
    <row r="202" spans="1:35" x14ac:dyDescent="0.3">
      <c r="Q202" s="193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9CCFF"/>
  </sheetPr>
  <dimension ref="A1:AR200"/>
  <sheetViews>
    <sheetView workbookViewId="0">
      <pane xSplit="5" ySplit="17" topLeftCell="AM22" activePane="bottomRight" state="frozen"/>
      <selection activeCell="E155" sqref="E155"/>
      <selection pane="topRight" activeCell="E155" sqref="E155"/>
      <selection pane="bottomLeft" activeCell="E155" sqref="E155"/>
      <selection pane="bottomRight" activeCell="AR63" sqref="AR63"/>
    </sheetView>
  </sheetViews>
  <sheetFormatPr defaultRowHeight="14.4" x14ac:dyDescent="0.3"/>
  <cols>
    <col min="1" max="1" width="9.109375" style="12" customWidth="1"/>
    <col min="2" max="2" width="36.6640625" style="12" customWidth="1"/>
    <col min="3" max="3" width="20.88671875" style="12" customWidth="1"/>
    <col min="4" max="4" width="18.88671875" style="12" customWidth="1"/>
    <col min="5" max="5" width="17" style="12" customWidth="1"/>
    <col min="6" max="32" width="15.6640625" customWidth="1"/>
    <col min="33" max="44" width="15.6640625" style="12" customWidth="1"/>
  </cols>
  <sheetData>
    <row r="1" spans="1:44" ht="21" x14ac:dyDescent="0.4">
      <c r="A1" s="18" t="s">
        <v>0</v>
      </c>
      <c r="B1" s="19"/>
      <c r="C1" s="20" t="s">
        <v>387</v>
      </c>
      <c r="D1" s="18"/>
      <c r="E1" s="21"/>
      <c r="F1" s="22"/>
      <c r="G1" s="22"/>
      <c r="H1" s="196" t="str">
        <f>C1</f>
        <v>Title I-D Delinquent</v>
      </c>
      <c r="I1" s="20"/>
      <c r="J1" s="18"/>
      <c r="K1" s="18"/>
      <c r="L1" s="21"/>
      <c r="M1" s="21"/>
      <c r="N1" s="22"/>
      <c r="O1" s="196" t="str">
        <f>C1</f>
        <v>Title I-D Delinquent</v>
      </c>
      <c r="P1" s="20"/>
      <c r="Q1" s="20"/>
      <c r="R1" s="18"/>
      <c r="S1" s="18"/>
      <c r="T1" s="21"/>
      <c r="U1" s="21"/>
      <c r="V1" s="196" t="str">
        <f>C1</f>
        <v>Title I-D Delinquent</v>
      </c>
      <c r="W1" s="22"/>
      <c r="X1" s="20"/>
      <c r="Y1" s="20"/>
      <c r="Z1" s="18"/>
      <c r="AA1" s="18"/>
      <c r="AB1" s="21"/>
      <c r="AC1" s="196" t="str">
        <f>C1</f>
        <v>Title I-D Delinquent</v>
      </c>
      <c r="AD1" s="22"/>
      <c r="AE1" s="22"/>
      <c r="AF1" s="20"/>
      <c r="AG1" s="196"/>
      <c r="AH1" s="196"/>
      <c r="AI1" s="196"/>
      <c r="AJ1" s="196" t="str">
        <f>C1</f>
        <v>Title I-D Delinquent</v>
      </c>
      <c r="AK1" s="196"/>
      <c r="AL1" s="196"/>
      <c r="AM1" s="196"/>
      <c r="AN1" s="196"/>
      <c r="AO1" s="196"/>
      <c r="AP1" s="196"/>
      <c r="AQ1" s="196"/>
      <c r="AR1" s="196"/>
    </row>
    <row r="2" spans="1:44" ht="15.6" x14ac:dyDescent="0.3">
      <c r="A2" s="23" t="s">
        <v>1</v>
      </c>
      <c r="B2" s="19"/>
      <c r="C2" s="24" t="s">
        <v>367</v>
      </c>
      <c r="D2" s="23"/>
      <c r="E2" s="25"/>
      <c r="F2" s="22"/>
      <c r="G2" s="22"/>
      <c r="H2" s="23" t="str">
        <f>"FY"&amp;C4</f>
        <v>FY2014-15</v>
      </c>
      <c r="I2" s="23"/>
      <c r="J2" s="26"/>
      <c r="K2" s="26"/>
      <c r="L2" s="25"/>
      <c r="M2" s="25"/>
      <c r="N2" s="25"/>
      <c r="O2" s="199" t="str">
        <f>"FY"&amp;C4</f>
        <v>FY2014-15</v>
      </c>
      <c r="P2" s="23"/>
      <c r="Q2" s="23"/>
      <c r="R2" s="26"/>
      <c r="S2" s="26"/>
      <c r="T2" s="25"/>
      <c r="U2" s="25"/>
      <c r="V2" s="199" t="str">
        <f>"FY"&amp;C4</f>
        <v>FY2014-15</v>
      </c>
      <c r="W2" s="25"/>
      <c r="X2" s="23"/>
      <c r="Y2" s="23"/>
      <c r="Z2" s="26"/>
      <c r="AA2" s="26"/>
      <c r="AB2" s="25"/>
      <c r="AC2" s="199" t="str">
        <f>"FY"&amp;C4</f>
        <v>FY2014-15</v>
      </c>
      <c r="AD2" s="25"/>
      <c r="AE2" s="25"/>
      <c r="AF2" s="23"/>
      <c r="AG2" s="199"/>
      <c r="AH2" s="199"/>
      <c r="AI2" s="199"/>
      <c r="AJ2" s="199" t="str">
        <f>"FY"&amp;C4</f>
        <v>FY2014-15</v>
      </c>
      <c r="AK2" s="199"/>
      <c r="AL2" s="199"/>
      <c r="AM2" s="199"/>
      <c r="AN2" s="199"/>
      <c r="AO2" s="199"/>
      <c r="AP2" s="199"/>
      <c r="AQ2" s="199"/>
      <c r="AR2" s="199"/>
    </row>
    <row r="3" spans="1:44" ht="15.6" x14ac:dyDescent="0.3">
      <c r="A3" s="23" t="s">
        <v>4</v>
      </c>
      <c r="B3" s="19"/>
      <c r="C3" s="26" t="s">
        <v>388</v>
      </c>
      <c r="D3" s="23"/>
      <c r="E3" s="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</row>
    <row r="4" spans="1:44" ht="15.6" x14ac:dyDescent="0.3">
      <c r="A4" s="23" t="s">
        <v>2</v>
      </c>
      <c r="B4" s="19"/>
      <c r="C4" s="26" t="str">
        <f>'NCLB Title I-A Formula'!$C$4</f>
        <v>2014-15</v>
      </c>
      <c r="D4" s="25"/>
      <c r="E4" s="2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</row>
    <row r="5" spans="1:44" ht="15.6" x14ac:dyDescent="0.3">
      <c r="A5" s="23" t="s">
        <v>435</v>
      </c>
      <c r="B5" s="19"/>
      <c r="C5" s="181" t="s">
        <v>536</v>
      </c>
      <c r="D5" s="23"/>
      <c r="E5" s="2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</row>
    <row r="6" spans="1:44" ht="15.6" x14ac:dyDescent="0.3">
      <c r="A6" s="23" t="s">
        <v>5</v>
      </c>
      <c r="B6" s="19"/>
      <c r="C6" s="23" t="s">
        <v>6</v>
      </c>
      <c r="D6" s="23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5.6" x14ac:dyDescent="0.3">
      <c r="A7" s="23" t="s">
        <v>384</v>
      </c>
      <c r="B7" s="19"/>
      <c r="C7" s="199" t="s">
        <v>469</v>
      </c>
      <c r="D7" s="2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</row>
    <row r="8" spans="1:44" ht="15.6" x14ac:dyDescent="0.3">
      <c r="A8" s="23" t="s">
        <v>385</v>
      </c>
      <c r="B8" s="19"/>
      <c r="C8" s="23" t="s">
        <v>386</v>
      </c>
      <c r="D8" s="25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</row>
    <row r="9" spans="1:44" ht="16.2" thickBot="1" x14ac:dyDescent="0.35">
      <c r="A9" s="23" t="s">
        <v>436</v>
      </c>
      <c r="B9" s="19"/>
      <c r="C9" s="199" t="s">
        <v>463</v>
      </c>
      <c r="D9" s="2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</row>
    <row r="10" spans="1:44" ht="32.25" customHeight="1" thickBot="1" x14ac:dyDescent="0.35">
      <c r="A10" s="107" t="s">
        <v>369</v>
      </c>
      <c r="B10" s="108" t="s">
        <v>370</v>
      </c>
      <c r="C10" s="108" t="s">
        <v>371</v>
      </c>
      <c r="D10" s="108" t="s">
        <v>372</v>
      </c>
      <c r="E10" s="94" t="s">
        <v>373</v>
      </c>
      <c r="F10" s="111" t="s">
        <v>442</v>
      </c>
      <c r="G10" s="111" t="s">
        <v>443</v>
      </c>
      <c r="H10" s="111" t="s">
        <v>444</v>
      </c>
      <c r="I10" s="111" t="s">
        <v>446</v>
      </c>
      <c r="J10" s="111" t="s">
        <v>447</v>
      </c>
      <c r="K10" s="111" t="s">
        <v>448</v>
      </c>
      <c r="L10" s="111" t="s">
        <v>449</v>
      </c>
      <c r="M10" s="111" t="s">
        <v>450</v>
      </c>
      <c r="N10" s="111" t="s">
        <v>451</v>
      </c>
      <c r="O10" s="111" t="s">
        <v>452</v>
      </c>
      <c r="P10" s="111" t="s">
        <v>453</v>
      </c>
      <c r="Q10" s="111" t="s">
        <v>454</v>
      </c>
      <c r="R10" s="111" t="s">
        <v>455</v>
      </c>
      <c r="S10" s="111" t="s">
        <v>456</v>
      </c>
      <c r="T10" s="111" t="s">
        <v>457</v>
      </c>
      <c r="U10" s="111" t="s">
        <v>464</v>
      </c>
      <c r="V10" s="111" t="s">
        <v>465</v>
      </c>
      <c r="W10" s="111" t="s">
        <v>466</v>
      </c>
      <c r="X10" s="111" t="s">
        <v>449</v>
      </c>
      <c r="Y10" s="111" t="s">
        <v>450</v>
      </c>
      <c r="Z10" s="111" t="s">
        <v>451</v>
      </c>
      <c r="AA10" s="111" t="s">
        <v>452</v>
      </c>
      <c r="AB10" s="111" t="s">
        <v>453</v>
      </c>
      <c r="AC10" s="111" t="s">
        <v>454</v>
      </c>
      <c r="AD10" s="111" t="s">
        <v>455</v>
      </c>
      <c r="AE10" s="111" t="s">
        <v>456</v>
      </c>
      <c r="AF10" s="111" t="s">
        <v>457</v>
      </c>
      <c r="AG10" s="111" t="s">
        <v>464</v>
      </c>
      <c r="AH10" s="111" t="s">
        <v>465</v>
      </c>
      <c r="AI10" s="111" t="s">
        <v>466</v>
      </c>
      <c r="AJ10" s="111" t="s">
        <v>527</v>
      </c>
      <c r="AK10" s="111" t="s">
        <v>528</v>
      </c>
      <c r="AL10" s="111" t="s">
        <v>529</v>
      </c>
      <c r="AM10" s="111" t="s">
        <v>530</v>
      </c>
      <c r="AN10" s="111" t="s">
        <v>531</v>
      </c>
      <c r="AO10" s="111" t="s">
        <v>532</v>
      </c>
      <c r="AP10" s="111" t="s">
        <v>533</v>
      </c>
      <c r="AQ10" s="111" t="s">
        <v>541</v>
      </c>
      <c r="AR10" s="111" t="s">
        <v>542</v>
      </c>
    </row>
    <row r="11" spans="1:44" ht="16.2" hidden="1" thickBot="1" x14ac:dyDescent="0.35">
      <c r="A11" s="32" t="s">
        <v>8</v>
      </c>
      <c r="B11" s="33" t="s">
        <v>186</v>
      </c>
      <c r="C11" s="139">
        <v>0</v>
      </c>
      <c r="D11" s="91">
        <f>SUM(F11:AF11)</f>
        <v>0</v>
      </c>
      <c r="E11" s="95">
        <f>C11-D11</f>
        <v>0</v>
      </c>
    </row>
    <row r="12" spans="1:44" ht="16.2" hidden="1" thickBot="1" x14ac:dyDescent="0.35">
      <c r="A12" s="59" t="s">
        <v>9</v>
      </c>
      <c r="B12" s="60" t="s">
        <v>187</v>
      </c>
      <c r="C12" s="139">
        <v>0</v>
      </c>
      <c r="D12" s="93">
        <f t="shared" ref="D12:D17" si="0">SUM(F12:AF12)</f>
        <v>0</v>
      </c>
      <c r="E12" s="96">
        <f t="shared" ref="E12:E75" si="1">C12-D12</f>
        <v>0</v>
      </c>
    </row>
    <row r="13" spans="1:44" ht="16.2" hidden="1" thickBot="1" x14ac:dyDescent="0.35">
      <c r="A13" s="61" t="s">
        <v>10</v>
      </c>
      <c r="B13" s="62" t="s">
        <v>188</v>
      </c>
      <c r="C13" s="139">
        <v>0</v>
      </c>
      <c r="D13" s="92">
        <f t="shared" si="0"/>
        <v>0</v>
      </c>
      <c r="E13" s="97">
        <f t="shared" si="1"/>
        <v>0</v>
      </c>
    </row>
    <row r="14" spans="1:44" ht="16.2" hidden="1" thickBot="1" x14ac:dyDescent="0.35">
      <c r="A14" s="61" t="s">
        <v>11</v>
      </c>
      <c r="B14" s="62" t="s">
        <v>189</v>
      </c>
      <c r="C14" s="139">
        <v>0</v>
      </c>
      <c r="D14" s="90">
        <f t="shared" si="0"/>
        <v>0</v>
      </c>
      <c r="E14" s="98">
        <f t="shared" si="1"/>
        <v>0</v>
      </c>
    </row>
    <row r="15" spans="1:44" ht="16.2" hidden="1" thickBot="1" x14ac:dyDescent="0.35">
      <c r="A15" s="61" t="s">
        <v>12</v>
      </c>
      <c r="B15" s="62" t="s">
        <v>190</v>
      </c>
      <c r="C15" s="139">
        <v>0</v>
      </c>
      <c r="D15" s="90">
        <f t="shared" si="0"/>
        <v>0</v>
      </c>
      <c r="E15" s="98">
        <f t="shared" si="1"/>
        <v>0</v>
      </c>
    </row>
    <row r="16" spans="1:44" ht="16.2" hidden="1" thickBot="1" x14ac:dyDescent="0.35">
      <c r="A16" s="61" t="s">
        <v>13</v>
      </c>
      <c r="B16" s="62" t="s">
        <v>191</v>
      </c>
      <c r="C16" s="139">
        <v>0</v>
      </c>
      <c r="D16" s="90">
        <f t="shared" si="0"/>
        <v>0</v>
      </c>
      <c r="E16" s="98">
        <f t="shared" si="1"/>
        <v>0</v>
      </c>
    </row>
    <row r="17" spans="1:44" ht="16.2" hidden="1" thickBot="1" x14ac:dyDescent="0.35">
      <c r="A17" s="140" t="s">
        <v>14</v>
      </c>
      <c r="B17" s="141" t="s">
        <v>192</v>
      </c>
      <c r="C17" s="139">
        <v>0</v>
      </c>
      <c r="D17" s="90">
        <f t="shared" si="0"/>
        <v>0</v>
      </c>
      <c r="E17" s="98">
        <f t="shared" si="1"/>
        <v>0</v>
      </c>
    </row>
    <row r="18" spans="1:44" ht="16.2" thickBot="1" x14ac:dyDescent="0.35">
      <c r="A18" s="122" t="s">
        <v>15</v>
      </c>
      <c r="B18" s="123" t="s">
        <v>193</v>
      </c>
      <c r="C18" s="263">
        <v>15555</v>
      </c>
      <c r="D18" s="264">
        <f>SUM(F18:BD18)</f>
        <v>15555</v>
      </c>
      <c r="E18" s="265">
        <f t="shared" si="1"/>
        <v>0</v>
      </c>
      <c r="F18" s="224"/>
      <c r="G18" s="224"/>
      <c r="H18" s="224"/>
      <c r="I18" s="224"/>
      <c r="J18" s="150"/>
      <c r="K18" s="150">
        <v>5415</v>
      </c>
      <c r="L18" s="150">
        <v>1500</v>
      </c>
      <c r="M18" s="150"/>
      <c r="N18" s="150">
        <v>1500</v>
      </c>
      <c r="O18" s="150"/>
      <c r="P18" s="150">
        <v>3000</v>
      </c>
      <c r="Q18" s="150"/>
      <c r="R18" s="150">
        <v>1821</v>
      </c>
      <c r="S18" s="150">
        <v>819</v>
      </c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>
        <v>1500</v>
      </c>
      <c r="AN18" s="150"/>
      <c r="AO18" s="150"/>
      <c r="AP18" s="150"/>
      <c r="AQ18" s="150"/>
      <c r="AR18" s="150"/>
    </row>
    <row r="19" spans="1:44" ht="16.2" hidden="1" thickBot="1" x14ac:dyDescent="0.35">
      <c r="A19" s="122" t="s">
        <v>16</v>
      </c>
      <c r="B19" s="123" t="s">
        <v>194</v>
      </c>
      <c r="C19" s="263"/>
      <c r="D19" s="264">
        <f t="shared" ref="D19:D82" si="2">SUM(F19:BD19)</f>
        <v>0</v>
      </c>
      <c r="E19" s="265">
        <f t="shared" si="1"/>
        <v>0</v>
      </c>
      <c r="F19" s="224"/>
      <c r="G19" s="224"/>
      <c r="H19" s="224"/>
      <c r="I19" s="224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</row>
    <row r="20" spans="1:44" ht="16.2" hidden="1" thickBot="1" x14ac:dyDescent="0.35">
      <c r="A20" s="122" t="s">
        <v>17</v>
      </c>
      <c r="B20" s="123" t="s">
        <v>195</v>
      </c>
      <c r="C20" s="263"/>
      <c r="D20" s="264">
        <f t="shared" si="2"/>
        <v>0</v>
      </c>
      <c r="E20" s="265">
        <f t="shared" si="1"/>
        <v>0</v>
      </c>
      <c r="F20" s="224"/>
      <c r="G20" s="224"/>
      <c r="H20" s="224"/>
      <c r="I20" s="224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</row>
    <row r="21" spans="1:44" ht="16.2" hidden="1" thickBot="1" x14ac:dyDescent="0.35">
      <c r="A21" s="122" t="s">
        <v>18</v>
      </c>
      <c r="B21" s="123" t="s">
        <v>196</v>
      </c>
      <c r="C21" s="263"/>
      <c r="D21" s="264">
        <f t="shared" si="2"/>
        <v>0</v>
      </c>
      <c r="E21" s="265">
        <f t="shared" si="1"/>
        <v>0</v>
      </c>
      <c r="F21" s="224"/>
      <c r="G21" s="224"/>
      <c r="H21" s="224"/>
      <c r="I21" s="224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</row>
    <row r="22" spans="1:44" ht="16.2" thickBot="1" x14ac:dyDescent="0.35">
      <c r="A22" s="122" t="s">
        <v>19</v>
      </c>
      <c r="B22" s="123" t="s">
        <v>197</v>
      </c>
      <c r="C22" s="263">
        <v>229200</v>
      </c>
      <c r="D22" s="264">
        <f t="shared" si="2"/>
        <v>229200</v>
      </c>
      <c r="E22" s="265">
        <f t="shared" si="1"/>
        <v>0</v>
      </c>
      <c r="F22" s="224"/>
      <c r="G22" s="224"/>
      <c r="H22" s="224"/>
      <c r="I22" s="224"/>
      <c r="J22" s="150"/>
      <c r="K22" s="150"/>
      <c r="L22" s="150"/>
      <c r="M22" s="150">
        <v>114583</v>
      </c>
      <c r="N22" s="150"/>
      <c r="O22" s="150">
        <v>38194</v>
      </c>
      <c r="P22" s="150"/>
      <c r="Q22" s="150"/>
      <c r="R22" s="150">
        <v>76389</v>
      </c>
      <c r="S22" s="150"/>
      <c r="T22" s="150"/>
      <c r="U22" s="150"/>
      <c r="V22" s="150"/>
      <c r="W22" s="150"/>
      <c r="X22" s="150">
        <v>34</v>
      </c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</row>
    <row r="23" spans="1:44" ht="16.2" hidden="1" thickBot="1" x14ac:dyDescent="0.35">
      <c r="A23" s="122" t="s">
        <v>20</v>
      </c>
      <c r="B23" s="123" t="s">
        <v>198</v>
      </c>
      <c r="C23" s="263"/>
      <c r="D23" s="264">
        <f t="shared" si="2"/>
        <v>0</v>
      </c>
      <c r="E23" s="265">
        <f t="shared" si="1"/>
        <v>0</v>
      </c>
      <c r="F23" s="224"/>
      <c r="G23" s="224"/>
      <c r="H23" s="224"/>
      <c r="I23" s="224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</row>
    <row r="24" spans="1:44" ht="16.2" hidden="1" thickBot="1" x14ac:dyDescent="0.35">
      <c r="A24" s="122" t="s">
        <v>21</v>
      </c>
      <c r="B24" s="123" t="s">
        <v>199</v>
      </c>
      <c r="C24" s="263"/>
      <c r="D24" s="264">
        <f t="shared" si="2"/>
        <v>0</v>
      </c>
      <c r="E24" s="265">
        <f t="shared" si="1"/>
        <v>0</v>
      </c>
      <c r="F24" s="224"/>
      <c r="G24" s="224"/>
      <c r="H24" s="224"/>
      <c r="I24" s="224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</row>
    <row r="25" spans="1:44" ht="16.2" thickBot="1" x14ac:dyDescent="0.35">
      <c r="A25" s="122" t="s">
        <v>22</v>
      </c>
      <c r="B25" s="123" t="s">
        <v>200</v>
      </c>
      <c r="C25" s="263">
        <v>90219</v>
      </c>
      <c r="D25" s="264">
        <f t="shared" si="2"/>
        <v>90219</v>
      </c>
      <c r="E25" s="265">
        <f t="shared" si="1"/>
        <v>0</v>
      </c>
      <c r="F25" s="224"/>
      <c r="G25" s="224"/>
      <c r="H25" s="224"/>
      <c r="I25" s="224"/>
      <c r="J25" s="150"/>
      <c r="K25" s="150">
        <v>31725</v>
      </c>
      <c r="L25" s="150"/>
      <c r="M25" s="150">
        <v>13745</v>
      </c>
      <c r="N25" s="150">
        <v>4559</v>
      </c>
      <c r="O25" s="150">
        <v>7839</v>
      </c>
      <c r="P25" s="150">
        <v>9010</v>
      </c>
      <c r="Q25" s="150">
        <v>8309</v>
      </c>
      <c r="R25" s="150">
        <v>15011</v>
      </c>
      <c r="S25" s="150"/>
      <c r="T25" s="150"/>
      <c r="U25" s="150"/>
      <c r="V25" s="150"/>
      <c r="W25" s="150"/>
      <c r="X25" s="150">
        <v>21</v>
      </c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</row>
    <row r="26" spans="1:44" ht="16.2" hidden="1" thickBot="1" x14ac:dyDescent="0.35">
      <c r="A26" s="122" t="s">
        <v>23</v>
      </c>
      <c r="B26" s="123" t="s">
        <v>201</v>
      </c>
      <c r="C26" s="263"/>
      <c r="D26" s="264">
        <f t="shared" si="2"/>
        <v>0</v>
      </c>
      <c r="E26" s="265">
        <f t="shared" si="1"/>
        <v>0</v>
      </c>
      <c r="F26" s="224"/>
      <c r="G26" s="224"/>
      <c r="H26" s="224"/>
      <c r="I26" s="224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</row>
    <row r="27" spans="1:44" ht="16.2" hidden="1" thickBot="1" x14ac:dyDescent="0.35">
      <c r="A27" s="122" t="s">
        <v>24</v>
      </c>
      <c r="B27" s="123" t="s">
        <v>202</v>
      </c>
      <c r="C27" s="263"/>
      <c r="D27" s="264">
        <f t="shared" si="2"/>
        <v>0</v>
      </c>
      <c r="E27" s="265">
        <f t="shared" si="1"/>
        <v>0</v>
      </c>
      <c r="F27" s="224"/>
      <c r="G27" s="224"/>
      <c r="H27" s="224"/>
      <c r="I27" s="224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</row>
    <row r="28" spans="1:44" ht="16.2" hidden="1" thickBot="1" x14ac:dyDescent="0.35">
      <c r="A28" s="122" t="s">
        <v>25</v>
      </c>
      <c r="B28" s="123" t="s">
        <v>203</v>
      </c>
      <c r="C28" s="263"/>
      <c r="D28" s="264">
        <f t="shared" si="2"/>
        <v>0</v>
      </c>
      <c r="E28" s="265">
        <f t="shared" si="1"/>
        <v>0</v>
      </c>
      <c r="F28" s="224"/>
      <c r="G28" s="224"/>
      <c r="H28" s="224"/>
      <c r="I28" s="224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</row>
    <row r="29" spans="1:44" ht="16.2" hidden="1" thickBot="1" x14ac:dyDescent="0.35">
      <c r="A29" s="122" t="s">
        <v>26</v>
      </c>
      <c r="B29" s="123" t="s">
        <v>204</v>
      </c>
      <c r="C29" s="263"/>
      <c r="D29" s="264">
        <f t="shared" si="2"/>
        <v>0</v>
      </c>
      <c r="E29" s="265">
        <f t="shared" si="1"/>
        <v>0</v>
      </c>
      <c r="F29" s="224"/>
      <c r="G29" s="224"/>
      <c r="H29" s="224"/>
      <c r="I29" s="224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</row>
    <row r="30" spans="1:44" ht="16.2" hidden="1" thickBot="1" x14ac:dyDescent="0.35">
      <c r="A30" s="122" t="s">
        <v>27</v>
      </c>
      <c r="B30" s="123" t="s">
        <v>205</v>
      </c>
      <c r="C30" s="263"/>
      <c r="D30" s="264">
        <f t="shared" si="2"/>
        <v>0</v>
      </c>
      <c r="E30" s="265">
        <f t="shared" si="1"/>
        <v>0</v>
      </c>
      <c r="F30" s="224"/>
      <c r="G30" s="224"/>
      <c r="H30" s="224"/>
      <c r="I30" s="224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</row>
    <row r="31" spans="1:44" ht="16.2" hidden="1" thickBot="1" x14ac:dyDescent="0.35">
      <c r="A31" s="122" t="s">
        <v>28</v>
      </c>
      <c r="B31" s="123" t="s">
        <v>206</v>
      </c>
      <c r="C31" s="263"/>
      <c r="D31" s="264">
        <f t="shared" si="2"/>
        <v>0</v>
      </c>
      <c r="E31" s="265">
        <f t="shared" si="1"/>
        <v>0</v>
      </c>
      <c r="F31" s="224"/>
      <c r="G31" s="224"/>
      <c r="H31" s="224"/>
      <c r="I31" s="224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</row>
    <row r="32" spans="1:44" ht="16.2" hidden="1" thickBot="1" x14ac:dyDescent="0.35">
      <c r="A32" s="122" t="s">
        <v>29</v>
      </c>
      <c r="B32" s="123" t="s">
        <v>207</v>
      </c>
      <c r="C32" s="263"/>
      <c r="D32" s="264">
        <f t="shared" si="2"/>
        <v>0</v>
      </c>
      <c r="E32" s="265">
        <f t="shared" si="1"/>
        <v>0</v>
      </c>
      <c r="F32" s="224"/>
      <c r="G32" s="224"/>
      <c r="H32" s="224"/>
      <c r="I32" s="224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</row>
    <row r="33" spans="1:44" ht="16.2" hidden="1" thickBot="1" x14ac:dyDescent="0.35">
      <c r="A33" s="122" t="s">
        <v>30</v>
      </c>
      <c r="B33" s="123" t="s">
        <v>208</v>
      </c>
      <c r="C33" s="263"/>
      <c r="D33" s="264">
        <f t="shared" si="2"/>
        <v>0</v>
      </c>
      <c r="E33" s="265">
        <f t="shared" si="1"/>
        <v>0</v>
      </c>
      <c r="F33" s="224"/>
      <c r="G33" s="224"/>
      <c r="H33" s="224"/>
      <c r="I33" s="224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</row>
    <row r="34" spans="1:44" ht="16.2" hidden="1" thickBot="1" x14ac:dyDescent="0.35">
      <c r="A34" s="122" t="s">
        <v>31</v>
      </c>
      <c r="B34" s="123" t="s">
        <v>209</v>
      </c>
      <c r="C34" s="263"/>
      <c r="D34" s="264">
        <f t="shared" si="2"/>
        <v>0</v>
      </c>
      <c r="E34" s="265">
        <f t="shared" si="1"/>
        <v>0</v>
      </c>
      <c r="F34" s="224"/>
      <c r="G34" s="224"/>
      <c r="H34" s="224"/>
      <c r="I34" s="224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</row>
    <row r="35" spans="1:44" ht="16.2" hidden="1" thickBot="1" x14ac:dyDescent="0.35">
      <c r="A35" s="122" t="s">
        <v>32</v>
      </c>
      <c r="B35" s="123" t="s">
        <v>210</v>
      </c>
      <c r="C35" s="263"/>
      <c r="D35" s="264">
        <f t="shared" si="2"/>
        <v>0</v>
      </c>
      <c r="E35" s="265">
        <f t="shared" si="1"/>
        <v>0</v>
      </c>
      <c r="F35" s="224"/>
      <c r="G35" s="224"/>
      <c r="H35" s="224"/>
      <c r="I35" s="224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</row>
    <row r="36" spans="1:44" ht="16.2" hidden="1" thickBot="1" x14ac:dyDescent="0.35">
      <c r="A36" s="122" t="s">
        <v>33</v>
      </c>
      <c r="B36" s="123" t="s">
        <v>211</v>
      </c>
      <c r="C36" s="263"/>
      <c r="D36" s="264">
        <f t="shared" si="2"/>
        <v>0</v>
      </c>
      <c r="E36" s="265">
        <f t="shared" si="1"/>
        <v>0</v>
      </c>
      <c r="F36" s="224"/>
      <c r="G36" s="224"/>
      <c r="H36" s="224"/>
      <c r="I36" s="224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</row>
    <row r="37" spans="1:44" ht="16.2" hidden="1" thickBot="1" x14ac:dyDescent="0.35">
      <c r="A37" s="122" t="s">
        <v>34</v>
      </c>
      <c r="B37" s="123" t="s">
        <v>212</v>
      </c>
      <c r="C37" s="263"/>
      <c r="D37" s="264">
        <f t="shared" si="2"/>
        <v>0</v>
      </c>
      <c r="E37" s="265">
        <f t="shared" si="1"/>
        <v>0</v>
      </c>
      <c r="F37" s="224"/>
      <c r="G37" s="224"/>
      <c r="H37" s="224"/>
      <c r="I37" s="224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</row>
    <row r="38" spans="1:44" ht="16.2" hidden="1" thickBot="1" x14ac:dyDescent="0.35">
      <c r="A38" s="122" t="s">
        <v>35</v>
      </c>
      <c r="B38" s="123" t="s">
        <v>213</v>
      </c>
      <c r="C38" s="263"/>
      <c r="D38" s="264">
        <f t="shared" si="2"/>
        <v>0</v>
      </c>
      <c r="E38" s="265">
        <f t="shared" si="1"/>
        <v>0</v>
      </c>
      <c r="F38" s="224"/>
      <c r="G38" s="224"/>
      <c r="H38" s="224"/>
      <c r="I38" s="224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</row>
    <row r="39" spans="1:44" ht="16.2" hidden="1" thickBot="1" x14ac:dyDescent="0.35">
      <c r="A39" s="122" t="s">
        <v>36</v>
      </c>
      <c r="B39" s="123" t="s">
        <v>391</v>
      </c>
      <c r="C39" s="263"/>
      <c r="D39" s="264">
        <f t="shared" si="2"/>
        <v>0</v>
      </c>
      <c r="E39" s="265">
        <f t="shared" si="1"/>
        <v>0</v>
      </c>
      <c r="F39" s="224"/>
      <c r="G39" s="224"/>
      <c r="H39" s="224"/>
      <c r="I39" s="224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</row>
    <row r="40" spans="1:44" ht="16.2" hidden="1" thickBot="1" x14ac:dyDescent="0.35">
      <c r="A40" s="122" t="s">
        <v>37</v>
      </c>
      <c r="B40" s="123" t="s">
        <v>215</v>
      </c>
      <c r="C40" s="263"/>
      <c r="D40" s="264">
        <f t="shared" si="2"/>
        <v>0</v>
      </c>
      <c r="E40" s="265">
        <f t="shared" si="1"/>
        <v>0</v>
      </c>
      <c r="F40" s="224"/>
      <c r="G40" s="224"/>
      <c r="H40" s="224"/>
      <c r="I40" s="224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</row>
    <row r="41" spans="1:44" ht="16.2" hidden="1" thickBot="1" x14ac:dyDescent="0.35">
      <c r="A41" s="122" t="s">
        <v>38</v>
      </c>
      <c r="B41" s="123" t="s">
        <v>216</v>
      </c>
      <c r="C41" s="263"/>
      <c r="D41" s="264">
        <f t="shared" si="2"/>
        <v>0</v>
      </c>
      <c r="E41" s="265">
        <f t="shared" si="1"/>
        <v>0</v>
      </c>
      <c r="F41" s="224"/>
      <c r="G41" s="224"/>
      <c r="H41" s="224"/>
      <c r="I41" s="224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</row>
    <row r="42" spans="1:44" ht="16.2" hidden="1" thickBot="1" x14ac:dyDescent="0.35">
      <c r="A42" s="122" t="s">
        <v>39</v>
      </c>
      <c r="B42" s="123" t="s">
        <v>217</v>
      </c>
      <c r="C42" s="263"/>
      <c r="D42" s="264">
        <f t="shared" si="2"/>
        <v>0</v>
      </c>
      <c r="E42" s="265">
        <f t="shared" si="1"/>
        <v>0</v>
      </c>
      <c r="F42" s="224"/>
      <c r="G42" s="224"/>
      <c r="H42" s="224"/>
      <c r="I42" s="224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</row>
    <row r="43" spans="1:44" ht="16.2" hidden="1" thickBot="1" x14ac:dyDescent="0.35">
      <c r="A43" s="122" t="s">
        <v>40</v>
      </c>
      <c r="B43" s="123" t="s">
        <v>218</v>
      </c>
      <c r="C43" s="263"/>
      <c r="D43" s="264">
        <f t="shared" si="2"/>
        <v>0</v>
      </c>
      <c r="E43" s="265">
        <f t="shared" si="1"/>
        <v>0</v>
      </c>
      <c r="F43" s="224"/>
      <c r="G43" s="224"/>
      <c r="H43" s="224"/>
      <c r="I43" s="224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</row>
    <row r="44" spans="1:44" ht="16.2" hidden="1" thickBot="1" x14ac:dyDescent="0.35">
      <c r="A44" s="122" t="s">
        <v>41</v>
      </c>
      <c r="B44" s="123" t="s">
        <v>219</v>
      </c>
      <c r="C44" s="263"/>
      <c r="D44" s="264">
        <f t="shared" si="2"/>
        <v>0</v>
      </c>
      <c r="E44" s="265">
        <f t="shared" si="1"/>
        <v>0</v>
      </c>
      <c r="F44" s="224"/>
      <c r="G44" s="224"/>
      <c r="H44" s="224"/>
      <c r="I44" s="224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</row>
    <row r="45" spans="1:44" ht="16.2" hidden="1" thickBot="1" x14ac:dyDescent="0.35">
      <c r="A45" s="122" t="s">
        <v>42</v>
      </c>
      <c r="B45" s="124" t="s">
        <v>220</v>
      </c>
      <c r="C45" s="263"/>
      <c r="D45" s="264">
        <f t="shared" si="2"/>
        <v>0</v>
      </c>
      <c r="E45" s="265">
        <f t="shared" si="1"/>
        <v>0</v>
      </c>
      <c r="F45" s="224"/>
      <c r="G45" s="224"/>
      <c r="H45" s="224"/>
      <c r="I45" s="224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</row>
    <row r="46" spans="1:44" ht="16.2" hidden="1" thickBot="1" x14ac:dyDescent="0.35">
      <c r="A46" s="122" t="s">
        <v>43</v>
      </c>
      <c r="B46" s="123" t="s">
        <v>221</v>
      </c>
      <c r="C46" s="263"/>
      <c r="D46" s="264">
        <f t="shared" si="2"/>
        <v>0</v>
      </c>
      <c r="E46" s="265">
        <f t="shared" si="1"/>
        <v>0</v>
      </c>
      <c r="F46" s="224"/>
      <c r="G46" s="224"/>
      <c r="H46" s="224"/>
      <c r="I46" s="224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</row>
    <row r="47" spans="1:44" ht="16.2" hidden="1" thickBot="1" x14ac:dyDescent="0.35">
      <c r="A47" s="122" t="s">
        <v>44</v>
      </c>
      <c r="B47" s="123" t="s">
        <v>222</v>
      </c>
      <c r="C47" s="263"/>
      <c r="D47" s="264">
        <f t="shared" si="2"/>
        <v>0</v>
      </c>
      <c r="E47" s="265">
        <f t="shared" si="1"/>
        <v>0</v>
      </c>
      <c r="F47" s="224"/>
      <c r="G47" s="224"/>
      <c r="H47" s="224"/>
      <c r="I47" s="224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</row>
    <row r="48" spans="1:44" ht="16.2" hidden="1" thickBot="1" x14ac:dyDescent="0.35">
      <c r="A48" s="122" t="s">
        <v>45</v>
      </c>
      <c r="B48" s="123" t="s">
        <v>223</v>
      </c>
      <c r="C48" s="263"/>
      <c r="D48" s="264">
        <f t="shared" si="2"/>
        <v>0</v>
      </c>
      <c r="E48" s="265">
        <f t="shared" si="1"/>
        <v>0</v>
      </c>
      <c r="F48" s="224"/>
      <c r="G48" s="224"/>
      <c r="H48" s="224"/>
      <c r="I48" s="224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</row>
    <row r="49" spans="1:44" ht="16.2" hidden="1" thickBot="1" x14ac:dyDescent="0.35">
      <c r="A49" s="122" t="s">
        <v>46</v>
      </c>
      <c r="B49" s="123" t="s">
        <v>224</v>
      </c>
      <c r="C49" s="263"/>
      <c r="D49" s="264">
        <f t="shared" si="2"/>
        <v>0</v>
      </c>
      <c r="E49" s="265">
        <f t="shared" si="1"/>
        <v>0</v>
      </c>
      <c r="F49" s="224"/>
      <c r="G49" s="224"/>
      <c r="H49" s="224"/>
      <c r="I49" s="224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</row>
    <row r="50" spans="1:44" ht="16.2" thickBot="1" x14ac:dyDescent="0.35">
      <c r="A50" s="122" t="s">
        <v>47</v>
      </c>
      <c r="B50" s="123" t="s">
        <v>225</v>
      </c>
      <c r="C50" s="263">
        <v>597313</v>
      </c>
      <c r="D50" s="264">
        <f t="shared" si="2"/>
        <v>597313</v>
      </c>
      <c r="E50" s="265">
        <f t="shared" si="1"/>
        <v>0</v>
      </c>
      <c r="F50" s="224"/>
      <c r="G50" s="224"/>
      <c r="H50" s="224"/>
      <c r="I50" s="224"/>
      <c r="J50" s="150"/>
      <c r="K50" s="150"/>
      <c r="L50" s="150"/>
      <c r="M50" s="150">
        <v>141923</v>
      </c>
      <c r="N50" s="150">
        <v>141923</v>
      </c>
      <c r="O50" s="150">
        <v>21975</v>
      </c>
      <c r="P50" s="150">
        <v>113248</v>
      </c>
      <c r="Q50" s="150"/>
      <c r="R50" s="150">
        <f>96644+55499-141923</f>
        <v>10220</v>
      </c>
      <c r="S50" s="150"/>
      <c r="T50" s="150">
        <v>145889</v>
      </c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>
        <v>22135</v>
      </c>
      <c r="AO50" s="150"/>
      <c r="AP50" s="150"/>
      <c r="AQ50" s="150"/>
      <c r="AR50" s="150"/>
    </row>
    <row r="51" spans="1:44" ht="16.2" hidden="1" thickBot="1" x14ac:dyDescent="0.35">
      <c r="A51" s="122" t="s">
        <v>48</v>
      </c>
      <c r="B51" s="123" t="s">
        <v>226</v>
      </c>
      <c r="C51" s="263"/>
      <c r="D51" s="264">
        <f t="shared" si="2"/>
        <v>0</v>
      </c>
      <c r="E51" s="265">
        <f t="shared" si="1"/>
        <v>0</v>
      </c>
      <c r="F51" s="224"/>
      <c r="G51" s="224"/>
      <c r="H51" s="224"/>
      <c r="I51" s="224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</row>
    <row r="52" spans="1:44" ht="16.2" hidden="1" thickBot="1" x14ac:dyDescent="0.35">
      <c r="A52" s="122" t="s">
        <v>49</v>
      </c>
      <c r="B52" s="123" t="s">
        <v>227</v>
      </c>
      <c r="C52" s="263"/>
      <c r="D52" s="264">
        <f t="shared" si="2"/>
        <v>0</v>
      </c>
      <c r="E52" s="265">
        <f t="shared" si="1"/>
        <v>0</v>
      </c>
      <c r="F52" s="224"/>
      <c r="G52" s="224"/>
      <c r="H52" s="224"/>
      <c r="I52" s="224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</row>
    <row r="53" spans="1:44" ht="16.2" hidden="1" thickBot="1" x14ac:dyDescent="0.35">
      <c r="A53" s="122" t="s">
        <v>50</v>
      </c>
      <c r="B53" s="123" t="s">
        <v>228</v>
      </c>
      <c r="C53" s="263"/>
      <c r="D53" s="264">
        <f t="shared" si="2"/>
        <v>0</v>
      </c>
      <c r="E53" s="265">
        <f t="shared" si="1"/>
        <v>0</v>
      </c>
      <c r="F53" s="224"/>
      <c r="G53" s="224"/>
      <c r="H53" s="224"/>
      <c r="I53" s="224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</row>
    <row r="54" spans="1:44" ht="16.2" hidden="1" thickBot="1" x14ac:dyDescent="0.35">
      <c r="A54" s="122" t="s">
        <v>51</v>
      </c>
      <c r="B54" s="123" t="s">
        <v>229</v>
      </c>
      <c r="C54" s="263"/>
      <c r="D54" s="264">
        <f t="shared" si="2"/>
        <v>0</v>
      </c>
      <c r="E54" s="265">
        <f t="shared" si="1"/>
        <v>0</v>
      </c>
      <c r="F54" s="224"/>
      <c r="G54" s="224"/>
      <c r="H54" s="224"/>
      <c r="I54" s="224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</row>
    <row r="55" spans="1:44" ht="16.2" hidden="1" thickBot="1" x14ac:dyDescent="0.35">
      <c r="A55" s="122" t="s">
        <v>52</v>
      </c>
      <c r="B55" s="123" t="s">
        <v>230</v>
      </c>
      <c r="C55" s="263"/>
      <c r="D55" s="264">
        <f t="shared" si="2"/>
        <v>0</v>
      </c>
      <c r="E55" s="265">
        <f t="shared" si="1"/>
        <v>0</v>
      </c>
      <c r="F55" s="224"/>
      <c r="G55" s="224"/>
      <c r="H55" s="224"/>
      <c r="I55" s="224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</row>
    <row r="56" spans="1:44" ht="16.2" hidden="1" thickBot="1" x14ac:dyDescent="0.35">
      <c r="A56" s="122" t="s">
        <v>53</v>
      </c>
      <c r="B56" s="123" t="s">
        <v>231</v>
      </c>
      <c r="C56" s="263"/>
      <c r="D56" s="264">
        <f t="shared" si="2"/>
        <v>0</v>
      </c>
      <c r="E56" s="265">
        <f t="shared" si="1"/>
        <v>0</v>
      </c>
      <c r="F56" s="224"/>
      <c r="G56" s="224"/>
      <c r="H56" s="224"/>
      <c r="I56" s="224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</row>
    <row r="57" spans="1:44" ht="16.2" hidden="1" thickBot="1" x14ac:dyDescent="0.35">
      <c r="A57" s="122" t="s">
        <v>54</v>
      </c>
      <c r="B57" s="123" t="s">
        <v>232</v>
      </c>
      <c r="C57" s="263"/>
      <c r="D57" s="264">
        <f t="shared" si="2"/>
        <v>0</v>
      </c>
      <c r="E57" s="265">
        <f t="shared" si="1"/>
        <v>0</v>
      </c>
      <c r="F57" s="224"/>
      <c r="G57" s="224"/>
      <c r="H57" s="224"/>
      <c r="I57" s="224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</row>
    <row r="58" spans="1:44" ht="16.2" hidden="1" thickBot="1" x14ac:dyDescent="0.35">
      <c r="A58" s="122" t="s">
        <v>55</v>
      </c>
      <c r="B58" s="123" t="s">
        <v>233</v>
      </c>
      <c r="C58" s="263"/>
      <c r="D58" s="264">
        <f t="shared" si="2"/>
        <v>0</v>
      </c>
      <c r="E58" s="265">
        <f t="shared" si="1"/>
        <v>0</v>
      </c>
      <c r="F58" s="224"/>
      <c r="G58" s="224"/>
      <c r="H58" s="224"/>
      <c r="I58" s="224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</row>
    <row r="59" spans="1:44" ht="16.2" hidden="1" thickBot="1" x14ac:dyDescent="0.35">
      <c r="A59" s="122" t="s">
        <v>56</v>
      </c>
      <c r="B59" s="123" t="s">
        <v>234</v>
      </c>
      <c r="C59" s="263"/>
      <c r="D59" s="264">
        <f t="shared" si="2"/>
        <v>0</v>
      </c>
      <c r="E59" s="265">
        <f t="shared" si="1"/>
        <v>0</v>
      </c>
      <c r="F59" s="224"/>
      <c r="G59" s="224"/>
      <c r="H59" s="224"/>
      <c r="I59" s="224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</row>
    <row r="60" spans="1:44" ht="16.2" hidden="1" thickBot="1" x14ac:dyDescent="0.35">
      <c r="A60" s="122" t="s">
        <v>57</v>
      </c>
      <c r="B60" s="123" t="s">
        <v>235</v>
      </c>
      <c r="C60" s="263"/>
      <c r="D60" s="264">
        <f t="shared" si="2"/>
        <v>0</v>
      </c>
      <c r="E60" s="265">
        <f t="shared" si="1"/>
        <v>0</v>
      </c>
      <c r="F60" s="224"/>
      <c r="G60" s="224"/>
      <c r="H60" s="224"/>
      <c r="I60" s="224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</row>
    <row r="61" spans="1:44" ht="16.2" hidden="1" thickBot="1" x14ac:dyDescent="0.35">
      <c r="A61" s="122" t="s">
        <v>58</v>
      </c>
      <c r="B61" s="123" t="s">
        <v>236</v>
      </c>
      <c r="C61" s="263"/>
      <c r="D61" s="264">
        <f t="shared" si="2"/>
        <v>0</v>
      </c>
      <c r="E61" s="265">
        <f t="shared" si="1"/>
        <v>0</v>
      </c>
      <c r="F61" s="224"/>
      <c r="G61" s="224"/>
      <c r="H61" s="224"/>
      <c r="I61" s="224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</row>
    <row r="62" spans="1:44" ht="16.2" hidden="1" thickBot="1" x14ac:dyDescent="0.35">
      <c r="A62" s="122" t="s">
        <v>59</v>
      </c>
      <c r="B62" s="123" t="s">
        <v>237</v>
      </c>
      <c r="C62" s="263"/>
      <c r="D62" s="264">
        <f t="shared" si="2"/>
        <v>0</v>
      </c>
      <c r="E62" s="265">
        <f t="shared" si="1"/>
        <v>0</v>
      </c>
      <c r="F62" s="224"/>
      <c r="G62" s="224"/>
      <c r="H62" s="224"/>
      <c r="I62" s="224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</row>
    <row r="63" spans="1:44" ht="16.2" thickBot="1" x14ac:dyDescent="0.35">
      <c r="A63" s="122" t="s">
        <v>60</v>
      </c>
      <c r="B63" s="123" t="s">
        <v>238</v>
      </c>
      <c r="C63" s="263">
        <v>40443</v>
      </c>
      <c r="D63" s="264">
        <f t="shared" si="2"/>
        <v>40443</v>
      </c>
      <c r="E63" s="265">
        <f t="shared" si="1"/>
        <v>0</v>
      </c>
      <c r="F63" s="224"/>
      <c r="G63" s="224"/>
      <c r="H63" s="224"/>
      <c r="I63" s="224"/>
      <c r="J63" s="150"/>
      <c r="K63" s="150"/>
      <c r="L63" s="150"/>
      <c r="M63" s="150"/>
      <c r="N63" s="150"/>
      <c r="O63" s="150"/>
      <c r="P63" s="150"/>
      <c r="Q63" s="150"/>
      <c r="R63" s="150">
        <v>235</v>
      </c>
      <c r="S63" s="150">
        <v>402</v>
      </c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>
        <v>14753</v>
      </c>
      <c r="AL63" s="150">
        <v>4183</v>
      </c>
      <c r="AM63" s="150">
        <v>4270</v>
      </c>
      <c r="AN63" s="150">
        <v>7998</v>
      </c>
      <c r="AO63" s="150">
        <v>6551</v>
      </c>
      <c r="AP63" s="150"/>
      <c r="AQ63" s="150"/>
      <c r="AR63" s="150">
        <v>2051</v>
      </c>
    </row>
    <row r="64" spans="1:44" ht="16.2" hidden="1" thickBot="1" x14ac:dyDescent="0.35">
      <c r="A64" s="122" t="s">
        <v>61</v>
      </c>
      <c r="B64" s="123" t="s">
        <v>239</v>
      </c>
      <c r="C64" s="263"/>
      <c r="D64" s="264">
        <f t="shared" si="2"/>
        <v>0</v>
      </c>
      <c r="E64" s="265">
        <f t="shared" si="1"/>
        <v>0</v>
      </c>
      <c r="F64" s="224"/>
      <c r="G64" s="224"/>
      <c r="H64" s="224"/>
      <c r="I64" s="224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</row>
    <row r="65" spans="1:44" ht="16.2" hidden="1" thickBot="1" x14ac:dyDescent="0.35">
      <c r="A65" s="122" t="s">
        <v>62</v>
      </c>
      <c r="B65" s="123" t="s">
        <v>240</v>
      </c>
      <c r="C65" s="263"/>
      <c r="D65" s="264">
        <f t="shared" si="2"/>
        <v>0</v>
      </c>
      <c r="E65" s="265">
        <f t="shared" si="1"/>
        <v>0</v>
      </c>
      <c r="F65" s="224"/>
      <c r="G65" s="224"/>
      <c r="H65" s="224"/>
      <c r="I65" s="224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</row>
    <row r="66" spans="1:44" ht="16.2" hidden="1" thickBot="1" x14ac:dyDescent="0.35">
      <c r="A66" s="122" t="s">
        <v>63</v>
      </c>
      <c r="B66" s="123" t="s">
        <v>241</v>
      </c>
      <c r="C66" s="263"/>
      <c r="D66" s="264">
        <f t="shared" si="2"/>
        <v>0</v>
      </c>
      <c r="E66" s="265">
        <f t="shared" si="1"/>
        <v>0</v>
      </c>
      <c r="F66" s="224"/>
      <c r="G66" s="224"/>
      <c r="H66" s="224"/>
      <c r="I66" s="224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</row>
    <row r="67" spans="1:44" ht="16.2" hidden="1" thickBot="1" x14ac:dyDescent="0.35">
      <c r="A67" s="122" t="s">
        <v>64</v>
      </c>
      <c r="B67" s="123" t="s">
        <v>242</v>
      </c>
      <c r="C67" s="263"/>
      <c r="D67" s="264">
        <f t="shared" si="2"/>
        <v>0</v>
      </c>
      <c r="E67" s="265">
        <f t="shared" si="1"/>
        <v>0</v>
      </c>
      <c r="F67" s="224"/>
      <c r="G67" s="224"/>
      <c r="H67" s="224"/>
      <c r="I67" s="224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</row>
    <row r="68" spans="1:44" ht="16.2" hidden="1" thickBot="1" x14ac:dyDescent="0.35">
      <c r="A68" s="122" t="s">
        <v>65</v>
      </c>
      <c r="B68" s="123" t="s">
        <v>243</v>
      </c>
      <c r="C68" s="263"/>
      <c r="D68" s="264">
        <f t="shared" si="2"/>
        <v>0</v>
      </c>
      <c r="E68" s="265">
        <f t="shared" si="1"/>
        <v>0</v>
      </c>
      <c r="F68" s="224"/>
      <c r="G68" s="224"/>
      <c r="H68" s="224"/>
      <c r="I68" s="224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</row>
    <row r="69" spans="1:44" ht="16.2" hidden="1" thickBot="1" x14ac:dyDescent="0.35">
      <c r="A69" s="122" t="s">
        <v>66</v>
      </c>
      <c r="B69" s="123" t="s">
        <v>244</v>
      </c>
      <c r="C69" s="263"/>
      <c r="D69" s="264">
        <f t="shared" si="2"/>
        <v>0</v>
      </c>
      <c r="E69" s="265">
        <f t="shared" si="1"/>
        <v>0</v>
      </c>
      <c r="F69" s="224"/>
      <c r="G69" s="224"/>
      <c r="H69" s="224"/>
      <c r="I69" s="224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</row>
    <row r="70" spans="1:44" ht="16.2" hidden="1" thickBot="1" x14ac:dyDescent="0.35">
      <c r="A70" s="122" t="s">
        <v>67</v>
      </c>
      <c r="B70" s="123" t="s">
        <v>245</v>
      </c>
      <c r="C70" s="263"/>
      <c r="D70" s="264">
        <f t="shared" si="2"/>
        <v>0</v>
      </c>
      <c r="E70" s="265">
        <f t="shared" si="1"/>
        <v>0</v>
      </c>
      <c r="F70" s="224"/>
      <c r="G70" s="224"/>
      <c r="H70" s="224"/>
      <c r="I70" s="224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</row>
    <row r="71" spans="1:44" ht="16.2" hidden="1" thickBot="1" x14ac:dyDescent="0.35">
      <c r="A71" s="122" t="s">
        <v>68</v>
      </c>
      <c r="B71" s="123" t="s">
        <v>246</v>
      </c>
      <c r="C71" s="263"/>
      <c r="D71" s="264">
        <f t="shared" si="2"/>
        <v>0</v>
      </c>
      <c r="E71" s="265">
        <f t="shared" si="1"/>
        <v>0</v>
      </c>
      <c r="F71" s="224"/>
      <c r="G71" s="224"/>
      <c r="H71" s="224"/>
      <c r="I71" s="224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</row>
    <row r="72" spans="1:44" ht="16.2" hidden="1" thickBot="1" x14ac:dyDescent="0.35">
      <c r="A72" s="122" t="s">
        <v>69</v>
      </c>
      <c r="B72" s="123" t="s">
        <v>247</v>
      </c>
      <c r="C72" s="263"/>
      <c r="D72" s="264">
        <f t="shared" si="2"/>
        <v>0</v>
      </c>
      <c r="E72" s="265">
        <f t="shared" si="1"/>
        <v>0</v>
      </c>
      <c r="F72" s="224"/>
      <c r="G72" s="224"/>
      <c r="H72" s="224"/>
      <c r="I72" s="224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</row>
    <row r="73" spans="1:44" ht="16.2" hidden="1" thickBot="1" x14ac:dyDescent="0.35">
      <c r="A73" s="122" t="s">
        <v>70</v>
      </c>
      <c r="B73" s="123" t="s">
        <v>248</v>
      </c>
      <c r="C73" s="263"/>
      <c r="D73" s="264">
        <f t="shared" si="2"/>
        <v>0</v>
      </c>
      <c r="E73" s="265">
        <f t="shared" si="1"/>
        <v>0</v>
      </c>
      <c r="F73" s="224"/>
      <c r="G73" s="224"/>
      <c r="H73" s="224"/>
      <c r="I73" s="224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</row>
    <row r="74" spans="1:44" ht="16.2" thickBot="1" x14ac:dyDescent="0.35">
      <c r="A74" s="122" t="s">
        <v>71</v>
      </c>
      <c r="B74" s="123" t="s">
        <v>249</v>
      </c>
      <c r="C74" s="263">
        <v>130663</v>
      </c>
      <c r="D74" s="264">
        <f t="shared" si="2"/>
        <v>130663</v>
      </c>
      <c r="E74" s="265">
        <f t="shared" si="1"/>
        <v>0</v>
      </c>
      <c r="F74" s="224"/>
      <c r="G74" s="224"/>
      <c r="H74" s="224"/>
      <c r="I74" s="224"/>
      <c r="J74" s="150"/>
      <c r="K74" s="150"/>
      <c r="L74" s="150"/>
      <c r="M74" s="150">
        <v>20921</v>
      </c>
      <c r="N74" s="150"/>
      <c r="O74" s="150"/>
      <c r="P74" s="150">
        <v>32354</v>
      </c>
      <c r="Q74" s="150">
        <v>31396</v>
      </c>
      <c r="R74" s="150"/>
      <c r="S74" s="150">
        <v>29380</v>
      </c>
      <c r="T74" s="150"/>
      <c r="U74" s="150"/>
      <c r="V74" s="150"/>
      <c r="W74" s="150">
        <v>16580</v>
      </c>
      <c r="X74" s="150">
        <v>32</v>
      </c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</row>
    <row r="75" spans="1:44" ht="16.2" hidden="1" thickBot="1" x14ac:dyDescent="0.35">
      <c r="A75" s="122" t="s">
        <v>72</v>
      </c>
      <c r="B75" s="123" t="s">
        <v>250</v>
      </c>
      <c r="C75" s="263"/>
      <c r="D75" s="264">
        <f t="shared" si="2"/>
        <v>0</v>
      </c>
      <c r="E75" s="265">
        <f t="shared" si="1"/>
        <v>0</v>
      </c>
      <c r="F75" s="224"/>
      <c r="G75" s="224"/>
      <c r="H75" s="224"/>
      <c r="I75" s="224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</row>
    <row r="76" spans="1:44" ht="16.2" hidden="1" thickBot="1" x14ac:dyDescent="0.35">
      <c r="A76" s="122" t="s">
        <v>73</v>
      </c>
      <c r="B76" s="123" t="s">
        <v>251</v>
      </c>
      <c r="C76" s="263"/>
      <c r="D76" s="264">
        <f t="shared" si="2"/>
        <v>0</v>
      </c>
      <c r="E76" s="265">
        <f t="shared" ref="E76:E139" si="3">C76-D76</f>
        <v>0</v>
      </c>
      <c r="F76" s="224"/>
      <c r="G76" s="224"/>
      <c r="H76" s="224"/>
      <c r="I76" s="224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</row>
    <row r="77" spans="1:44" ht="16.2" hidden="1" thickBot="1" x14ac:dyDescent="0.35">
      <c r="A77" s="122" t="s">
        <v>74</v>
      </c>
      <c r="B77" s="123" t="s">
        <v>252</v>
      </c>
      <c r="C77" s="263"/>
      <c r="D77" s="264">
        <f t="shared" si="2"/>
        <v>0</v>
      </c>
      <c r="E77" s="265">
        <f t="shared" si="3"/>
        <v>0</v>
      </c>
      <c r="F77" s="224"/>
      <c r="G77" s="224"/>
      <c r="H77" s="224"/>
      <c r="I77" s="224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</row>
    <row r="78" spans="1:44" ht="16.2" hidden="1" thickBot="1" x14ac:dyDescent="0.35">
      <c r="A78" s="122" t="s">
        <v>75</v>
      </c>
      <c r="B78" s="123" t="s">
        <v>253</v>
      </c>
      <c r="C78" s="263"/>
      <c r="D78" s="264">
        <f t="shared" si="2"/>
        <v>0</v>
      </c>
      <c r="E78" s="265">
        <f t="shared" si="3"/>
        <v>0</v>
      </c>
      <c r="F78" s="224"/>
      <c r="G78" s="224"/>
      <c r="H78" s="224"/>
      <c r="I78" s="224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</row>
    <row r="79" spans="1:44" ht="16.2" hidden="1" thickBot="1" x14ac:dyDescent="0.35">
      <c r="A79" s="122" t="s">
        <v>76</v>
      </c>
      <c r="B79" s="123" t="s">
        <v>254</v>
      </c>
      <c r="C79" s="263"/>
      <c r="D79" s="264">
        <f t="shared" si="2"/>
        <v>0</v>
      </c>
      <c r="E79" s="265">
        <f t="shared" si="3"/>
        <v>0</v>
      </c>
      <c r="F79" s="224"/>
      <c r="G79" s="224"/>
      <c r="H79" s="224"/>
      <c r="I79" s="224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</row>
    <row r="80" spans="1:44" ht="16.2" hidden="1" thickBot="1" x14ac:dyDescent="0.35">
      <c r="A80" s="122" t="s">
        <v>77</v>
      </c>
      <c r="B80" s="123" t="s">
        <v>255</v>
      </c>
      <c r="C80" s="263"/>
      <c r="D80" s="264">
        <f t="shared" si="2"/>
        <v>0</v>
      </c>
      <c r="E80" s="265">
        <f t="shared" si="3"/>
        <v>0</v>
      </c>
      <c r="F80" s="224"/>
      <c r="G80" s="224"/>
      <c r="H80" s="224"/>
      <c r="I80" s="224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</row>
    <row r="81" spans="1:44" ht="16.2" hidden="1" thickBot="1" x14ac:dyDescent="0.35">
      <c r="A81" s="122" t="s">
        <v>78</v>
      </c>
      <c r="B81" s="123" t="s">
        <v>256</v>
      </c>
      <c r="C81" s="263"/>
      <c r="D81" s="264">
        <f t="shared" si="2"/>
        <v>0</v>
      </c>
      <c r="E81" s="265">
        <f t="shared" si="3"/>
        <v>0</v>
      </c>
      <c r="F81" s="224"/>
      <c r="G81" s="224"/>
      <c r="H81" s="224"/>
      <c r="I81" s="224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</row>
    <row r="82" spans="1:44" ht="16.2" hidden="1" thickBot="1" x14ac:dyDescent="0.35">
      <c r="A82" s="122" t="s">
        <v>79</v>
      </c>
      <c r="B82" s="123" t="s">
        <v>257</v>
      </c>
      <c r="C82" s="263"/>
      <c r="D82" s="264">
        <f t="shared" si="2"/>
        <v>0</v>
      </c>
      <c r="E82" s="265">
        <f t="shared" si="3"/>
        <v>0</v>
      </c>
      <c r="F82" s="224"/>
      <c r="G82" s="224"/>
      <c r="H82" s="224"/>
      <c r="I82" s="224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</row>
    <row r="83" spans="1:44" ht="16.2" hidden="1" thickBot="1" x14ac:dyDescent="0.35">
      <c r="A83" s="122" t="s">
        <v>80</v>
      </c>
      <c r="B83" s="123" t="s">
        <v>258</v>
      </c>
      <c r="C83" s="263"/>
      <c r="D83" s="264">
        <f t="shared" ref="D83:D146" si="4">SUM(F83:BD83)</f>
        <v>0</v>
      </c>
      <c r="E83" s="265">
        <f t="shared" si="3"/>
        <v>0</v>
      </c>
      <c r="F83" s="224"/>
      <c r="G83" s="224"/>
      <c r="H83" s="224"/>
      <c r="I83" s="224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</row>
    <row r="84" spans="1:44" ht="16.2" hidden="1" thickBot="1" x14ac:dyDescent="0.35">
      <c r="A84" s="122" t="s">
        <v>81</v>
      </c>
      <c r="B84" s="123" t="s">
        <v>259</v>
      </c>
      <c r="C84" s="263"/>
      <c r="D84" s="264">
        <f t="shared" si="4"/>
        <v>0</v>
      </c>
      <c r="E84" s="265">
        <f t="shared" si="3"/>
        <v>0</v>
      </c>
      <c r="F84" s="224"/>
      <c r="G84" s="224"/>
      <c r="H84" s="224"/>
      <c r="I84" s="224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</row>
    <row r="85" spans="1:44" ht="16.2" hidden="1" thickBot="1" x14ac:dyDescent="0.35">
      <c r="A85" s="122" t="s">
        <v>82</v>
      </c>
      <c r="B85" s="123" t="s">
        <v>260</v>
      </c>
      <c r="C85" s="263"/>
      <c r="D85" s="264">
        <f t="shared" si="4"/>
        <v>0</v>
      </c>
      <c r="E85" s="265">
        <f t="shared" si="3"/>
        <v>0</v>
      </c>
      <c r="F85" s="224"/>
      <c r="G85" s="224"/>
      <c r="H85" s="224"/>
      <c r="I85" s="224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</row>
    <row r="86" spans="1:44" ht="16.2" hidden="1" thickBot="1" x14ac:dyDescent="0.35">
      <c r="A86" s="122" t="s">
        <v>83</v>
      </c>
      <c r="B86" s="123" t="s">
        <v>261</v>
      </c>
      <c r="C86" s="263"/>
      <c r="D86" s="264">
        <f t="shared" si="4"/>
        <v>0</v>
      </c>
      <c r="E86" s="265">
        <f t="shared" si="3"/>
        <v>0</v>
      </c>
      <c r="F86" s="224"/>
      <c r="G86" s="224"/>
      <c r="H86" s="224"/>
      <c r="I86" s="224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</row>
    <row r="87" spans="1:44" ht="16.2" hidden="1" thickBot="1" x14ac:dyDescent="0.35">
      <c r="A87" s="122" t="s">
        <v>84</v>
      </c>
      <c r="B87" s="124" t="s">
        <v>262</v>
      </c>
      <c r="C87" s="263"/>
      <c r="D87" s="264">
        <f t="shared" si="4"/>
        <v>0</v>
      </c>
      <c r="E87" s="265">
        <f t="shared" si="3"/>
        <v>0</v>
      </c>
      <c r="F87" s="224"/>
      <c r="G87" s="224"/>
      <c r="H87" s="224"/>
      <c r="I87" s="224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</row>
    <row r="88" spans="1:44" ht="16.2" hidden="1" thickBot="1" x14ac:dyDescent="0.35">
      <c r="A88" s="122" t="s">
        <v>85</v>
      </c>
      <c r="B88" s="123" t="s">
        <v>263</v>
      </c>
      <c r="C88" s="263"/>
      <c r="D88" s="264">
        <f t="shared" si="4"/>
        <v>0</v>
      </c>
      <c r="E88" s="265">
        <f t="shared" si="3"/>
        <v>0</v>
      </c>
      <c r="F88" s="224"/>
      <c r="G88" s="224"/>
      <c r="H88" s="224"/>
      <c r="I88" s="224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</row>
    <row r="89" spans="1:44" ht="16.2" hidden="1" thickBot="1" x14ac:dyDescent="0.35">
      <c r="A89" s="122" t="s">
        <v>86</v>
      </c>
      <c r="B89" s="123" t="s">
        <v>264</v>
      </c>
      <c r="C89" s="263"/>
      <c r="D89" s="264">
        <f t="shared" si="4"/>
        <v>0</v>
      </c>
      <c r="E89" s="265">
        <f t="shared" si="3"/>
        <v>0</v>
      </c>
      <c r="F89" s="224"/>
      <c r="G89" s="224"/>
      <c r="H89" s="224"/>
      <c r="I89" s="224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</row>
    <row r="90" spans="1:44" ht="16.2" hidden="1" thickBot="1" x14ac:dyDescent="0.35">
      <c r="A90" s="122" t="s">
        <v>87</v>
      </c>
      <c r="B90" s="123" t="s">
        <v>265</v>
      </c>
      <c r="C90" s="263"/>
      <c r="D90" s="264">
        <f t="shared" si="4"/>
        <v>0</v>
      </c>
      <c r="E90" s="265">
        <f t="shared" si="3"/>
        <v>0</v>
      </c>
      <c r="F90" s="224"/>
      <c r="G90" s="224"/>
      <c r="H90" s="224"/>
      <c r="I90" s="224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</row>
    <row r="91" spans="1:44" ht="16.2" hidden="1" thickBot="1" x14ac:dyDescent="0.35">
      <c r="A91" s="122" t="s">
        <v>88</v>
      </c>
      <c r="B91" s="123" t="s">
        <v>266</v>
      </c>
      <c r="C91" s="263"/>
      <c r="D91" s="264">
        <f t="shared" si="4"/>
        <v>0</v>
      </c>
      <c r="E91" s="265">
        <f t="shared" si="3"/>
        <v>0</v>
      </c>
      <c r="F91" s="224"/>
      <c r="G91" s="224"/>
      <c r="H91" s="224"/>
      <c r="I91" s="224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</row>
    <row r="92" spans="1:44" ht="16.2" hidden="1" thickBot="1" x14ac:dyDescent="0.35">
      <c r="A92" s="122" t="s">
        <v>89</v>
      </c>
      <c r="B92" s="123" t="s">
        <v>267</v>
      </c>
      <c r="C92" s="263"/>
      <c r="D92" s="264">
        <f t="shared" si="4"/>
        <v>0</v>
      </c>
      <c r="E92" s="265">
        <f t="shared" si="3"/>
        <v>0</v>
      </c>
      <c r="F92" s="224"/>
      <c r="G92" s="224"/>
      <c r="H92" s="224"/>
      <c r="I92" s="224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</row>
    <row r="93" spans="1:44" ht="16.2" hidden="1" thickBot="1" x14ac:dyDescent="0.35">
      <c r="A93" s="122" t="s">
        <v>90</v>
      </c>
      <c r="B93" s="123" t="s">
        <v>268</v>
      </c>
      <c r="C93" s="263"/>
      <c r="D93" s="264">
        <f t="shared" si="4"/>
        <v>0</v>
      </c>
      <c r="E93" s="265">
        <f t="shared" si="3"/>
        <v>0</v>
      </c>
      <c r="F93" s="224"/>
      <c r="G93" s="224"/>
      <c r="H93" s="224"/>
      <c r="I93" s="224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</row>
    <row r="94" spans="1:44" ht="16.2" hidden="1" thickBot="1" x14ac:dyDescent="0.35">
      <c r="A94" s="122" t="s">
        <v>91</v>
      </c>
      <c r="B94" s="123" t="s">
        <v>269</v>
      </c>
      <c r="C94" s="263"/>
      <c r="D94" s="264">
        <f t="shared" si="4"/>
        <v>0</v>
      </c>
      <c r="E94" s="265">
        <f t="shared" si="3"/>
        <v>0</v>
      </c>
      <c r="F94" s="224"/>
      <c r="G94" s="224"/>
      <c r="H94" s="224"/>
      <c r="I94" s="224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</row>
    <row r="95" spans="1:44" ht="16.2" hidden="1" thickBot="1" x14ac:dyDescent="0.35">
      <c r="A95" s="122" t="s">
        <v>92</v>
      </c>
      <c r="B95" s="123" t="s">
        <v>270</v>
      </c>
      <c r="C95" s="263"/>
      <c r="D95" s="264">
        <f t="shared" si="4"/>
        <v>0</v>
      </c>
      <c r="E95" s="265">
        <f t="shared" si="3"/>
        <v>0</v>
      </c>
      <c r="F95" s="224"/>
      <c r="G95" s="224"/>
      <c r="H95" s="224"/>
      <c r="I95" s="224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</row>
    <row r="96" spans="1:44" ht="16.2" hidden="1" thickBot="1" x14ac:dyDescent="0.35">
      <c r="A96" s="122" t="s">
        <v>93</v>
      </c>
      <c r="B96" s="123" t="s">
        <v>271</v>
      </c>
      <c r="C96" s="263"/>
      <c r="D96" s="264">
        <f t="shared" si="4"/>
        <v>0</v>
      </c>
      <c r="E96" s="265">
        <f t="shared" si="3"/>
        <v>0</v>
      </c>
      <c r="F96" s="224"/>
      <c r="G96" s="224"/>
      <c r="H96" s="224"/>
      <c r="I96" s="224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</row>
    <row r="97" spans="1:44" ht="16.2" thickBot="1" x14ac:dyDescent="0.35">
      <c r="A97" s="122" t="s">
        <v>94</v>
      </c>
      <c r="B97" s="123" t="s">
        <v>272</v>
      </c>
      <c r="C97" s="263">
        <v>18234</v>
      </c>
      <c r="D97" s="264">
        <f t="shared" si="4"/>
        <v>18234</v>
      </c>
      <c r="E97" s="265">
        <f t="shared" si="3"/>
        <v>0</v>
      </c>
      <c r="F97" s="224"/>
      <c r="G97" s="224"/>
      <c r="H97" s="224"/>
      <c r="I97" s="224"/>
      <c r="J97" s="150"/>
      <c r="K97" s="150"/>
      <c r="L97" s="150"/>
      <c r="M97" s="150">
        <v>582</v>
      </c>
      <c r="N97" s="150">
        <f>9537+177</f>
        <v>9714</v>
      </c>
      <c r="O97" s="150">
        <v>176</v>
      </c>
      <c r="P97" s="150"/>
      <c r="Q97" s="150">
        <f>355+6955</f>
        <v>7310</v>
      </c>
      <c r="R97" s="150"/>
      <c r="S97" s="150">
        <v>447</v>
      </c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>
        <v>5</v>
      </c>
      <c r="AO97" s="150"/>
      <c r="AP97" s="150"/>
      <c r="AQ97" s="150"/>
      <c r="AR97" s="150"/>
    </row>
    <row r="98" spans="1:44" ht="16.2" hidden="1" thickBot="1" x14ac:dyDescent="0.35">
      <c r="A98" s="122" t="s">
        <v>95</v>
      </c>
      <c r="B98" s="123" t="s">
        <v>273</v>
      </c>
      <c r="C98" s="263"/>
      <c r="D98" s="264">
        <f t="shared" si="4"/>
        <v>0</v>
      </c>
      <c r="E98" s="265">
        <f t="shared" si="3"/>
        <v>0</v>
      </c>
      <c r="F98" s="224"/>
      <c r="G98" s="224"/>
      <c r="H98" s="224"/>
      <c r="I98" s="224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</row>
    <row r="99" spans="1:44" ht="16.2" hidden="1" thickBot="1" x14ac:dyDescent="0.35">
      <c r="A99" s="122" t="s">
        <v>96</v>
      </c>
      <c r="B99" s="123" t="s">
        <v>274</v>
      </c>
      <c r="C99" s="263"/>
      <c r="D99" s="264">
        <f t="shared" si="4"/>
        <v>0</v>
      </c>
      <c r="E99" s="265">
        <f t="shared" si="3"/>
        <v>0</v>
      </c>
      <c r="F99" s="224"/>
      <c r="G99" s="224"/>
      <c r="H99" s="224"/>
      <c r="I99" s="224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</row>
    <row r="100" spans="1:44" ht="16.2" thickBot="1" x14ac:dyDescent="0.35">
      <c r="A100" s="122" t="s">
        <v>97</v>
      </c>
      <c r="B100" s="123" t="s">
        <v>275</v>
      </c>
      <c r="C100" s="263">
        <v>23442</v>
      </c>
      <c r="D100" s="264">
        <f t="shared" si="4"/>
        <v>23442</v>
      </c>
      <c r="E100" s="265">
        <f t="shared" si="3"/>
        <v>0</v>
      </c>
      <c r="F100" s="224"/>
      <c r="G100" s="224"/>
      <c r="H100" s="224"/>
      <c r="I100" s="224"/>
      <c r="J100" s="150">
        <v>2577</v>
      </c>
      <c r="K100" s="150"/>
      <c r="L100" s="150"/>
      <c r="M100" s="150"/>
      <c r="N100" s="150">
        <v>10958</v>
      </c>
      <c r="O100" s="150"/>
      <c r="P100" s="150">
        <v>5591</v>
      </c>
      <c r="Q100" s="150"/>
      <c r="R100" s="150"/>
      <c r="S100" s="150"/>
      <c r="T100" s="150"/>
      <c r="U100" s="150"/>
      <c r="V100" s="150">
        <v>4311</v>
      </c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>
        <v>5</v>
      </c>
      <c r="AK100" s="150"/>
      <c r="AL100" s="150"/>
      <c r="AM100" s="150"/>
      <c r="AN100" s="150"/>
      <c r="AO100" s="150"/>
      <c r="AP100" s="150"/>
      <c r="AQ100" s="150"/>
      <c r="AR100" s="150"/>
    </row>
    <row r="101" spans="1:44" ht="16.2" hidden="1" thickBot="1" x14ac:dyDescent="0.35">
      <c r="A101" s="122" t="s">
        <v>98</v>
      </c>
      <c r="B101" s="123" t="s">
        <v>276</v>
      </c>
      <c r="C101" s="263"/>
      <c r="D101" s="264">
        <f t="shared" si="4"/>
        <v>0</v>
      </c>
      <c r="E101" s="265">
        <f t="shared" si="3"/>
        <v>0</v>
      </c>
      <c r="F101" s="224"/>
      <c r="G101" s="224"/>
      <c r="H101" s="224"/>
      <c r="I101" s="224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</row>
    <row r="102" spans="1:44" ht="16.2" hidden="1" thickBot="1" x14ac:dyDescent="0.35">
      <c r="A102" s="122" t="s">
        <v>99</v>
      </c>
      <c r="B102" s="123" t="s">
        <v>277</v>
      </c>
      <c r="C102" s="263"/>
      <c r="D102" s="264">
        <f t="shared" si="4"/>
        <v>0</v>
      </c>
      <c r="E102" s="265">
        <f t="shared" si="3"/>
        <v>0</v>
      </c>
      <c r="F102" s="224"/>
      <c r="G102" s="224"/>
      <c r="H102" s="224"/>
      <c r="I102" s="224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</row>
    <row r="103" spans="1:44" ht="16.2" hidden="1" thickBot="1" x14ac:dyDescent="0.35">
      <c r="A103" s="122" t="s">
        <v>100</v>
      </c>
      <c r="B103" s="123" t="s">
        <v>278</v>
      </c>
      <c r="C103" s="263"/>
      <c r="D103" s="264">
        <f t="shared" si="4"/>
        <v>0</v>
      </c>
      <c r="E103" s="265">
        <f t="shared" si="3"/>
        <v>0</v>
      </c>
      <c r="F103" s="224"/>
      <c r="G103" s="224"/>
      <c r="H103" s="224"/>
      <c r="I103" s="224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</row>
    <row r="104" spans="1:44" ht="16.2" hidden="1" thickBot="1" x14ac:dyDescent="0.35">
      <c r="A104" s="122" t="s">
        <v>101</v>
      </c>
      <c r="B104" s="123" t="s">
        <v>279</v>
      </c>
      <c r="C104" s="263"/>
      <c r="D104" s="264">
        <f t="shared" si="4"/>
        <v>0</v>
      </c>
      <c r="E104" s="265">
        <f t="shared" si="3"/>
        <v>0</v>
      </c>
      <c r="F104" s="224"/>
      <c r="G104" s="224"/>
      <c r="H104" s="224"/>
      <c r="I104" s="224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</row>
    <row r="105" spans="1:44" ht="16.2" hidden="1" thickBot="1" x14ac:dyDescent="0.35">
      <c r="A105" s="122" t="s">
        <v>102</v>
      </c>
      <c r="B105" s="123" t="s">
        <v>280</v>
      </c>
      <c r="C105" s="263"/>
      <c r="D105" s="264">
        <f t="shared" si="4"/>
        <v>0</v>
      </c>
      <c r="E105" s="265">
        <f t="shared" si="3"/>
        <v>0</v>
      </c>
      <c r="F105" s="224"/>
      <c r="G105" s="224"/>
      <c r="H105" s="224"/>
      <c r="I105" s="224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</row>
    <row r="106" spans="1:44" ht="16.2" hidden="1" thickBot="1" x14ac:dyDescent="0.35">
      <c r="A106" s="122" t="s">
        <v>103</v>
      </c>
      <c r="B106" s="123" t="s">
        <v>281</v>
      </c>
      <c r="C106" s="263"/>
      <c r="D106" s="264">
        <f t="shared" si="4"/>
        <v>0</v>
      </c>
      <c r="E106" s="265">
        <f t="shared" si="3"/>
        <v>0</v>
      </c>
      <c r="F106" s="224"/>
      <c r="G106" s="224"/>
      <c r="H106" s="224"/>
      <c r="I106" s="224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</row>
    <row r="107" spans="1:44" ht="16.2" hidden="1" thickBot="1" x14ac:dyDescent="0.35">
      <c r="A107" s="122" t="s">
        <v>104</v>
      </c>
      <c r="B107" s="123" t="s">
        <v>405</v>
      </c>
      <c r="C107" s="263"/>
      <c r="D107" s="264">
        <f t="shared" si="4"/>
        <v>0</v>
      </c>
      <c r="E107" s="265">
        <f t="shared" si="3"/>
        <v>0</v>
      </c>
      <c r="F107" s="224"/>
      <c r="G107" s="224"/>
      <c r="H107" s="224"/>
      <c r="I107" s="224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</row>
    <row r="108" spans="1:44" ht="16.2" hidden="1" thickBot="1" x14ac:dyDescent="0.35">
      <c r="A108" s="122" t="s">
        <v>105</v>
      </c>
      <c r="B108" s="123" t="s">
        <v>283</v>
      </c>
      <c r="C108" s="263"/>
      <c r="D108" s="264">
        <f t="shared" si="4"/>
        <v>0</v>
      </c>
      <c r="E108" s="265">
        <f t="shared" si="3"/>
        <v>0</v>
      </c>
      <c r="F108" s="224"/>
      <c r="G108" s="224"/>
      <c r="H108" s="224"/>
      <c r="I108" s="224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</row>
    <row r="109" spans="1:44" ht="16.2" hidden="1" thickBot="1" x14ac:dyDescent="0.35">
      <c r="A109" s="122" t="s">
        <v>106</v>
      </c>
      <c r="B109" s="123" t="s">
        <v>284</v>
      </c>
      <c r="C109" s="263"/>
      <c r="D109" s="264">
        <f t="shared" si="4"/>
        <v>0</v>
      </c>
      <c r="E109" s="265">
        <f t="shared" si="3"/>
        <v>0</v>
      </c>
      <c r="F109" s="224"/>
      <c r="G109" s="224"/>
      <c r="H109" s="224"/>
      <c r="I109" s="224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</row>
    <row r="110" spans="1:44" ht="16.2" hidden="1" thickBot="1" x14ac:dyDescent="0.35">
      <c r="A110" s="122" t="s">
        <v>107</v>
      </c>
      <c r="B110" s="123" t="s">
        <v>285</v>
      </c>
      <c r="C110" s="263"/>
      <c r="D110" s="264">
        <f t="shared" si="4"/>
        <v>0</v>
      </c>
      <c r="E110" s="265">
        <f t="shared" si="3"/>
        <v>0</v>
      </c>
      <c r="F110" s="224"/>
      <c r="G110" s="224"/>
      <c r="H110" s="224"/>
      <c r="I110" s="224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</row>
    <row r="111" spans="1:44" ht="16.2" hidden="1" thickBot="1" x14ac:dyDescent="0.35">
      <c r="A111" s="122" t="s">
        <v>108</v>
      </c>
      <c r="B111" s="123" t="s">
        <v>286</v>
      </c>
      <c r="C111" s="263"/>
      <c r="D111" s="264">
        <f t="shared" si="4"/>
        <v>0</v>
      </c>
      <c r="E111" s="265">
        <f t="shared" si="3"/>
        <v>0</v>
      </c>
      <c r="F111" s="224"/>
      <c r="G111" s="224"/>
      <c r="H111" s="224"/>
      <c r="I111" s="224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</row>
    <row r="112" spans="1:44" ht="16.2" hidden="1" thickBot="1" x14ac:dyDescent="0.35">
      <c r="A112" s="122" t="s">
        <v>109</v>
      </c>
      <c r="B112" s="123" t="s">
        <v>287</v>
      </c>
      <c r="C112" s="263"/>
      <c r="D112" s="264">
        <f t="shared" si="4"/>
        <v>0</v>
      </c>
      <c r="E112" s="265">
        <f t="shared" si="3"/>
        <v>0</v>
      </c>
      <c r="F112" s="224"/>
      <c r="G112" s="224"/>
      <c r="H112" s="224"/>
      <c r="I112" s="224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</row>
    <row r="113" spans="1:44" ht="16.2" hidden="1" thickBot="1" x14ac:dyDescent="0.35">
      <c r="A113" s="122" t="s">
        <v>110</v>
      </c>
      <c r="B113" s="123" t="s">
        <v>288</v>
      </c>
      <c r="C113" s="263"/>
      <c r="D113" s="264">
        <f t="shared" si="4"/>
        <v>0</v>
      </c>
      <c r="E113" s="265">
        <f t="shared" si="3"/>
        <v>0</v>
      </c>
      <c r="F113" s="224"/>
      <c r="G113" s="224"/>
      <c r="H113" s="224"/>
      <c r="I113" s="224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</row>
    <row r="114" spans="1:44" ht="16.2" hidden="1" thickBot="1" x14ac:dyDescent="0.35">
      <c r="A114" s="122" t="s">
        <v>111</v>
      </c>
      <c r="B114" s="123" t="s">
        <v>289</v>
      </c>
      <c r="C114" s="263"/>
      <c r="D114" s="264">
        <f t="shared" si="4"/>
        <v>0</v>
      </c>
      <c r="E114" s="265">
        <f t="shared" si="3"/>
        <v>0</v>
      </c>
      <c r="F114" s="224"/>
      <c r="G114" s="224"/>
      <c r="H114" s="224"/>
      <c r="I114" s="224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</row>
    <row r="115" spans="1:44" ht="16.2" hidden="1" thickBot="1" x14ac:dyDescent="0.35">
      <c r="A115" s="122" t="s">
        <v>112</v>
      </c>
      <c r="B115" s="123" t="s">
        <v>290</v>
      </c>
      <c r="C115" s="263"/>
      <c r="D115" s="264">
        <f t="shared" si="4"/>
        <v>0</v>
      </c>
      <c r="E115" s="265">
        <f t="shared" si="3"/>
        <v>0</v>
      </c>
      <c r="F115" s="224"/>
      <c r="G115" s="224"/>
      <c r="H115" s="224"/>
      <c r="I115" s="224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</row>
    <row r="116" spans="1:44" ht="16.2" hidden="1" thickBot="1" x14ac:dyDescent="0.35">
      <c r="A116" s="122" t="s">
        <v>113</v>
      </c>
      <c r="B116" s="123" t="s">
        <v>291</v>
      </c>
      <c r="C116" s="263"/>
      <c r="D116" s="264">
        <f t="shared" si="4"/>
        <v>0</v>
      </c>
      <c r="E116" s="265">
        <f t="shared" si="3"/>
        <v>0</v>
      </c>
      <c r="F116" s="224"/>
      <c r="G116" s="224"/>
      <c r="H116" s="224"/>
      <c r="I116" s="224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</row>
    <row r="117" spans="1:44" ht="16.2" hidden="1" thickBot="1" x14ac:dyDescent="0.35">
      <c r="A117" s="122" t="s">
        <v>114</v>
      </c>
      <c r="B117" s="123" t="s">
        <v>292</v>
      </c>
      <c r="C117" s="263"/>
      <c r="D117" s="264">
        <f t="shared" si="4"/>
        <v>0</v>
      </c>
      <c r="E117" s="265">
        <f t="shared" si="3"/>
        <v>0</v>
      </c>
      <c r="F117" s="224"/>
      <c r="G117" s="224"/>
      <c r="H117" s="224"/>
      <c r="I117" s="224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</row>
    <row r="118" spans="1:44" ht="16.2" thickBot="1" x14ac:dyDescent="0.35">
      <c r="A118" s="122" t="s">
        <v>115</v>
      </c>
      <c r="B118" s="123" t="s">
        <v>293</v>
      </c>
      <c r="C118" s="263">
        <v>38890</v>
      </c>
      <c r="D118" s="264">
        <f t="shared" si="4"/>
        <v>38890</v>
      </c>
      <c r="E118" s="265">
        <f t="shared" si="3"/>
        <v>0</v>
      </c>
      <c r="F118" s="224"/>
      <c r="G118" s="224"/>
      <c r="H118" s="224"/>
      <c r="I118" s="224"/>
      <c r="J118" s="150"/>
      <c r="K118" s="150"/>
      <c r="L118" s="150"/>
      <c r="M118" s="150">
        <v>1141</v>
      </c>
      <c r="N118" s="150"/>
      <c r="O118" s="150">
        <v>14319</v>
      </c>
      <c r="P118" s="150">
        <v>1370</v>
      </c>
      <c r="Q118" s="150"/>
      <c r="R118" s="150">
        <v>14949</v>
      </c>
      <c r="S118" s="150"/>
      <c r="T118" s="150"/>
      <c r="U118" s="150"/>
      <c r="V118" s="150"/>
      <c r="W118" s="150">
        <v>2778</v>
      </c>
      <c r="X118" s="150">
        <v>1389</v>
      </c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>
        <v>2944</v>
      </c>
      <c r="AM118" s="150"/>
      <c r="AN118" s="150"/>
      <c r="AO118" s="150"/>
      <c r="AP118" s="150"/>
      <c r="AQ118" s="150"/>
      <c r="AR118" s="150"/>
    </row>
    <row r="119" spans="1:44" ht="16.2" hidden="1" thickBot="1" x14ac:dyDescent="0.35">
      <c r="A119" s="122" t="s">
        <v>116</v>
      </c>
      <c r="B119" s="123" t="s">
        <v>294</v>
      </c>
      <c r="C119" s="263"/>
      <c r="D119" s="264">
        <f t="shared" si="4"/>
        <v>0</v>
      </c>
      <c r="E119" s="265">
        <f t="shared" si="3"/>
        <v>0</v>
      </c>
      <c r="F119" s="224"/>
      <c r="G119" s="224"/>
      <c r="H119" s="224"/>
      <c r="I119" s="224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</row>
    <row r="120" spans="1:44" ht="16.2" hidden="1" thickBot="1" x14ac:dyDescent="0.35">
      <c r="A120" s="122" t="s">
        <v>117</v>
      </c>
      <c r="B120" s="123" t="s">
        <v>295</v>
      </c>
      <c r="C120" s="263"/>
      <c r="D120" s="264">
        <f t="shared" si="4"/>
        <v>0</v>
      </c>
      <c r="E120" s="265">
        <f t="shared" si="3"/>
        <v>0</v>
      </c>
      <c r="F120" s="224"/>
      <c r="G120" s="224"/>
      <c r="H120" s="224"/>
      <c r="I120" s="224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</row>
    <row r="121" spans="1:44" ht="16.2" hidden="1" thickBot="1" x14ac:dyDescent="0.35">
      <c r="A121" s="122" t="s">
        <v>118</v>
      </c>
      <c r="B121" s="123" t="s">
        <v>296</v>
      </c>
      <c r="C121" s="263"/>
      <c r="D121" s="264">
        <f t="shared" si="4"/>
        <v>0</v>
      </c>
      <c r="E121" s="265">
        <f t="shared" si="3"/>
        <v>0</v>
      </c>
      <c r="F121" s="224"/>
      <c r="G121" s="224"/>
      <c r="H121" s="224"/>
      <c r="I121" s="224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</row>
    <row r="122" spans="1:44" ht="16.2" hidden="1" thickBot="1" x14ac:dyDescent="0.35">
      <c r="A122" s="122" t="s">
        <v>119</v>
      </c>
      <c r="B122" s="123" t="s">
        <v>297</v>
      </c>
      <c r="C122" s="263"/>
      <c r="D122" s="264">
        <f t="shared" si="4"/>
        <v>0</v>
      </c>
      <c r="E122" s="265">
        <f t="shared" si="3"/>
        <v>0</v>
      </c>
      <c r="F122" s="224"/>
      <c r="G122" s="224"/>
      <c r="H122" s="224"/>
      <c r="I122" s="224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</row>
    <row r="123" spans="1:44" ht="16.2" hidden="1" thickBot="1" x14ac:dyDescent="0.35">
      <c r="A123" s="122" t="s">
        <v>120</v>
      </c>
      <c r="B123" s="123" t="s">
        <v>298</v>
      </c>
      <c r="C123" s="263"/>
      <c r="D123" s="264">
        <f t="shared" si="4"/>
        <v>0</v>
      </c>
      <c r="E123" s="265">
        <f t="shared" si="3"/>
        <v>0</v>
      </c>
      <c r="F123" s="224"/>
      <c r="G123" s="224"/>
      <c r="H123" s="224"/>
      <c r="I123" s="224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</row>
    <row r="124" spans="1:44" ht="16.2" hidden="1" thickBot="1" x14ac:dyDescent="0.35">
      <c r="A124" s="122" t="s">
        <v>121</v>
      </c>
      <c r="B124" s="123" t="s">
        <v>299</v>
      </c>
      <c r="C124" s="263"/>
      <c r="D124" s="264">
        <f t="shared" si="4"/>
        <v>0</v>
      </c>
      <c r="E124" s="265">
        <f t="shared" si="3"/>
        <v>0</v>
      </c>
      <c r="F124" s="224"/>
      <c r="G124" s="224"/>
      <c r="H124" s="224"/>
      <c r="I124" s="224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</row>
    <row r="125" spans="1:44" ht="16.2" hidden="1" thickBot="1" x14ac:dyDescent="0.35">
      <c r="A125" s="122" t="s">
        <v>122</v>
      </c>
      <c r="B125" s="123" t="s">
        <v>300</v>
      </c>
      <c r="C125" s="263"/>
      <c r="D125" s="264">
        <f t="shared" si="4"/>
        <v>0</v>
      </c>
      <c r="E125" s="265">
        <f t="shared" si="3"/>
        <v>0</v>
      </c>
      <c r="F125" s="224"/>
      <c r="G125" s="224"/>
      <c r="H125" s="224"/>
      <c r="I125" s="224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</row>
    <row r="126" spans="1:44" ht="16.2" hidden="1" thickBot="1" x14ac:dyDescent="0.35">
      <c r="A126" s="122" t="s">
        <v>123</v>
      </c>
      <c r="B126" s="123" t="s">
        <v>301</v>
      </c>
      <c r="C126" s="263"/>
      <c r="D126" s="264">
        <f t="shared" si="4"/>
        <v>0</v>
      </c>
      <c r="E126" s="265">
        <f t="shared" si="3"/>
        <v>0</v>
      </c>
      <c r="F126" s="224"/>
      <c r="G126" s="224"/>
      <c r="H126" s="224"/>
      <c r="I126" s="224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</row>
    <row r="127" spans="1:44" ht="16.2" hidden="1" thickBot="1" x14ac:dyDescent="0.35">
      <c r="A127" s="122" t="s">
        <v>124</v>
      </c>
      <c r="B127" s="123" t="s">
        <v>302</v>
      </c>
      <c r="C127" s="263"/>
      <c r="D127" s="264">
        <f t="shared" si="4"/>
        <v>0</v>
      </c>
      <c r="E127" s="265">
        <f t="shared" si="3"/>
        <v>0</v>
      </c>
      <c r="F127" s="224"/>
      <c r="G127" s="224"/>
      <c r="H127" s="224"/>
      <c r="I127" s="224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</row>
    <row r="128" spans="1:44" ht="16.2" hidden="1" thickBot="1" x14ac:dyDescent="0.35">
      <c r="A128" s="122" t="s">
        <v>125</v>
      </c>
      <c r="B128" s="123" t="s">
        <v>303</v>
      </c>
      <c r="C128" s="263"/>
      <c r="D128" s="264">
        <f t="shared" si="4"/>
        <v>0</v>
      </c>
      <c r="E128" s="265">
        <f t="shared" si="3"/>
        <v>0</v>
      </c>
      <c r="F128" s="224"/>
      <c r="G128" s="224"/>
      <c r="H128" s="224"/>
      <c r="I128" s="224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</row>
    <row r="129" spans="1:44" ht="16.2" hidden="1" thickBot="1" x14ac:dyDescent="0.35">
      <c r="A129" s="122" t="s">
        <v>126</v>
      </c>
      <c r="B129" s="123" t="s">
        <v>304</v>
      </c>
      <c r="C129" s="263"/>
      <c r="D129" s="264">
        <f t="shared" si="4"/>
        <v>0</v>
      </c>
      <c r="E129" s="265">
        <f t="shared" si="3"/>
        <v>0</v>
      </c>
      <c r="F129" s="224"/>
      <c r="G129" s="224"/>
      <c r="H129" s="224"/>
      <c r="I129" s="224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</row>
    <row r="130" spans="1:44" ht="16.2" hidden="1" thickBot="1" x14ac:dyDescent="0.35">
      <c r="A130" s="122" t="s">
        <v>127</v>
      </c>
      <c r="B130" s="123" t="s">
        <v>305</v>
      </c>
      <c r="C130" s="263"/>
      <c r="D130" s="264">
        <f t="shared" si="4"/>
        <v>0</v>
      </c>
      <c r="E130" s="265">
        <f t="shared" si="3"/>
        <v>0</v>
      </c>
      <c r="F130" s="224"/>
      <c r="G130" s="224"/>
      <c r="H130" s="224"/>
      <c r="I130" s="224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</row>
    <row r="131" spans="1:44" ht="16.2" hidden="1" thickBot="1" x14ac:dyDescent="0.35">
      <c r="A131" s="122" t="s">
        <v>128</v>
      </c>
      <c r="B131" s="123" t="s">
        <v>306</v>
      </c>
      <c r="C131" s="263"/>
      <c r="D131" s="264">
        <f t="shared" si="4"/>
        <v>0</v>
      </c>
      <c r="E131" s="265">
        <f t="shared" si="3"/>
        <v>0</v>
      </c>
      <c r="F131" s="224"/>
      <c r="G131" s="224"/>
      <c r="H131" s="224"/>
      <c r="I131" s="224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</row>
    <row r="132" spans="1:44" ht="16.2" hidden="1" thickBot="1" x14ac:dyDescent="0.35">
      <c r="A132" s="122" t="s">
        <v>129</v>
      </c>
      <c r="B132" s="123" t="s">
        <v>307</v>
      </c>
      <c r="C132" s="263"/>
      <c r="D132" s="264">
        <f t="shared" si="4"/>
        <v>0</v>
      </c>
      <c r="E132" s="265">
        <f t="shared" si="3"/>
        <v>0</v>
      </c>
      <c r="F132" s="224"/>
      <c r="G132" s="224"/>
      <c r="H132" s="224"/>
      <c r="I132" s="224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</row>
    <row r="133" spans="1:44" ht="16.2" hidden="1" thickBot="1" x14ac:dyDescent="0.35">
      <c r="A133" s="122" t="s">
        <v>130</v>
      </c>
      <c r="B133" s="123" t="s">
        <v>308</v>
      </c>
      <c r="C133" s="263"/>
      <c r="D133" s="264">
        <f t="shared" si="4"/>
        <v>0</v>
      </c>
      <c r="E133" s="265">
        <f t="shared" si="3"/>
        <v>0</v>
      </c>
      <c r="F133" s="224"/>
      <c r="G133" s="224"/>
      <c r="H133" s="224"/>
      <c r="I133" s="224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</row>
    <row r="134" spans="1:44" ht="16.2" hidden="1" thickBot="1" x14ac:dyDescent="0.35">
      <c r="A134" s="122" t="s">
        <v>131</v>
      </c>
      <c r="B134" s="123" t="s">
        <v>309</v>
      </c>
      <c r="C134" s="263"/>
      <c r="D134" s="264">
        <f t="shared" si="4"/>
        <v>0</v>
      </c>
      <c r="E134" s="265">
        <f t="shared" si="3"/>
        <v>0</v>
      </c>
      <c r="F134" s="224"/>
      <c r="G134" s="224"/>
      <c r="H134" s="224"/>
      <c r="I134" s="224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</row>
    <row r="135" spans="1:44" ht="16.2" hidden="1" thickBot="1" x14ac:dyDescent="0.35">
      <c r="A135" s="122" t="s">
        <v>132</v>
      </c>
      <c r="B135" s="123" t="s">
        <v>310</v>
      </c>
      <c r="C135" s="263"/>
      <c r="D135" s="264">
        <f t="shared" si="4"/>
        <v>0</v>
      </c>
      <c r="E135" s="265">
        <f t="shared" si="3"/>
        <v>0</v>
      </c>
      <c r="F135" s="224"/>
      <c r="G135" s="224"/>
      <c r="H135" s="224"/>
      <c r="I135" s="224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</row>
    <row r="136" spans="1:44" ht="16.2" hidden="1" thickBot="1" x14ac:dyDescent="0.35">
      <c r="A136" s="122" t="s">
        <v>133</v>
      </c>
      <c r="B136" s="123" t="s">
        <v>311</v>
      </c>
      <c r="C136" s="263"/>
      <c r="D136" s="264">
        <f t="shared" si="4"/>
        <v>0</v>
      </c>
      <c r="E136" s="265">
        <f t="shared" si="3"/>
        <v>0</v>
      </c>
      <c r="F136" s="224"/>
      <c r="G136" s="224"/>
      <c r="H136" s="224"/>
      <c r="I136" s="224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</row>
    <row r="137" spans="1:44" ht="16.2" hidden="1" thickBot="1" x14ac:dyDescent="0.35">
      <c r="A137" s="122" t="s">
        <v>134</v>
      </c>
      <c r="B137" s="123" t="s">
        <v>312</v>
      </c>
      <c r="C137" s="263"/>
      <c r="D137" s="264">
        <f t="shared" si="4"/>
        <v>0</v>
      </c>
      <c r="E137" s="265">
        <f t="shared" si="3"/>
        <v>0</v>
      </c>
      <c r="F137" s="224"/>
      <c r="G137" s="224"/>
      <c r="H137" s="224"/>
      <c r="I137" s="224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</row>
    <row r="138" spans="1:44" ht="16.2" hidden="1" thickBot="1" x14ac:dyDescent="0.35">
      <c r="A138" s="122" t="s">
        <v>135</v>
      </c>
      <c r="B138" s="123" t="s">
        <v>313</v>
      </c>
      <c r="C138" s="263"/>
      <c r="D138" s="264">
        <f t="shared" si="4"/>
        <v>0</v>
      </c>
      <c r="E138" s="265">
        <f t="shared" si="3"/>
        <v>0</v>
      </c>
      <c r="F138" s="224"/>
      <c r="G138" s="224"/>
      <c r="H138" s="224"/>
      <c r="I138" s="224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</row>
    <row r="139" spans="1:44" ht="16.2" hidden="1" thickBot="1" x14ac:dyDescent="0.35">
      <c r="A139" s="122" t="s">
        <v>136</v>
      </c>
      <c r="B139" s="123" t="s">
        <v>314</v>
      </c>
      <c r="C139" s="263"/>
      <c r="D139" s="264">
        <f t="shared" si="4"/>
        <v>0</v>
      </c>
      <c r="E139" s="265">
        <f t="shared" si="3"/>
        <v>0</v>
      </c>
      <c r="F139" s="224"/>
      <c r="G139" s="224"/>
      <c r="H139" s="224"/>
      <c r="I139" s="224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</row>
    <row r="140" spans="1:44" ht="16.2" hidden="1" thickBot="1" x14ac:dyDescent="0.35">
      <c r="A140" s="122" t="s">
        <v>137</v>
      </c>
      <c r="B140" s="123" t="s">
        <v>315</v>
      </c>
      <c r="C140" s="263"/>
      <c r="D140" s="264">
        <f t="shared" si="4"/>
        <v>0</v>
      </c>
      <c r="E140" s="265">
        <f t="shared" ref="E140:E195" si="5">C140-D140</f>
        <v>0</v>
      </c>
      <c r="F140" s="224"/>
      <c r="G140" s="224"/>
      <c r="H140" s="224"/>
      <c r="I140" s="224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</row>
    <row r="141" spans="1:44" ht="16.2" hidden="1" thickBot="1" x14ac:dyDescent="0.35">
      <c r="A141" s="122" t="s">
        <v>138</v>
      </c>
      <c r="B141" s="123" t="s">
        <v>316</v>
      </c>
      <c r="C141" s="263"/>
      <c r="D141" s="264">
        <f t="shared" si="4"/>
        <v>0</v>
      </c>
      <c r="E141" s="265">
        <f t="shared" si="5"/>
        <v>0</v>
      </c>
      <c r="F141" s="224"/>
      <c r="G141" s="224"/>
      <c r="H141" s="224"/>
      <c r="I141" s="224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</row>
    <row r="142" spans="1:44" ht="16.2" hidden="1" thickBot="1" x14ac:dyDescent="0.35">
      <c r="A142" s="122" t="s">
        <v>139</v>
      </c>
      <c r="B142" s="123" t="s">
        <v>394</v>
      </c>
      <c r="C142" s="263"/>
      <c r="D142" s="264">
        <f t="shared" si="4"/>
        <v>0</v>
      </c>
      <c r="E142" s="265">
        <f t="shared" si="5"/>
        <v>0</v>
      </c>
      <c r="F142" s="224"/>
      <c r="G142" s="224"/>
      <c r="H142" s="224"/>
      <c r="I142" s="224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</row>
    <row r="143" spans="1:44" ht="16.2" hidden="1" thickBot="1" x14ac:dyDescent="0.35">
      <c r="A143" s="122" t="s">
        <v>140</v>
      </c>
      <c r="B143" s="123" t="s">
        <v>318</v>
      </c>
      <c r="C143" s="263"/>
      <c r="D143" s="264">
        <f t="shared" si="4"/>
        <v>0</v>
      </c>
      <c r="E143" s="265">
        <f t="shared" si="5"/>
        <v>0</v>
      </c>
      <c r="F143" s="224"/>
      <c r="G143" s="224"/>
      <c r="H143" s="224"/>
      <c r="I143" s="224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</row>
    <row r="144" spans="1:44" ht="16.2" hidden="1" thickBot="1" x14ac:dyDescent="0.35">
      <c r="A144" s="122" t="s">
        <v>141</v>
      </c>
      <c r="B144" s="123" t="s">
        <v>319</v>
      </c>
      <c r="C144" s="263"/>
      <c r="D144" s="264">
        <f t="shared" si="4"/>
        <v>0</v>
      </c>
      <c r="E144" s="265">
        <f t="shared" si="5"/>
        <v>0</v>
      </c>
      <c r="F144" s="224"/>
      <c r="G144" s="224"/>
      <c r="H144" s="224"/>
      <c r="I144" s="224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</row>
    <row r="145" spans="1:44" ht="16.2" hidden="1" thickBot="1" x14ac:dyDescent="0.35">
      <c r="A145" s="122" t="s">
        <v>142</v>
      </c>
      <c r="B145" s="123" t="s">
        <v>320</v>
      </c>
      <c r="C145" s="263"/>
      <c r="D145" s="264">
        <f t="shared" si="4"/>
        <v>0</v>
      </c>
      <c r="E145" s="265">
        <f t="shared" si="5"/>
        <v>0</v>
      </c>
      <c r="F145" s="224"/>
      <c r="G145" s="224"/>
      <c r="H145" s="224"/>
      <c r="I145" s="224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</row>
    <row r="146" spans="1:44" ht="16.2" hidden="1" thickBot="1" x14ac:dyDescent="0.35">
      <c r="A146" s="122" t="s">
        <v>143</v>
      </c>
      <c r="B146" s="123" t="s">
        <v>321</v>
      </c>
      <c r="C146" s="263"/>
      <c r="D146" s="264">
        <f t="shared" si="4"/>
        <v>0</v>
      </c>
      <c r="E146" s="265">
        <f t="shared" si="5"/>
        <v>0</v>
      </c>
      <c r="F146" s="224"/>
      <c r="G146" s="224"/>
      <c r="H146" s="224"/>
      <c r="I146" s="224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</row>
    <row r="147" spans="1:44" ht="16.2" thickBot="1" x14ac:dyDescent="0.35">
      <c r="A147" s="122" t="s">
        <v>144</v>
      </c>
      <c r="B147" s="123" t="s">
        <v>322</v>
      </c>
      <c r="C147" s="263">
        <v>60664</v>
      </c>
      <c r="D147" s="264">
        <f t="shared" ref="D147:D178" si="6">SUM(F147:BD147)</f>
        <v>60664</v>
      </c>
      <c r="E147" s="265">
        <f t="shared" si="5"/>
        <v>0</v>
      </c>
      <c r="F147" s="224"/>
      <c r="G147" s="224"/>
      <c r="H147" s="224"/>
      <c r="I147" s="224"/>
      <c r="J147" s="150"/>
      <c r="K147" s="150"/>
      <c r="L147" s="150"/>
      <c r="M147" s="150">
        <v>24380</v>
      </c>
      <c r="N147" s="150"/>
      <c r="O147" s="150"/>
      <c r="P147" s="150">
        <v>16025</v>
      </c>
      <c r="Q147" s="150"/>
      <c r="R147" s="150">
        <v>877</v>
      </c>
      <c r="S147" s="150"/>
      <c r="T147" s="150">
        <v>3826</v>
      </c>
      <c r="U147" s="150"/>
      <c r="V147" s="150"/>
      <c r="W147" s="150"/>
      <c r="X147" s="150">
        <v>9243</v>
      </c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>
        <v>719</v>
      </c>
      <c r="AL147" s="150">
        <v>5594</v>
      </c>
      <c r="AM147" s="150"/>
      <c r="AN147" s="150"/>
      <c r="AO147" s="150"/>
      <c r="AP147" s="150"/>
      <c r="AQ147" s="150"/>
      <c r="AR147" s="150"/>
    </row>
    <row r="148" spans="1:44" ht="16.2" hidden="1" thickBot="1" x14ac:dyDescent="0.35">
      <c r="A148" s="122" t="s">
        <v>145</v>
      </c>
      <c r="B148" s="123" t="s">
        <v>323</v>
      </c>
      <c r="C148" s="263"/>
      <c r="D148" s="264">
        <f t="shared" si="6"/>
        <v>0</v>
      </c>
      <c r="E148" s="265">
        <f t="shared" si="5"/>
        <v>0</v>
      </c>
      <c r="F148" s="224"/>
      <c r="G148" s="224"/>
      <c r="H148" s="224"/>
      <c r="I148" s="224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</row>
    <row r="149" spans="1:44" ht="16.2" hidden="1" thickBot="1" x14ac:dyDescent="0.35">
      <c r="A149" s="122" t="s">
        <v>146</v>
      </c>
      <c r="B149" s="123" t="s">
        <v>324</v>
      </c>
      <c r="C149" s="263"/>
      <c r="D149" s="264">
        <f t="shared" si="6"/>
        <v>0</v>
      </c>
      <c r="E149" s="265">
        <f t="shared" si="5"/>
        <v>0</v>
      </c>
      <c r="F149" s="224"/>
      <c r="G149" s="224"/>
      <c r="H149" s="224"/>
      <c r="I149" s="224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</row>
    <row r="150" spans="1:44" ht="16.2" hidden="1" thickBot="1" x14ac:dyDescent="0.35">
      <c r="A150" s="122" t="s">
        <v>147</v>
      </c>
      <c r="B150" s="123" t="s">
        <v>325</v>
      </c>
      <c r="C150" s="263"/>
      <c r="D150" s="264">
        <f t="shared" si="6"/>
        <v>0</v>
      </c>
      <c r="E150" s="265">
        <f t="shared" si="5"/>
        <v>0</v>
      </c>
      <c r="F150" s="224"/>
      <c r="G150" s="224"/>
      <c r="H150" s="224"/>
      <c r="I150" s="224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</row>
    <row r="151" spans="1:44" ht="16.2" hidden="1" thickBot="1" x14ac:dyDescent="0.35">
      <c r="A151" s="122" t="s">
        <v>148</v>
      </c>
      <c r="B151" s="123" t="s">
        <v>326</v>
      </c>
      <c r="C151" s="263"/>
      <c r="D151" s="264">
        <f t="shared" si="6"/>
        <v>0</v>
      </c>
      <c r="E151" s="265">
        <f t="shared" si="5"/>
        <v>0</v>
      </c>
      <c r="F151" s="224"/>
      <c r="G151" s="224"/>
      <c r="H151" s="224"/>
      <c r="I151" s="224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</row>
    <row r="152" spans="1:44" ht="16.2" hidden="1" thickBot="1" x14ac:dyDescent="0.35">
      <c r="A152" s="122" t="s">
        <v>149</v>
      </c>
      <c r="B152" s="123" t="s">
        <v>327</v>
      </c>
      <c r="C152" s="263"/>
      <c r="D152" s="264">
        <f t="shared" si="6"/>
        <v>0</v>
      </c>
      <c r="E152" s="265">
        <f t="shared" si="5"/>
        <v>0</v>
      </c>
      <c r="F152" s="224"/>
      <c r="G152" s="224"/>
      <c r="H152" s="224"/>
      <c r="I152" s="224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</row>
    <row r="153" spans="1:44" ht="16.2" hidden="1" thickBot="1" x14ac:dyDescent="0.35">
      <c r="A153" s="122" t="s">
        <v>150</v>
      </c>
      <c r="B153" s="123" t="s">
        <v>328</v>
      </c>
      <c r="C153" s="263"/>
      <c r="D153" s="264">
        <f t="shared" si="6"/>
        <v>0</v>
      </c>
      <c r="E153" s="265">
        <f t="shared" si="5"/>
        <v>0</v>
      </c>
      <c r="F153" s="224"/>
      <c r="G153" s="224"/>
      <c r="H153" s="224"/>
      <c r="I153" s="224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</row>
    <row r="154" spans="1:44" ht="16.2" hidden="1" thickBot="1" x14ac:dyDescent="0.35">
      <c r="A154" s="122" t="s">
        <v>151</v>
      </c>
      <c r="B154" s="123" t="s">
        <v>329</v>
      </c>
      <c r="C154" s="263"/>
      <c r="D154" s="264">
        <f t="shared" si="6"/>
        <v>0</v>
      </c>
      <c r="E154" s="265">
        <f t="shared" si="5"/>
        <v>0</v>
      </c>
      <c r="F154" s="224"/>
      <c r="G154" s="224"/>
      <c r="H154" s="224"/>
      <c r="I154" s="224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</row>
    <row r="155" spans="1:44" ht="16.2" hidden="1" thickBot="1" x14ac:dyDescent="0.35">
      <c r="A155" s="122" t="s">
        <v>152</v>
      </c>
      <c r="B155" s="123" t="s">
        <v>330</v>
      </c>
      <c r="C155" s="263"/>
      <c r="D155" s="264">
        <f t="shared" si="6"/>
        <v>0</v>
      </c>
      <c r="E155" s="265">
        <f t="shared" si="5"/>
        <v>0</v>
      </c>
      <c r="F155" s="224"/>
      <c r="G155" s="224"/>
      <c r="H155" s="224"/>
      <c r="I155" s="224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</row>
    <row r="156" spans="1:44" ht="16.2" hidden="1" thickBot="1" x14ac:dyDescent="0.35">
      <c r="A156" s="122" t="s">
        <v>153</v>
      </c>
      <c r="B156" s="123" t="s">
        <v>331</v>
      </c>
      <c r="C156" s="263"/>
      <c r="D156" s="264">
        <f t="shared" si="6"/>
        <v>0</v>
      </c>
      <c r="E156" s="265">
        <f t="shared" si="5"/>
        <v>0</v>
      </c>
      <c r="F156" s="224"/>
      <c r="G156" s="224"/>
      <c r="H156" s="224"/>
      <c r="I156" s="224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</row>
    <row r="157" spans="1:44" ht="16.2" hidden="1" thickBot="1" x14ac:dyDescent="0.35">
      <c r="A157" s="122" t="s">
        <v>154</v>
      </c>
      <c r="B157" s="123" t="s">
        <v>332</v>
      </c>
      <c r="C157" s="263"/>
      <c r="D157" s="264">
        <f t="shared" si="6"/>
        <v>0</v>
      </c>
      <c r="E157" s="265">
        <f t="shared" si="5"/>
        <v>0</v>
      </c>
      <c r="F157" s="224"/>
      <c r="G157" s="224"/>
      <c r="H157" s="224"/>
      <c r="I157" s="224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</row>
    <row r="158" spans="1:44" ht="16.2" hidden="1" thickBot="1" x14ac:dyDescent="0.35">
      <c r="A158" s="122" t="s">
        <v>155</v>
      </c>
      <c r="B158" s="123" t="s">
        <v>333</v>
      </c>
      <c r="C158" s="263"/>
      <c r="D158" s="264">
        <f t="shared" si="6"/>
        <v>0</v>
      </c>
      <c r="E158" s="265">
        <f t="shared" si="5"/>
        <v>0</v>
      </c>
      <c r="F158" s="224"/>
      <c r="G158" s="224"/>
      <c r="H158" s="224"/>
      <c r="I158" s="224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</row>
    <row r="159" spans="1:44" ht="16.2" hidden="1" thickBot="1" x14ac:dyDescent="0.35">
      <c r="A159" s="122" t="s">
        <v>156</v>
      </c>
      <c r="B159" s="123" t="s">
        <v>334</v>
      </c>
      <c r="C159" s="263"/>
      <c r="D159" s="264">
        <f t="shared" si="6"/>
        <v>0</v>
      </c>
      <c r="E159" s="265">
        <f t="shared" si="5"/>
        <v>0</v>
      </c>
      <c r="F159" s="224"/>
      <c r="G159" s="224"/>
      <c r="H159" s="224"/>
      <c r="I159" s="224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</row>
    <row r="160" spans="1:44" ht="16.2" hidden="1" thickBot="1" x14ac:dyDescent="0.35">
      <c r="A160" s="122" t="s">
        <v>157</v>
      </c>
      <c r="B160" s="123" t="s">
        <v>335</v>
      </c>
      <c r="C160" s="263"/>
      <c r="D160" s="264">
        <f t="shared" si="6"/>
        <v>0</v>
      </c>
      <c r="E160" s="265">
        <f t="shared" si="5"/>
        <v>0</v>
      </c>
      <c r="F160" s="224"/>
      <c r="G160" s="224"/>
      <c r="H160" s="224"/>
      <c r="I160" s="224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</row>
    <row r="161" spans="1:44" ht="16.2" hidden="1" thickBot="1" x14ac:dyDescent="0.35">
      <c r="A161" s="122" t="s">
        <v>158</v>
      </c>
      <c r="B161" s="123" t="s">
        <v>336</v>
      </c>
      <c r="C161" s="263"/>
      <c r="D161" s="264">
        <f t="shared" si="6"/>
        <v>0</v>
      </c>
      <c r="E161" s="265">
        <f t="shared" si="5"/>
        <v>0</v>
      </c>
      <c r="F161" s="224"/>
      <c r="G161" s="224"/>
      <c r="H161" s="224"/>
      <c r="I161" s="224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</row>
    <row r="162" spans="1:44" ht="16.2" hidden="1" thickBot="1" x14ac:dyDescent="0.35">
      <c r="A162" s="122" t="s">
        <v>159</v>
      </c>
      <c r="B162" s="123" t="s">
        <v>337</v>
      </c>
      <c r="C162" s="263"/>
      <c r="D162" s="264">
        <f t="shared" si="6"/>
        <v>0</v>
      </c>
      <c r="E162" s="265">
        <f t="shared" si="5"/>
        <v>0</v>
      </c>
      <c r="F162" s="224"/>
      <c r="G162" s="224"/>
      <c r="H162" s="224"/>
      <c r="I162" s="224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</row>
    <row r="163" spans="1:44" ht="16.2" hidden="1" thickBot="1" x14ac:dyDescent="0.35">
      <c r="A163" s="122" t="s">
        <v>160</v>
      </c>
      <c r="B163" s="123" t="s">
        <v>338</v>
      </c>
      <c r="C163" s="263"/>
      <c r="D163" s="264">
        <f t="shared" si="6"/>
        <v>0</v>
      </c>
      <c r="E163" s="265">
        <f t="shared" si="5"/>
        <v>0</v>
      </c>
      <c r="F163" s="224"/>
      <c r="G163" s="224"/>
      <c r="H163" s="224"/>
      <c r="I163" s="224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</row>
    <row r="164" spans="1:44" ht="16.2" hidden="1" thickBot="1" x14ac:dyDescent="0.35">
      <c r="A164" s="122" t="s">
        <v>161</v>
      </c>
      <c r="B164" s="123" t="s">
        <v>476</v>
      </c>
      <c r="C164" s="263"/>
      <c r="D164" s="264">
        <f t="shared" si="6"/>
        <v>0</v>
      </c>
      <c r="E164" s="265">
        <f t="shared" si="5"/>
        <v>0</v>
      </c>
      <c r="F164" s="224"/>
      <c r="G164" s="224"/>
      <c r="H164" s="224"/>
      <c r="I164" s="224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</row>
    <row r="165" spans="1:44" ht="16.2" hidden="1" thickBot="1" x14ac:dyDescent="0.35">
      <c r="A165" s="122" t="s">
        <v>162</v>
      </c>
      <c r="B165" s="123" t="s">
        <v>340</v>
      </c>
      <c r="C165" s="263"/>
      <c r="D165" s="264">
        <f t="shared" si="6"/>
        <v>0</v>
      </c>
      <c r="E165" s="265">
        <f t="shared" si="5"/>
        <v>0</v>
      </c>
      <c r="F165" s="224"/>
      <c r="G165" s="224"/>
      <c r="H165" s="224"/>
      <c r="I165" s="224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</row>
    <row r="166" spans="1:44" ht="16.2" hidden="1" thickBot="1" x14ac:dyDescent="0.35">
      <c r="A166" s="122" t="s">
        <v>163</v>
      </c>
      <c r="B166" s="123" t="s">
        <v>341</v>
      </c>
      <c r="C166" s="263"/>
      <c r="D166" s="264">
        <f t="shared" si="6"/>
        <v>0</v>
      </c>
      <c r="E166" s="265">
        <f t="shared" si="5"/>
        <v>0</v>
      </c>
      <c r="F166" s="224"/>
      <c r="G166" s="224"/>
      <c r="H166" s="224"/>
      <c r="I166" s="224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</row>
    <row r="167" spans="1:44" ht="16.2" hidden="1" thickBot="1" x14ac:dyDescent="0.35">
      <c r="A167" s="122" t="s">
        <v>164</v>
      </c>
      <c r="B167" s="123" t="s">
        <v>342</v>
      </c>
      <c r="C167" s="263"/>
      <c r="D167" s="264">
        <f t="shared" si="6"/>
        <v>0</v>
      </c>
      <c r="E167" s="265">
        <f t="shared" si="5"/>
        <v>0</v>
      </c>
      <c r="F167" s="224"/>
      <c r="G167" s="224"/>
      <c r="H167" s="224"/>
      <c r="I167" s="224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</row>
    <row r="168" spans="1:44" ht="16.2" hidden="1" thickBot="1" x14ac:dyDescent="0.35">
      <c r="A168" s="122" t="s">
        <v>165</v>
      </c>
      <c r="B168" s="123" t="s">
        <v>343</v>
      </c>
      <c r="C168" s="263"/>
      <c r="D168" s="264">
        <f t="shared" si="6"/>
        <v>0</v>
      </c>
      <c r="E168" s="265">
        <f t="shared" si="5"/>
        <v>0</v>
      </c>
      <c r="F168" s="224"/>
      <c r="G168" s="224"/>
      <c r="H168" s="224"/>
      <c r="I168" s="224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</row>
    <row r="169" spans="1:44" ht="16.2" hidden="1" thickBot="1" x14ac:dyDescent="0.35">
      <c r="A169" s="122" t="s">
        <v>166</v>
      </c>
      <c r="B169" s="123" t="s">
        <v>344</v>
      </c>
      <c r="C169" s="263"/>
      <c r="D169" s="264">
        <f t="shared" si="6"/>
        <v>0</v>
      </c>
      <c r="E169" s="265">
        <f t="shared" si="5"/>
        <v>0</v>
      </c>
      <c r="F169" s="224"/>
      <c r="G169" s="224"/>
      <c r="H169" s="224"/>
      <c r="I169" s="224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</row>
    <row r="170" spans="1:44" ht="16.2" hidden="1" thickBot="1" x14ac:dyDescent="0.35">
      <c r="A170" s="122" t="s">
        <v>167</v>
      </c>
      <c r="B170" s="123" t="s">
        <v>345</v>
      </c>
      <c r="C170" s="263"/>
      <c r="D170" s="264">
        <f t="shared" si="6"/>
        <v>0</v>
      </c>
      <c r="E170" s="265">
        <f t="shared" si="5"/>
        <v>0</v>
      </c>
      <c r="F170" s="224"/>
      <c r="G170" s="224"/>
      <c r="H170" s="224"/>
      <c r="I170" s="224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</row>
    <row r="171" spans="1:44" ht="16.2" hidden="1" thickBot="1" x14ac:dyDescent="0.35">
      <c r="A171" s="122" t="s">
        <v>168</v>
      </c>
      <c r="B171" s="123" t="s">
        <v>346</v>
      </c>
      <c r="C171" s="263"/>
      <c r="D171" s="264">
        <f t="shared" si="6"/>
        <v>0</v>
      </c>
      <c r="E171" s="265">
        <f t="shared" si="5"/>
        <v>0</v>
      </c>
      <c r="F171" s="224"/>
      <c r="G171" s="224"/>
      <c r="H171" s="224"/>
      <c r="I171" s="224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</row>
    <row r="172" spans="1:44" ht="16.2" hidden="1" thickBot="1" x14ac:dyDescent="0.35">
      <c r="A172" s="122" t="s">
        <v>169</v>
      </c>
      <c r="B172" s="123" t="s">
        <v>347</v>
      </c>
      <c r="C172" s="263"/>
      <c r="D172" s="264">
        <f t="shared" si="6"/>
        <v>0</v>
      </c>
      <c r="E172" s="265">
        <f t="shared" si="5"/>
        <v>0</v>
      </c>
      <c r="F172" s="224"/>
      <c r="G172" s="224"/>
      <c r="H172" s="224"/>
      <c r="I172" s="224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</row>
    <row r="173" spans="1:44" ht="16.2" hidden="1" thickBot="1" x14ac:dyDescent="0.35">
      <c r="A173" s="122" t="s">
        <v>170</v>
      </c>
      <c r="B173" s="123" t="s">
        <v>348</v>
      </c>
      <c r="C173" s="263"/>
      <c r="D173" s="264">
        <f t="shared" si="6"/>
        <v>0</v>
      </c>
      <c r="E173" s="265">
        <f t="shared" si="5"/>
        <v>0</v>
      </c>
      <c r="F173" s="224"/>
      <c r="G173" s="224"/>
      <c r="H173" s="224"/>
      <c r="I173" s="224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</row>
    <row r="174" spans="1:44" ht="16.2" hidden="1" thickBot="1" x14ac:dyDescent="0.35">
      <c r="A174" s="122" t="s">
        <v>171</v>
      </c>
      <c r="B174" s="123" t="s">
        <v>349</v>
      </c>
      <c r="C174" s="263"/>
      <c r="D174" s="264">
        <f t="shared" si="6"/>
        <v>0</v>
      </c>
      <c r="E174" s="265">
        <f t="shared" si="5"/>
        <v>0</v>
      </c>
      <c r="F174" s="224"/>
      <c r="G174" s="224"/>
      <c r="H174" s="224"/>
      <c r="I174" s="224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</row>
    <row r="175" spans="1:44" ht="16.2" hidden="1" thickBot="1" x14ac:dyDescent="0.35">
      <c r="A175" s="122" t="s">
        <v>172</v>
      </c>
      <c r="B175" s="123" t="s">
        <v>477</v>
      </c>
      <c r="C175" s="263"/>
      <c r="D175" s="264">
        <f t="shared" si="6"/>
        <v>0</v>
      </c>
      <c r="E175" s="265">
        <f t="shared" si="5"/>
        <v>0</v>
      </c>
      <c r="F175" s="224"/>
      <c r="G175" s="224"/>
      <c r="H175" s="224"/>
      <c r="I175" s="224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</row>
    <row r="176" spans="1:44" ht="16.2" hidden="1" thickBot="1" x14ac:dyDescent="0.35">
      <c r="A176" s="122" t="s">
        <v>173</v>
      </c>
      <c r="B176" s="123" t="s">
        <v>350</v>
      </c>
      <c r="C176" s="263"/>
      <c r="D176" s="264">
        <f t="shared" si="6"/>
        <v>0</v>
      </c>
      <c r="E176" s="265">
        <f t="shared" si="5"/>
        <v>0</v>
      </c>
      <c r="F176" s="224"/>
      <c r="G176" s="224"/>
      <c r="H176" s="224"/>
      <c r="I176" s="224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</row>
    <row r="177" spans="1:44" ht="16.2" hidden="1" thickBot="1" x14ac:dyDescent="0.35">
      <c r="A177" s="122" t="s">
        <v>174</v>
      </c>
      <c r="B177" s="123" t="s">
        <v>351</v>
      </c>
      <c r="C177" s="263"/>
      <c r="D177" s="264">
        <f t="shared" si="6"/>
        <v>0</v>
      </c>
      <c r="E177" s="265">
        <f t="shared" si="5"/>
        <v>0</v>
      </c>
      <c r="F177" s="224"/>
      <c r="G177" s="224"/>
      <c r="H177" s="224"/>
      <c r="I177" s="224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</row>
    <row r="178" spans="1:44" ht="16.2" thickBot="1" x14ac:dyDescent="0.35">
      <c r="A178" s="122" t="s">
        <v>175</v>
      </c>
      <c r="B178" s="123" t="s">
        <v>352</v>
      </c>
      <c r="C178" s="263">
        <v>9333</v>
      </c>
      <c r="D178" s="264">
        <f t="shared" si="6"/>
        <v>9333</v>
      </c>
      <c r="E178" s="265">
        <f t="shared" si="5"/>
        <v>0</v>
      </c>
      <c r="F178" s="224"/>
      <c r="G178" s="224"/>
      <c r="H178" s="224"/>
      <c r="I178" s="224"/>
      <c r="J178" s="150"/>
      <c r="K178" s="150"/>
      <c r="L178" s="150"/>
      <c r="M178" s="150"/>
      <c r="N178" s="150">
        <v>1020</v>
      </c>
      <c r="O178" s="150">
        <v>1367</v>
      </c>
      <c r="P178" s="150">
        <v>857</v>
      </c>
      <c r="Q178" s="150">
        <v>1290</v>
      </c>
      <c r="R178" s="150">
        <v>945</v>
      </c>
      <c r="S178" s="150"/>
      <c r="T178" s="150">
        <v>1335</v>
      </c>
      <c r="U178" s="150"/>
      <c r="V178" s="150"/>
      <c r="W178" s="150"/>
      <c r="X178" s="150">
        <v>1132</v>
      </c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>
        <v>842</v>
      </c>
      <c r="AL178" s="150">
        <v>545</v>
      </c>
      <c r="AM178" s="150"/>
      <c r="AN178" s="150"/>
      <c r="AO178" s="150"/>
      <c r="AP178" s="150"/>
      <c r="AQ178" s="150"/>
      <c r="AR178" s="150"/>
    </row>
    <row r="179" spans="1:44" ht="16.2" hidden="1" thickBot="1" x14ac:dyDescent="0.35">
      <c r="A179" s="122" t="s">
        <v>176</v>
      </c>
      <c r="B179" s="123" t="s">
        <v>353</v>
      </c>
      <c r="C179" s="263"/>
      <c r="D179" s="264">
        <f t="shared" ref="D179:D195" si="7">SUM(F179:AF179)</f>
        <v>0</v>
      </c>
      <c r="E179" s="265">
        <f t="shared" si="5"/>
        <v>0</v>
      </c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</row>
    <row r="180" spans="1:44" ht="16.2" hidden="1" thickBot="1" x14ac:dyDescent="0.35">
      <c r="A180" s="122" t="s">
        <v>177</v>
      </c>
      <c r="B180" s="123" t="s">
        <v>354</v>
      </c>
      <c r="C180" s="263"/>
      <c r="D180" s="264">
        <f t="shared" si="7"/>
        <v>0</v>
      </c>
      <c r="E180" s="265">
        <f t="shared" si="5"/>
        <v>0</v>
      </c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</row>
    <row r="181" spans="1:44" ht="16.2" hidden="1" thickBot="1" x14ac:dyDescent="0.35">
      <c r="A181" s="122" t="s">
        <v>178</v>
      </c>
      <c r="B181" s="123" t="s">
        <v>355</v>
      </c>
      <c r="C181" s="263"/>
      <c r="D181" s="264">
        <f t="shared" si="7"/>
        <v>0</v>
      </c>
      <c r="E181" s="265">
        <f t="shared" si="5"/>
        <v>0</v>
      </c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</row>
    <row r="182" spans="1:44" ht="16.2" hidden="1" thickBot="1" x14ac:dyDescent="0.35">
      <c r="A182" s="122" t="s">
        <v>179</v>
      </c>
      <c r="B182" s="123" t="s">
        <v>356</v>
      </c>
      <c r="C182" s="263"/>
      <c r="D182" s="264">
        <f t="shared" si="7"/>
        <v>0</v>
      </c>
      <c r="E182" s="265">
        <f t="shared" si="5"/>
        <v>0</v>
      </c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</row>
    <row r="183" spans="1:44" ht="16.2" hidden="1" thickBot="1" x14ac:dyDescent="0.35">
      <c r="A183" s="122" t="s">
        <v>180</v>
      </c>
      <c r="B183" s="123" t="s">
        <v>357</v>
      </c>
      <c r="C183" s="263"/>
      <c r="D183" s="264">
        <f t="shared" si="7"/>
        <v>0</v>
      </c>
      <c r="E183" s="265">
        <f t="shared" si="5"/>
        <v>0</v>
      </c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</row>
    <row r="184" spans="1:44" ht="16.2" hidden="1" thickBot="1" x14ac:dyDescent="0.35">
      <c r="A184" s="122" t="s">
        <v>181</v>
      </c>
      <c r="B184" s="123" t="s">
        <v>358</v>
      </c>
      <c r="C184" s="263"/>
      <c r="D184" s="264">
        <f t="shared" si="7"/>
        <v>0</v>
      </c>
      <c r="E184" s="265">
        <f t="shared" si="5"/>
        <v>0</v>
      </c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</row>
    <row r="185" spans="1:44" ht="16.2" hidden="1" thickBot="1" x14ac:dyDescent="0.35">
      <c r="A185" s="122" t="s">
        <v>182</v>
      </c>
      <c r="B185" s="123" t="s">
        <v>359</v>
      </c>
      <c r="C185" s="263"/>
      <c r="D185" s="264">
        <f t="shared" si="7"/>
        <v>0</v>
      </c>
      <c r="E185" s="265">
        <f t="shared" si="5"/>
        <v>0</v>
      </c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</row>
    <row r="186" spans="1:44" ht="16.2" hidden="1" thickBot="1" x14ac:dyDescent="0.35">
      <c r="A186" s="122" t="s">
        <v>183</v>
      </c>
      <c r="B186" s="123" t="s">
        <v>360</v>
      </c>
      <c r="C186" s="263"/>
      <c r="D186" s="264">
        <f t="shared" si="7"/>
        <v>0</v>
      </c>
      <c r="E186" s="265">
        <f t="shared" si="5"/>
        <v>0</v>
      </c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4"/>
      <c r="AK186" s="224"/>
      <c r="AL186" s="224"/>
      <c r="AM186" s="224"/>
      <c r="AN186" s="224"/>
      <c r="AO186" s="224"/>
      <c r="AP186" s="224"/>
      <c r="AQ186" s="224"/>
      <c r="AR186" s="224"/>
    </row>
    <row r="187" spans="1:44" ht="16.2" hidden="1" thickBot="1" x14ac:dyDescent="0.35">
      <c r="A187" s="122" t="s">
        <v>184</v>
      </c>
      <c r="B187" s="123" t="s">
        <v>361</v>
      </c>
      <c r="C187" s="263"/>
      <c r="D187" s="264">
        <f t="shared" si="7"/>
        <v>0</v>
      </c>
      <c r="E187" s="265">
        <f t="shared" si="5"/>
        <v>0</v>
      </c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4"/>
      <c r="AK187" s="224"/>
      <c r="AL187" s="224"/>
      <c r="AM187" s="224"/>
      <c r="AN187" s="224"/>
      <c r="AO187" s="224"/>
      <c r="AP187" s="224"/>
      <c r="AQ187" s="224"/>
      <c r="AR187" s="224"/>
    </row>
    <row r="188" spans="1:44" ht="16.2" hidden="1" thickBot="1" x14ac:dyDescent="0.35">
      <c r="A188" s="122" t="s">
        <v>185</v>
      </c>
      <c r="B188" s="123" t="s">
        <v>362</v>
      </c>
      <c r="C188" s="263"/>
      <c r="D188" s="264">
        <f t="shared" si="7"/>
        <v>0</v>
      </c>
      <c r="E188" s="265">
        <f t="shared" si="5"/>
        <v>0</v>
      </c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</row>
    <row r="189" spans="1:44" ht="16.2" hidden="1" thickBot="1" x14ac:dyDescent="0.35">
      <c r="A189" s="122" t="s">
        <v>366</v>
      </c>
      <c r="B189" s="123" t="s">
        <v>365</v>
      </c>
      <c r="C189" s="263"/>
      <c r="D189" s="264">
        <f t="shared" si="7"/>
        <v>0</v>
      </c>
      <c r="E189" s="265">
        <f t="shared" si="5"/>
        <v>0</v>
      </c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</row>
    <row r="190" spans="1:44" ht="16.2" hidden="1" thickBot="1" x14ac:dyDescent="0.35">
      <c r="A190" s="126">
        <v>8001</v>
      </c>
      <c r="B190" s="123" t="s">
        <v>364</v>
      </c>
      <c r="C190" s="263"/>
      <c r="D190" s="264">
        <f t="shared" si="7"/>
        <v>0</v>
      </c>
      <c r="E190" s="265">
        <f t="shared" si="5"/>
        <v>0</v>
      </c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</row>
    <row r="191" spans="1:44" ht="16.2" hidden="1" thickBot="1" x14ac:dyDescent="0.35">
      <c r="A191" s="130" t="s">
        <v>374</v>
      </c>
      <c r="B191" s="127" t="s">
        <v>379</v>
      </c>
      <c r="C191" s="263"/>
      <c r="D191" s="264">
        <f t="shared" si="7"/>
        <v>0</v>
      </c>
      <c r="E191" s="265">
        <f t="shared" si="5"/>
        <v>0</v>
      </c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</row>
    <row r="192" spans="1:44" ht="16.2" hidden="1" thickBot="1" x14ac:dyDescent="0.35">
      <c r="A192" s="130" t="s">
        <v>375</v>
      </c>
      <c r="B192" s="127" t="s">
        <v>380</v>
      </c>
      <c r="C192" s="263"/>
      <c r="D192" s="264">
        <f t="shared" si="7"/>
        <v>0</v>
      </c>
      <c r="E192" s="265">
        <f t="shared" si="5"/>
        <v>0</v>
      </c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</row>
    <row r="193" spans="1:44" ht="16.2" hidden="1" thickBot="1" x14ac:dyDescent="0.35">
      <c r="A193" s="130" t="s">
        <v>376</v>
      </c>
      <c r="B193" s="128" t="s">
        <v>381</v>
      </c>
      <c r="C193" s="263"/>
      <c r="D193" s="264">
        <f t="shared" si="7"/>
        <v>0</v>
      </c>
      <c r="E193" s="265">
        <f t="shared" si="5"/>
        <v>0</v>
      </c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</row>
    <row r="194" spans="1:44" ht="16.2" hidden="1" thickBot="1" x14ac:dyDescent="0.35">
      <c r="A194" s="130" t="s">
        <v>377</v>
      </c>
      <c r="B194" s="127" t="s">
        <v>382</v>
      </c>
      <c r="C194" s="263"/>
      <c r="D194" s="264">
        <f t="shared" si="7"/>
        <v>0</v>
      </c>
      <c r="E194" s="265">
        <f t="shared" si="5"/>
        <v>0</v>
      </c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</row>
    <row r="195" spans="1:44" ht="16.2" hidden="1" thickBot="1" x14ac:dyDescent="0.35">
      <c r="A195" s="130" t="s">
        <v>378</v>
      </c>
      <c r="B195" s="129" t="s">
        <v>383</v>
      </c>
      <c r="C195" s="266"/>
      <c r="D195" s="267">
        <f t="shared" si="7"/>
        <v>0</v>
      </c>
      <c r="E195" s="268">
        <f t="shared" si="5"/>
        <v>0</v>
      </c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</row>
    <row r="196" spans="1:44" ht="16.2" thickBot="1" x14ac:dyDescent="0.35">
      <c r="A196" s="130"/>
      <c r="B196" s="129"/>
      <c r="C196" s="269"/>
      <c r="D196" s="269"/>
      <c r="E196" s="270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</row>
    <row r="197" spans="1:44" ht="16.2" thickBot="1" x14ac:dyDescent="0.35">
      <c r="A197" s="136" t="s">
        <v>537</v>
      </c>
      <c r="B197" s="136"/>
      <c r="C197" s="271">
        <f>SUM(C11:C195)</f>
        <v>1253956</v>
      </c>
      <c r="D197" s="271">
        <f t="shared" ref="D197:AF197" si="8">SUM(D11:D195)</f>
        <v>1253956</v>
      </c>
      <c r="E197" s="271">
        <f t="shared" si="8"/>
        <v>0</v>
      </c>
      <c r="F197" s="271">
        <f t="shared" si="8"/>
        <v>0</v>
      </c>
      <c r="G197" s="271">
        <f t="shared" si="8"/>
        <v>0</v>
      </c>
      <c r="H197" s="271">
        <f t="shared" si="8"/>
        <v>0</v>
      </c>
      <c r="I197" s="271">
        <f t="shared" si="8"/>
        <v>0</v>
      </c>
      <c r="J197" s="271">
        <f t="shared" si="8"/>
        <v>2577</v>
      </c>
      <c r="K197" s="271">
        <f t="shared" si="8"/>
        <v>37140</v>
      </c>
      <c r="L197" s="271">
        <f t="shared" si="8"/>
        <v>1500</v>
      </c>
      <c r="M197" s="271">
        <f t="shared" si="8"/>
        <v>317275</v>
      </c>
      <c r="N197" s="271">
        <f t="shared" si="8"/>
        <v>169674</v>
      </c>
      <c r="O197" s="271">
        <f t="shared" si="8"/>
        <v>83870</v>
      </c>
      <c r="P197" s="271">
        <f t="shared" si="8"/>
        <v>181455</v>
      </c>
      <c r="Q197" s="271">
        <f t="shared" si="8"/>
        <v>48305</v>
      </c>
      <c r="R197" s="271">
        <f t="shared" si="8"/>
        <v>120447</v>
      </c>
      <c r="S197" s="271">
        <f t="shared" si="8"/>
        <v>31048</v>
      </c>
      <c r="T197" s="271">
        <f t="shared" si="8"/>
        <v>151050</v>
      </c>
      <c r="U197" s="271">
        <f t="shared" si="8"/>
        <v>0</v>
      </c>
      <c r="V197" s="271">
        <f t="shared" si="8"/>
        <v>4311</v>
      </c>
      <c r="W197" s="271">
        <f t="shared" si="8"/>
        <v>19358</v>
      </c>
      <c r="X197" s="271">
        <f t="shared" si="8"/>
        <v>11851</v>
      </c>
      <c r="Y197" s="271">
        <f t="shared" si="8"/>
        <v>0</v>
      </c>
      <c r="Z197" s="271">
        <f t="shared" si="8"/>
        <v>0</v>
      </c>
      <c r="AA197" s="271">
        <f t="shared" si="8"/>
        <v>0</v>
      </c>
      <c r="AB197" s="271">
        <f t="shared" si="8"/>
        <v>0</v>
      </c>
      <c r="AC197" s="271">
        <f t="shared" si="8"/>
        <v>0</v>
      </c>
      <c r="AD197" s="271">
        <f t="shared" si="8"/>
        <v>0</v>
      </c>
      <c r="AE197" s="271">
        <f t="shared" si="8"/>
        <v>0</v>
      </c>
      <c r="AF197" s="271">
        <f t="shared" si="8"/>
        <v>0</v>
      </c>
      <c r="AG197" s="271">
        <f t="shared" ref="AG197:AJ197" si="9">SUM(AG11:AG195)</f>
        <v>0</v>
      </c>
      <c r="AH197" s="271">
        <f t="shared" si="9"/>
        <v>0</v>
      </c>
      <c r="AI197" s="271">
        <f t="shared" si="9"/>
        <v>0</v>
      </c>
      <c r="AJ197" s="271">
        <f t="shared" si="9"/>
        <v>5</v>
      </c>
      <c r="AK197" s="271">
        <f t="shared" ref="AK197:AO197" si="10">SUM(AK11:AK195)</f>
        <v>16314</v>
      </c>
      <c r="AL197" s="271">
        <f t="shared" si="10"/>
        <v>13266</v>
      </c>
      <c r="AM197" s="271">
        <f t="shared" si="10"/>
        <v>5770</v>
      </c>
      <c r="AN197" s="271">
        <f t="shared" si="10"/>
        <v>30138</v>
      </c>
      <c r="AO197" s="271">
        <f t="shared" si="10"/>
        <v>6551</v>
      </c>
      <c r="AP197" s="271">
        <f t="shared" ref="AP197:AR197" si="11">SUM(AP11:AP195)</f>
        <v>0</v>
      </c>
      <c r="AQ197" s="271">
        <f t="shared" si="11"/>
        <v>0</v>
      </c>
      <c r="AR197" s="271">
        <f t="shared" si="11"/>
        <v>2051</v>
      </c>
    </row>
    <row r="199" spans="1:44" x14ac:dyDescent="0.3">
      <c r="L199" s="193"/>
      <c r="M199" s="193"/>
      <c r="N199" s="193"/>
      <c r="Q199" s="193"/>
    </row>
    <row r="200" spans="1:44" x14ac:dyDescent="0.3">
      <c r="T200" s="193"/>
    </row>
  </sheetData>
  <sheetProtection password="EF32"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9CCFF"/>
  </sheetPr>
  <dimension ref="A1:AF16"/>
  <sheetViews>
    <sheetView workbookViewId="0">
      <pane xSplit="5" ySplit="10" topLeftCell="AD11" activePane="bottomRight" state="frozen"/>
      <selection activeCell="E155" sqref="E155"/>
      <selection pane="topRight" activeCell="E155" sqref="E155"/>
      <selection pane="bottomLeft" activeCell="E155" sqref="E155"/>
      <selection pane="bottomRight" activeCell="AG21" sqref="AG21"/>
    </sheetView>
  </sheetViews>
  <sheetFormatPr defaultColWidth="9.109375" defaultRowHeight="14.4" x14ac:dyDescent="0.3"/>
  <cols>
    <col min="1" max="1" width="9.109375" style="12" customWidth="1"/>
    <col min="2" max="2" width="36.6640625" style="12" customWidth="1"/>
    <col min="3" max="3" width="20.88671875" style="12" customWidth="1"/>
    <col min="4" max="4" width="18.88671875" style="12" customWidth="1"/>
    <col min="5" max="5" width="17" style="12" customWidth="1"/>
    <col min="6" max="32" width="15.6640625" style="12" customWidth="1"/>
    <col min="33" max="16384" width="9.109375" style="12"/>
  </cols>
  <sheetData>
    <row r="1" spans="1:32" ht="21" x14ac:dyDescent="0.4">
      <c r="A1" s="18" t="s">
        <v>0</v>
      </c>
      <c r="B1" s="19"/>
      <c r="C1" s="20" t="s">
        <v>538</v>
      </c>
      <c r="D1" s="18"/>
      <c r="E1" s="21"/>
      <c r="F1" s="22"/>
      <c r="G1" s="22"/>
      <c r="H1" s="196" t="str">
        <f>C1</f>
        <v>Title I-D Delinquent -- State Agencies</v>
      </c>
      <c r="I1" s="20"/>
      <c r="J1" s="18"/>
      <c r="K1" s="18"/>
      <c r="L1" s="21"/>
      <c r="M1" s="21"/>
      <c r="N1" s="22"/>
      <c r="O1" s="22"/>
      <c r="P1" s="20"/>
      <c r="Q1" s="196" t="str">
        <f>C1</f>
        <v>Title I-D Delinquent -- State Agencies</v>
      </c>
      <c r="R1" s="18"/>
      <c r="S1" s="18"/>
      <c r="T1" s="21"/>
      <c r="U1" s="21"/>
      <c r="V1" s="22"/>
      <c r="W1" s="22"/>
      <c r="X1" s="20"/>
      <c r="Y1" s="20"/>
      <c r="Z1" s="196" t="str">
        <f>C1</f>
        <v>Title I-D Delinquent -- State Agencies</v>
      </c>
      <c r="AA1" s="18"/>
      <c r="AB1" s="21"/>
      <c r="AC1" s="21"/>
      <c r="AD1" s="22"/>
      <c r="AE1" s="22"/>
      <c r="AF1" s="20"/>
    </row>
    <row r="2" spans="1:32" ht="15.6" x14ac:dyDescent="0.3">
      <c r="A2" s="23" t="s">
        <v>1</v>
      </c>
      <c r="B2" s="19"/>
      <c r="C2" s="26" t="s">
        <v>441</v>
      </c>
      <c r="D2" s="23"/>
      <c r="E2" s="25"/>
      <c r="F2" s="22"/>
      <c r="G2" s="22"/>
      <c r="H2" s="202" t="str">
        <f>"FY"&amp;C4</f>
        <v>FY2014-15</v>
      </c>
      <c r="I2" s="23"/>
      <c r="J2" s="26"/>
      <c r="K2" s="26"/>
      <c r="L2" s="25"/>
      <c r="M2" s="25"/>
      <c r="N2" s="25"/>
      <c r="O2" s="25"/>
      <c r="P2" s="23"/>
      <c r="Q2" s="202" t="str">
        <f>"FY"&amp;C4</f>
        <v>FY2014-15</v>
      </c>
      <c r="R2" s="26"/>
      <c r="S2" s="26"/>
      <c r="T2" s="25"/>
      <c r="U2" s="25"/>
      <c r="V2" s="25"/>
      <c r="W2" s="25"/>
      <c r="X2" s="23"/>
      <c r="Y2" s="23"/>
      <c r="Z2" s="202" t="str">
        <f>"FY"&amp;C4</f>
        <v>FY2014-15</v>
      </c>
      <c r="AA2" s="26"/>
      <c r="AB2" s="25"/>
      <c r="AC2" s="25"/>
      <c r="AD2" s="25"/>
      <c r="AE2" s="25"/>
      <c r="AF2" s="23"/>
    </row>
    <row r="3" spans="1:32" ht="15.6" x14ac:dyDescent="0.3">
      <c r="A3" s="23" t="s">
        <v>4</v>
      </c>
      <c r="B3" s="19"/>
      <c r="C3" s="26">
        <v>4013</v>
      </c>
      <c r="D3" s="23"/>
      <c r="E3" s="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5.6" x14ac:dyDescent="0.3">
      <c r="A4" s="23" t="s">
        <v>2</v>
      </c>
      <c r="B4" s="19"/>
      <c r="C4" s="26" t="str">
        <f>'NCLB Title I-A Formula'!$C$4</f>
        <v>2014-15</v>
      </c>
      <c r="D4" s="25"/>
      <c r="E4" s="2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.6" x14ac:dyDescent="0.3">
      <c r="A5" s="23" t="s">
        <v>435</v>
      </c>
      <c r="B5" s="19"/>
      <c r="C5" s="181" t="s">
        <v>536</v>
      </c>
      <c r="D5" s="23"/>
      <c r="E5" s="2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.6" x14ac:dyDescent="0.3">
      <c r="A6" s="23" t="s">
        <v>5</v>
      </c>
      <c r="B6" s="19"/>
      <c r="C6" s="23" t="s">
        <v>6</v>
      </c>
      <c r="D6" s="23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.6" x14ac:dyDescent="0.3">
      <c r="A7" s="23" t="s">
        <v>384</v>
      </c>
      <c r="B7" s="19"/>
      <c r="C7" s="199" t="s">
        <v>473</v>
      </c>
      <c r="D7" s="2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.6" x14ac:dyDescent="0.3">
      <c r="A8" s="23" t="s">
        <v>385</v>
      </c>
      <c r="B8" s="19"/>
      <c r="C8" s="23" t="s">
        <v>386</v>
      </c>
      <c r="D8" s="25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6.2" thickBot="1" x14ac:dyDescent="0.35">
      <c r="A9" s="23" t="s">
        <v>436</v>
      </c>
      <c r="B9" s="19"/>
      <c r="C9" s="23" t="s">
        <v>445</v>
      </c>
      <c r="D9" s="2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2.25" customHeight="1" thickBot="1" x14ac:dyDescent="0.35">
      <c r="A10" s="107" t="s">
        <v>369</v>
      </c>
      <c r="B10" s="108" t="s">
        <v>370</v>
      </c>
      <c r="C10" s="108" t="s">
        <v>371</v>
      </c>
      <c r="D10" s="108" t="s">
        <v>372</v>
      </c>
      <c r="E10" s="94" t="s">
        <v>373</v>
      </c>
      <c r="F10" s="111" t="s">
        <v>442</v>
      </c>
      <c r="G10" s="111" t="s">
        <v>443</v>
      </c>
      <c r="H10" s="111" t="s">
        <v>444</v>
      </c>
      <c r="I10" s="111" t="s">
        <v>446</v>
      </c>
      <c r="J10" s="111" t="s">
        <v>447</v>
      </c>
      <c r="K10" s="111" t="s">
        <v>448</v>
      </c>
      <c r="L10" s="111" t="s">
        <v>449</v>
      </c>
      <c r="M10" s="111" t="s">
        <v>450</v>
      </c>
      <c r="N10" s="111" t="s">
        <v>451</v>
      </c>
      <c r="O10" s="111" t="s">
        <v>452</v>
      </c>
      <c r="P10" s="111" t="s">
        <v>453</v>
      </c>
      <c r="Q10" s="111" t="s">
        <v>454</v>
      </c>
      <c r="R10" s="111" t="s">
        <v>455</v>
      </c>
      <c r="S10" s="111" t="s">
        <v>456</v>
      </c>
      <c r="T10" s="111" t="s">
        <v>457</v>
      </c>
      <c r="U10" s="111" t="s">
        <v>464</v>
      </c>
      <c r="V10" s="111" t="s">
        <v>465</v>
      </c>
      <c r="W10" s="240" t="s">
        <v>466</v>
      </c>
      <c r="X10" s="217" t="s">
        <v>527</v>
      </c>
      <c r="Y10" s="218" t="s">
        <v>528</v>
      </c>
      <c r="Z10" s="111" t="s">
        <v>529</v>
      </c>
      <c r="AA10" s="218" t="s">
        <v>530</v>
      </c>
      <c r="AB10" s="111" t="s">
        <v>531</v>
      </c>
      <c r="AC10" s="218" t="s">
        <v>532</v>
      </c>
      <c r="AD10" s="111" t="s">
        <v>533</v>
      </c>
      <c r="AE10" s="218" t="s">
        <v>534</v>
      </c>
      <c r="AF10" s="111" t="s">
        <v>535</v>
      </c>
    </row>
    <row r="11" spans="1:32" ht="16.2" thickBot="1" x14ac:dyDescent="0.35">
      <c r="A11" s="127" t="s">
        <v>439</v>
      </c>
      <c r="B11" s="127" t="s">
        <v>440</v>
      </c>
      <c r="C11" s="263">
        <v>531562</v>
      </c>
      <c r="D11" s="264">
        <f t="shared" ref="D11" si="0">SUM(F11:AF11)</f>
        <v>531562</v>
      </c>
      <c r="E11" s="289">
        <f>C11-D11</f>
        <v>0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>
        <v>23489</v>
      </c>
      <c r="R11" s="150"/>
      <c r="S11" s="150">
        <v>137963.37</v>
      </c>
      <c r="T11" s="150"/>
      <c r="U11" s="150"/>
      <c r="V11" s="150"/>
      <c r="W11" s="150"/>
      <c r="X11" s="150"/>
      <c r="Y11" s="150"/>
      <c r="Z11" s="150"/>
      <c r="AA11" s="150"/>
      <c r="AB11" s="150"/>
      <c r="AC11" s="150">
        <f>183026.89+91404.97+65488.48</f>
        <v>339920.33999999997</v>
      </c>
      <c r="AD11" s="150"/>
      <c r="AE11" s="150"/>
      <c r="AF11" s="297">
        <v>30189.29</v>
      </c>
    </row>
    <row r="12" spans="1:32" ht="16.2" thickBot="1" x14ac:dyDescent="0.35">
      <c r="A12" s="130"/>
      <c r="B12" s="129"/>
      <c r="C12" s="269"/>
      <c r="D12" s="269"/>
      <c r="E12" s="270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</row>
    <row r="13" spans="1:32" ht="16.2" thickBot="1" x14ac:dyDescent="0.35">
      <c r="A13" s="136" t="s">
        <v>537</v>
      </c>
      <c r="B13" s="136"/>
      <c r="C13" s="271">
        <f t="shared" ref="C13:AF13" si="1">SUM(C11:C11)</f>
        <v>531562</v>
      </c>
      <c r="D13" s="271">
        <f t="shared" si="1"/>
        <v>531562</v>
      </c>
      <c r="E13" s="271">
        <f t="shared" si="1"/>
        <v>0</v>
      </c>
      <c r="F13" s="271">
        <f t="shared" si="1"/>
        <v>0</v>
      </c>
      <c r="G13" s="271">
        <f t="shared" si="1"/>
        <v>0</v>
      </c>
      <c r="H13" s="271">
        <f t="shared" si="1"/>
        <v>0</v>
      </c>
      <c r="I13" s="271">
        <f t="shared" si="1"/>
        <v>0</v>
      </c>
      <c r="J13" s="271">
        <f t="shared" si="1"/>
        <v>0</v>
      </c>
      <c r="K13" s="271">
        <f t="shared" si="1"/>
        <v>0</v>
      </c>
      <c r="L13" s="271">
        <f t="shared" si="1"/>
        <v>0</v>
      </c>
      <c r="M13" s="271">
        <f t="shared" si="1"/>
        <v>0</v>
      </c>
      <c r="N13" s="271">
        <f t="shared" si="1"/>
        <v>0</v>
      </c>
      <c r="O13" s="271">
        <f t="shared" si="1"/>
        <v>0</v>
      </c>
      <c r="P13" s="271">
        <f t="shared" si="1"/>
        <v>0</v>
      </c>
      <c r="Q13" s="271">
        <f t="shared" si="1"/>
        <v>23489</v>
      </c>
      <c r="R13" s="271">
        <f t="shared" si="1"/>
        <v>0</v>
      </c>
      <c r="S13" s="271">
        <f t="shared" si="1"/>
        <v>137963.37</v>
      </c>
      <c r="T13" s="271">
        <f t="shared" si="1"/>
        <v>0</v>
      </c>
      <c r="U13" s="271">
        <f t="shared" si="1"/>
        <v>0</v>
      </c>
      <c r="V13" s="271">
        <f t="shared" si="1"/>
        <v>0</v>
      </c>
      <c r="W13" s="271">
        <f t="shared" si="1"/>
        <v>0</v>
      </c>
      <c r="X13" s="271">
        <f t="shared" si="1"/>
        <v>0</v>
      </c>
      <c r="Y13" s="271">
        <f t="shared" si="1"/>
        <v>0</v>
      </c>
      <c r="Z13" s="271">
        <f t="shared" si="1"/>
        <v>0</v>
      </c>
      <c r="AA13" s="271">
        <f t="shared" si="1"/>
        <v>0</v>
      </c>
      <c r="AB13" s="271">
        <f t="shared" si="1"/>
        <v>0</v>
      </c>
      <c r="AC13" s="271">
        <f t="shared" si="1"/>
        <v>339920.33999999997</v>
      </c>
      <c r="AD13" s="271">
        <f t="shared" si="1"/>
        <v>0</v>
      </c>
      <c r="AE13" s="271">
        <f t="shared" si="1"/>
        <v>0</v>
      </c>
      <c r="AF13" s="271">
        <f t="shared" si="1"/>
        <v>30189.29</v>
      </c>
    </row>
    <row r="15" spans="1:32" x14ac:dyDescent="0.3">
      <c r="A15" s="12" t="s">
        <v>540</v>
      </c>
    </row>
    <row r="16" spans="1:32" x14ac:dyDescent="0.3">
      <c r="P16" s="19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9CCFF"/>
  </sheetPr>
  <dimension ref="A1:AR228"/>
  <sheetViews>
    <sheetView zoomScaleNormal="100" workbookViewId="0">
      <pane xSplit="7" ySplit="12" topLeftCell="H13" activePane="bottomRight" state="frozen"/>
      <selection activeCell="E155" sqref="E155"/>
      <selection pane="topRight" activeCell="E155" sqref="E155"/>
      <selection pane="bottomLeft" activeCell="E155" sqref="E155"/>
      <selection pane="bottomRight" activeCell="H12" sqref="H12"/>
    </sheetView>
  </sheetViews>
  <sheetFormatPr defaultColWidth="9.109375" defaultRowHeight="14.4" x14ac:dyDescent="0.3"/>
  <cols>
    <col min="1" max="1" width="8.33203125" style="12" customWidth="1"/>
    <col min="2" max="2" width="29.109375" style="12" customWidth="1"/>
    <col min="3" max="3" width="16.5546875" style="12" customWidth="1"/>
    <col min="4" max="4" width="17.5546875" style="10" customWidth="1"/>
    <col min="5" max="5" width="18.6640625" style="12" customWidth="1"/>
    <col min="6" max="7" width="17" style="12" customWidth="1"/>
    <col min="8" max="37" width="15.6640625" style="12" customWidth="1"/>
    <col min="38" max="43" width="12.6640625" style="12" customWidth="1"/>
    <col min="44" max="16384" width="9.109375" style="12"/>
  </cols>
  <sheetData>
    <row r="1" spans="1:44" s="13" customFormat="1" ht="21" x14ac:dyDescent="0.4">
      <c r="A1" s="194" t="s">
        <v>0</v>
      </c>
      <c r="B1" s="195"/>
      <c r="C1" s="196" t="s">
        <v>396</v>
      </c>
      <c r="D1" s="29"/>
      <c r="E1" s="196"/>
      <c r="F1" s="194"/>
      <c r="G1" s="197"/>
      <c r="H1" s="198"/>
      <c r="I1" s="198"/>
      <c r="J1" s="196" t="str">
        <f>C1</f>
        <v>Title II-A Formula</v>
      </c>
      <c r="K1" s="196" t="str">
        <f>C1</f>
        <v>Title II-A Formula</v>
      </c>
      <c r="L1" s="194"/>
      <c r="M1" s="194"/>
      <c r="N1" s="197"/>
      <c r="O1" s="197"/>
      <c r="P1" s="198"/>
      <c r="Q1" s="198"/>
      <c r="R1" s="196" t="str">
        <f>K1</f>
        <v>Title II-A Formula</v>
      </c>
      <c r="S1" s="196"/>
      <c r="T1" s="194"/>
      <c r="U1" s="194"/>
      <c r="V1" s="197"/>
      <c r="W1" s="197"/>
      <c r="X1" s="196" t="str">
        <f>C1</f>
        <v>Title II-A Formula</v>
      </c>
      <c r="Y1" s="198"/>
      <c r="Z1" s="196"/>
      <c r="AA1" s="196"/>
      <c r="AB1" s="194"/>
      <c r="AC1" s="194"/>
      <c r="AD1" s="196" t="str">
        <f>C1</f>
        <v>Title II-A Formula</v>
      </c>
      <c r="AE1" s="197"/>
      <c r="AF1" s="198"/>
      <c r="AG1" s="198"/>
      <c r="AH1" s="196"/>
      <c r="AI1" s="196"/>
      <c r="AJ1" s="196"/>
      <c r="AK1" s="196"/>
      <c r="AL1" s="67"/>
      <c r="AM1" s="65" t="s">
        <v>0</v>
      </c>
      <c r="AN1" s="65" t="str">
        <f>$C$1</f>
        <v>Title II-A Formula</v>
      </c>
      <c r="AO1" s="66"/>
      <c r="AP1" s="67"/>
    </row>
    <row r="2" spans="1:44" s="13" customFormat="1" ht="21" x14ac:dyDescent="0.4">
      <c r="A2" s="199" t="s">
        <v>1</v>
      </c>
      <c r="B2" s="195"/>
      <c r="C2" s="200">
        <v>84.367000000000004</v>
      </c>
      <c r="D2" s="30"/>
      <c r="E2" s="200"/>
      <c r="F2" s="199"/>
      <c r="G2" s="201"/>
      <c r="H2" s="198"/>
      <c r="I2" s="198"/>
      <c r="J2" s="199" t="str">
        <f>"FY"&amp;C4</f>
        <v>FY2014-15</v>
      </c>
      <c r="K2" s="196"/>
      <c r="L2" s="202"/>
      <c r="M2" s="202"/>
      <c r="N2" s="201"/>
      <c r="O2" s="201"/>
      <c r="P2" s="201"/>
      <c r="Q2" s="201"/>
      <c r="R2" s="199" t="str">
        <f>"FY"&amp;C4</f>
        <v>FY2014-15</v>
      </c>
      <c r="S2" s="196"/>
      <c r="T2" s="202" t="s">
        <v>392</v>
      </c>
      <c r="U2" s="202"/>
      <c r="V2" s="201"/>
      <c r="W2" s="201"/>
      <c r="X2" s="199" t="str">
        <f>"FY"&amp;C4</f>
        <v>FY2014-15</v>
      </c>
      <c r="Y2" s="201"/>
      <c r="Z2" s="199"/>
      <c r="AA2" s="196"/>
      <c r="AB2" s="202"/>
      <c r="AC2" s="202"/>
      <c r="AD2" s="199" t="str">
        <f>"FY"&amp;C4</f>
        <v>FY2014-15</v>
      </c>
      <c r="AE2" s="201"/>
      <c r="AF2" s="201"/>
      <c r="AG2" s="201"/>
      <c r="AH2" s="199"/>
      <c r="AI2" s="199"/>
      <c r="AJ2" s="199"/>
      <c r="AK2" s="199"/>
      <c r="AL2" s="69"/>
      <c r="AM2" s="68" t="s">
        <v>2</v>
      </c>
      <c r="AN2" s="68"/>
      <c r="AO2" s="70" t="s">
        <v>3</v>
      </c>
      <c r="AP2" s="69"/>
    </row>
    <row r="3" spans="1:44" s="13" customFormat="1" ht="15.6" x14ac:dyDescent="0.3">
      <c r="A3" s="199" t="s">
        <v>4</v>
      </c>
      <c r="B3" s="195"/>
      <c r="C3" s="202">
        <v>4367</v>
      </c>
      <c r="D3" s="31"/>
      <c r="E3" s="202"/>
      <c r="F3" s="199"/>
      <c r="G3" s="201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67"/>
      <c r="AM3" s="67"/>
    </row>
    <row r="4" spans="1:44" s="13" customFormat="1" ht="21" x14ac:dyDescent="0.4">
      <c r="A4" s="199" t="s">
        <v>2</v>
      </c>
      <c r="B4" s="195"/>
      <c r="C4" s="196" t="str">
        <f>'NCLB Title I-A Formula'!$C$4</f>
        <v>2014-15</v>
      </c>
      <c r="D4" s="31"/>
      <c r="E4" s="202"/>
      <c r="F4" s="201"/>
      <c r="G4" s="201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67"/>
      <c r="AM4" s="67"/>
    </row>
    <row r="5" spans="1:44" s="13" customFormat="1" ht="15.6" x14ac:dyDescent="0.3">
      <c r="A5" s="199" t="s">
        <v>435</v>
      </c>
      <c r="B5" s="195"/>
      <c r="C5" s="181" t="s">
        <v>536</v>
      </c>
      <c r="D5" s="31"/>
      <c r="E5" s="199"/>
      <c r="F5" s="199"/>
      <c r="G5" s="203"/>
      <c r="H5" s="203"/>
      <c r="I5" s="203"/>
      <c r="J5" s="203"/>
      <c r="K5" s="203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71"/>
      <c r="AM5" s="71"/>
      <c r="AN5" s="72"/>
      <c r="AO5" s="72"/>
    </row>
    <row r="6" spans="1:44" s="13" customFormat="1" ht="15.6" x14ac:dyDescent="0.3">
      <c r="A6" s="199" t="s">
        <v>5</v>
      </c>
      <c r="B6" s="195"/>
      <c r="C6" s="181" t="s">
        <v>368</v>
      </c>
      <c r="D6" s="31"/>
      <c r="E6" s="199"/>
      <c r="F6" s="199"/>
      <c r="G6" s="203"/>
      <c r="H6" s="203"/>
      <c r="I6" s="203"/>
      <c r="J6" s="203"/>
      <c r="K6" s="203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71"/>
      <c r="AM6" s="71"/>
      <c r="AN6" s="72"/>
      <c r="AO6" s="72"/>
    </row>
    <row r="7" spans="1:44" s="13" customFormat="1" ht="15.6" x14ac:dyDescent="0.3">
      <c r="A7" s="199"/>
      <c r="B7" s="195"/>
      <c r="C7" s="181" t="s">
        <v>459</v>
      </c>
      <c r="D7" s="31"/>
      <c r="E7" s="199"/>
      <c r="F7" s="199"/>
      <c r="G7" s="203"/>
      <c r="H7" s="203"/>
      <c r="I7" s="203"/>
      <c r="J7" s="203"/>
      <c r="K7" s="203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71"/>
      <c r="AM7" s="71"/>
      <c r="AN7" s="72"/>
      <c r="AO7" s="72"/>
    </row>
    <row r="8" spans="1:44" s="13" customFormat="1" ht="15.6" x14ac:dyDescent="0.3">
      <c r="A8" s="199"/>
      <c r="B8" s="195"/>
      <c r="C8" s="195"/>
      <c r="D8" s="31"/>
      <c r="E8" s="199"/>
      <c r="F8" s="199"/>
      <c r="G8" s="203"/>
      <c r="H8" s="203"/>
      <c r="I8" s="203"/>
      <c r="J8" s="203"/>
      <c r="K8" s="203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71"/>
      <c r="AM8" s="71"/>
      <c r="AN8" s="72"/>
      <c r="AO8" s="72"/>
    </row>
    <row r="9" spans="1:44" s="13" customFormat="1" ht="15.6" x14ac:dyDescent="0.3">
      <c r="A9" s="199" t="s">
        <v>384</v>
      </c>
      <c r="B9" s="195"/>
      <c r="C9" s="199" t="s">
        <v>472</v>
      </c>
      <c r="D9" s="31"/>
      <c r="E9" s="199"/>
      <c r="F9" s="201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71"/>
      <c r="AM9" s="71"/>
      <c r="AN9" s="72"/>
      <c r="AO9" s="72"/>
    </row>
    <row r="10" spans="1:44" s="13" customFormat="1" ht="15.6" x14ac:dyDescent="0.3">
      <c r="A10" s="199" t="s">
        <v>385</v>
      </c>
      <c r="B10" s="195"/>
      <c r="C10" s="199" t="s">
        <v>386</v>
      </c>
      <c r="D10" s="31"/>
      <c r="E10" s="199"/>
      <c r="F10" s="201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71"/>
      <c r="AM10" s="71"/>
      <c r="AN10" s="72"/>
      <c r="AO10" s="72"/>
    </row>
    <row r="11" spans="1:44" s="13" customFormat="1" ht="16.2" thickBot="1" x14ac:dyDescent="0.35">
      <c r="A11" s="199" t="s">
        <v>436</v>
      </c>
      <c r="B11" s="195"/>
      <c r="C11" s="199" t="s">
        <v>470</v>
      </c>
      <c r="D11" s="31"/>
      <c r="E11" s="199"/>
      <c r="F11" s="201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71"/>
      <c r="AM11" s="71"/>
      <c r="AN11" s="72"/>
      <c r="AO11" s="72"/>
    </row>
    <row r="12" spans="1:44" s="79" customFormat="1" ht="46.5" customHeight="1" thickBot="1" x14ac:dyDescent="0.35">
      <c r="A12" s="207" t="s">
        <v>369</v>
      </c>
      <c r="B12" s="208" t="s">
        <v>370</v>
      </c>
      <c r="C12" s="208" t="s">
        <v>371</v>
      </c>
      <c r="D12" s="116" t="s">
        <v>390</v>
      </c>
      <c r="E12" s="115" t="s">
        <v>432</v>
      </c>
      <c r="F12" s="147" t="s">
        <v>372</v>
      </c>
      <c r="G12" s="81" t="s">
        <v>373</v>
      </c>
      <c r="H12" s="111" t="s">
        <v>442</v>
      </c>
      <c r="I12" s="111" t="s">
        <v>443</v>
      </c>
      <c r="J12" s="111" t="s">
        <v>444</v>
      </c>
      <c r="K12" s="111" t="s">
        <v>446</v>
      </c>
      <c r="L12" s="111" t="s">
        <v>447</v>
      </c>
      <c r="M12" s="111" t="s">
        <v>448</v>
      </c>
      <c r="N12" s="111" t="s">
        <v>449</v>
      </c>
      <c r="O12" s="111" t="s">
        <v>450</v>
      </c>
      <c r="P12" s="111" t="s">
        <v>451</v>
      </c>
      <c r="Q12" s="111" t="s">
        <v>452</v>
      </c>
      <c r="R12" s="111" t="s">
        <v>453</v>
      </c>
      <c r="S12" s="111" t="s">
        <v>454</v>
      </c>
      <c r="T12" s="111" t="s">
        <v>455</v>
      </c>
      <c r="U12" s="111" t="s">
        <v>456</v>
      </c>
      <c r="V12" s="111" t="s">
        <v>457</v>
      </c>
      <c r="W12" s="111" t="s">
        <v>464</v>
      </c>
      <c r="X12" s="111" t="s">
        <v>465</v>
      </c>
      <c r="Y12" s="111" t="s">
        <v>466</v>
      </c>
      <c r="Z12" s="111" t="s">
        <v>527</v>
      </c>
      <c r="AA12" s="111" t="s">
        <v>528</v>
      </c>
      <c r="AB12" s="111" t="s">
        <v>529</v>
      </c>
      <c r="AC12" s="111" t="s">
        <v>530</v>
      </c>
      <c r="AD12" s="111" t="s">
        <v>531</v>
      </c>
      <c r="AE12" s="111" t="s">
        <v>532</v>
      </c>
      <c r="AF12" s="111" t="s">
        <v>533</v>
      </c>
      <c r="AG12" s="111" t="s">
        <v>534</v>
      </c>
      <c r="AH12" s="111" t="s">
        <v>535</v>
      </c>
      <c r="AI12" s="111" t="s">
        <v>543</v>
      </c>
      <c r="AJ12" s="111" t="s">
        <v>544</v>
      </c>
      <c r="AK12" s="111" t="s">
        <v>545</v>
      </c>
      <c r="AL12" s="78"/>
      <c r="AM12" s="78"/>
      <c r="AN12" s="78"/>
      <c r="AO12" s="78"/>
      <c r="AP12" s="78"/>
      <c r="AQ12" s="78"/>
      <c r="AR12" s="78"/>
    </row>
    <row r="13" spans="1:44" s="3" customFormat="1" ht="18.600000000000001" thickBot="1" x14ac:dyDescent="0.4">
      <c r="A13" s="231" t="s">
        <v>8</v>
      </c>
      <c r="B13" s="113" t="s">
        <v>186</v>
      </c>
      <c r="C13" s="243">
        <v>181540.55073632495</v>
      </c>
      <c r="D13" s="210"/>
      <c r="E13" s="243"/>
      <c r="F13" s="243">
        <f>SUM(H13:AL13)</f>
        <v>181541</v>
      </c>
      <c r="G13" s="243">
        <f>ROUND(IF(ISBLANK(E13),C13-F13,C13-E13),0)</f>
        <v>0</v>
      </c>
      <c r="H13" s="272"/>
      <c r="I13" s="272"/>
      <c r="J13" s="258"/>
      <c r="K13" s="272"/>
      <c r="L13" s="272"/>
      <c r="M13" s="272"/>
      <c r="N13" s="272">
        <v>1555</v>
      </c>
      <c r="O13" s="272"/>
      <c r="P13" s="272">
        <f>4140+6682</f>
        <v>10822</v>
      </c>
      <c r="Q13" s="272">
        <v>4362</v>
      </c>
      <c r="R13" s="272">
        <v>4312</v>
      </c>
      <c r="S13" s="272"/>
      <c r="T13" s="272">
        <v>32117</v>
      </c>
      <c r="U13" s="272"/>
      <c r="V13" s="272">
        <v>70496</v>
      </c>
      <c r="W13" s="272"/>
      <c r="X13" s="272">
        <v>7281</v>
      </c>
      <c r="Y13" s="272">
        <f>4657+5407</f>
        <v>10064</v>
      </c>
      <c r="Z13" s="272">
        <v>19269</v>
      </c>
      <c r="AA13" s="272"/>
      <c r="AB13" s="272">
        <v>4456</v>
      </c>
      <c r="AC13" s="272">
        <v>15847</v>
      </c>
      <c r="AD13" s="272">
        <v>960</v>
      </c>
      <c r="AE13" s="272"/>
      <c r="AF13" s="272"/>
      <c r="AG13" s="272"/>
      <c r="AH13" s="272"/>
      <c r="AI13" s="272"/>
      <c r="AJ13" s="272"/>
      <c r="AK13" s="272"/>
    </row>
    <row r="14" spans="1:44" s="3" customFormat="1" ht="18.600000000000001" thickBot="1" x14ac:dyDescent="0.4">
      <c r="A14" s="228" t="s">
        <v>9</v>
      </c>
      <c r="B14" s="205" t="s">
        <v>187</v>
      </c>
      <c r="C14" s="243">
        <v>712570.21772597497</v>
      </c>
      <c r="D14" s="211"/>
      <c r="E14" s="243"/>
      <c r="F14" s="243">
        <f t="shared" ref="F14:F77" si="0">SUM(H14:AL14)</f>
        <v>712570</v>
      </c>
      <c r="G14" s="243">
        <f t="shared" ref="G14:G77" si="1">ROUND(IF(ISBLANK(E14),C14-F14,C14-E14),0)</f>
        <v>0</v>
      </c>
      <c r="H14" s="272"/>
      <c r="I14" s="272"/>
      <c r="J14" s="258"/>
      <c r="K14" s="272"/>
      <c r="L14" s="272">
        <v>4821</v>
      </c>
      <c r="M14" s="272"/>
      <c r="N14" s="272">
        <v>124501</v>
      </c>
      <c r="O14" s="272">
        <v>113752</v>
      </c>
      <c r="P14" s="272"/>
      <c r="Q14" s="272">
        <v>138933</v>
      </c>
      <c r="R14" s="272"/>
      <c r="S14" s="272">
        <v>117156</v>
      </c>
      <c r="T14" s="272"/>
      <c r="U14" s="272"/>
      <c r="V14" s="272"/>
      <c r="W14" s="272">
        <v>169048</v>
      </c>
      <c r="X14" s="272">
        <v>44359</v>
      </c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44" s="3" customFormat="1" ht="18.600000000000001" thickBot="1" x14ac:dyDescent="0.4">
      <c r="A15" s="228" t="s">
        <v>10</v>
      </c>
      <c r="B15" s="205" t="s">
        <v>188</v>
      </c>
      <c r="C15" s="243">
        <v>366940.25775445346</v>
      </c>
      <c r="D15" s="211"/>
      <c r="E15" s="243"/>
      <c r="F15" s="243">
        <f t="shared" si="0"/>
        <v>366940</v>
      </c>
      <c r="G15" s="243">
        <f t="shared" si="1"/>
        <v>0</v>
      </c>
      <c r="H15" s="272"/>
      <c r="I15" s="272"/>
      <c r="J15" s="258"/>
      <c r="K15" s="272"/>
      <c r="L15" s="272">
        <v>108781</v>
      </c>
      <c r="M15" s="272">
        <v>36624</v>
      </c>
      <c r="N15" s="272">
        <v>34034</v>
      </c>
      <c r="O15" s="272">
        <v>30008</v>
      </c>
      <c r="P15" s="272">
        <v>45166</v>
      </c>
      <c r="Q15" s="272">
        <v>45113</v>
      </c>
      <c r="R15" s="272">
        <v>18860</v>
      </c>
      <c r="S15" s="272">
        <v>17262</v>
      </c>
      <c r="T15" s="272">
        <v>22786</v>
      </c>
      <c r="U15" s="272">
        <v>3275</v>
      </c>
      <c r="V15" s="272"/>
      <c r="W15" s="272"/>
      <c r="X15" s="272"/>
      <c r="Y15" s="272">
        <v>5031</v>
      </c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44" s="3" customFormat="1" ht="18.600000000000001" thickBot="1" x14ac:dyDescent="0.4">
      <c r="A16" s="228" t="s">
        <v>11</v>
      </c>
      <c r="B16" s="205" t="s">
        <v>460</v>
      </c>
      <c r="C16" s="243">
        <v>188063.97206820641</v>
      </c>
      <c r="D16" s="211"/>
      <c r="E16" s="243"/>
      <c r="F16" s="243">
        <f t="shared" si="0"/>
        <v>188064</v>
      </c>
      <c r="G16" s="243">
        <f t="shared" si="1"/>
        <v>0</v>
      </c>
      <c r="H16" s="272"/>
      <c r="I16" s="272"/>
      <c r="J16" s="258"/>
      <c r="K16" s="272"/>
      <c r="L16" s="272"/>
      <c r="M16" s="272"/>
      <c r="N16" s="272">
        <v>24424</v>
      </c>
      <c r="O16" s="272">
        <v>17638</v>
      </c>
      <c r="P16" s="272"/>
      <c r="Q16" s="272">
        <v>15778</v>
      </c>
      <c r="R16" s="272">
        <v>14003</v>
      </c>
      <c r="S16" s="272"/>
      <c r="T16" s="272">
        <v>70631</v>
      </c>
      <c r="U16" s="272"/>
      <c r="V16" s="272">
        <v>18505</v>
      </c>
      <c r="W16" s="272"/>
      <c r="X16" s="272"/>
      <c r="Y16" s="272"/>
      <c r="Z16" s="272">
        <v>27085</v>
      </c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</row>
    <row r="17" spans="1:37" s="3" customFormat="1" ht="18.600000000000001" thickBot="1" x14ac:dyDescent="0.4">
      <c r="A17" s="228" t="s">
        <v>12</v>
      </c>
      <c r="B17" s="205" t="s">
        <v>190</v>
      </c>
      <c r="C17" s="243">
        <v>29291.466020158583</v>
      </c>
      <c r="D17" s="211"/>
      <c r="E17" s="243"/>
      <c r="F17" s="243">
        <f t="shared" si="0"/>
        <v>29291</v>
      </c>
      <c r="G17" s="243">
        <f t="shared" si="1"/>
        <v>0</v>
      </c>
      <c r="H17" s="272"/>
      <c r="I17" s="272"/>
      <c r="J17" s="258"/>
      <c r="K17" s="272">
        <v>14290</v>
      </c>
      <c r="L17" s="272">
        <v>3784</v>
      </c>
      <c r="M17" s="272"/>
      <c r="N17" s="272">
        <v>898</v>
      </c>
      <c r="O17" s="272"/>
      <c r="P17" s="272"/>
      <c r="Q17" s="272">
        <v>3801</v>
      </c>
      <c r="R17" s="272">
        <v>6518</v>
      </c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</row>
    <row r="18" spans="1:37" s="3" customFormat="1" ht="18.600000000000001" thickBot="1" x14ac:dyDescent="0.4">
      <c r="A18" s="228" t="s">
        <v>13</v>
      </c>
      <c r="B18" s="205" t="s">
        <v>191</v>
      </c>
      <c r="C18" s="243">
        <v>9177.517966709891</v>
      </c>
      <c r="D18" s="211" t="s">
        <v>374</v>
      </c>
      <c r="E18" s="243">
        <f t="shared" ref="E18:E57" si="2">IF(ISBLANK(D18),,C18)</f>
        <v>9177.517966709891</v>
      </c>
      <c r="F18" s="243">
        <f t="shared" si="0"/>
        <v>0</v>
      </c>
      <c r="G18" s="243">
        <f t="shared" si="1"/>
        <v>0</v>
      </c>
      <c r="H18" s="272"/>
      <c r="I18" s="272"/>
      <c r="J18" s="258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</row>
    <row r="19" spans="1:37" s="3" customFormat="1" ht="18.600000000000001" thickBot="1" x14ac:dyDescent="0.4">
      <c r="A19" s="228" t="s">
        <v>14</v>
      </c>
      <c r="B19" s="205" t="s">
        <v>192</v>
      </c>
      <c r="C19" s="243">
        <v>428778.93327215075</v>
      </c>
      <c r="D19" s="211"/>
      <c r="E19" s="243"/>
      <c r="F19" s="243">
        <f t="shared" si="0"/>
        <v>428779</v>
      </c>
      <c r="G19" s="243">
        <f t="shared" si="1"/>
        <v>0</v>
      </c>
      <c r="H19" s="272"/>
      <c r="I19" s="272"/>
      <c r="J19" s="258"/>
      <c r="K19" s="272"/>
      <c r="L19" s="272"/>
      <c r="M19" s="272"/>
      <c r="N19" s="272"/>
      <c r="O19" s="272">
        <v>6217</v>
      </c>
      <c r="P19" s="272">
        <v>32438</v>
      </c>
      <c r="Q19" s="272">
        <v>34442</v>
      </c>
      <c r="R19" s="272">
        <v>46524</v>
      </c>
      <c r="S19" s="272">
        <v>42828</v>
      </c>
      <c r="T19" s="272">
        <v>77178</v>
      </c>
      <c r="U19" s="272">
        <v>15309</v>
      </c>
      <c r="V19" s="272">
        <f>31183+2489</f>
        <v>33672</v>
      </c>
      <c r="W19" s="272">
        <v>25737</v>
      </c>
      <c r="X19" s="272"/>
      <c r="Y19" s="272">
        <v>21832</v>
      </c>
      <c r="Z19" s="272">
        <v>49751</v>
      </c>
      <c r="AA19" s="272"/>
      <c r="AB19" s="272">
        <v>28199</v>
      </c>
      <c r="AC19" s="272">
        <v>14652</v>
      </c>
      <c r="AD19" s="272"/>
      <c r="AE19" s="272"/>
      <c r="AF19" s="272"/>
      <c r="AG19" s="272"/>
      <c r="AH19" s="272"/>
      <c r="AI19" s="272"/>
      <c r="AJ19" s="272"/>
      <c r="AK19" s="272"/>
    </row>
    <row r="20" spans="1:37" s="3" customFormat="1" ht="18.600000000000001" thickBot="1" x14ac:dyDescent="0.4">
      <c r="A20" s="228" t="s">
        <v>15</v>
      </c>
      <c r="B20" s="205" t="s">
        <v>193</v>
      </c>
      <c r="C20" s="243">
        <v>163531.46313427787</v>
      </c>
      <c r="D20" s="211"/>
      <c r="E20" s="243"/>
      <c r="F20" s="243">
        <f t="shared" si="0"/>
        <v>163531</v>
      </c>
      <c r="G20" s="243">
        <f t="shared" si="1"/>
        <v>0</v>
      </c>
      <c r="H20" s="272"/>
      <c r="I20" s="272"/>
      <c r="J20" s="258"/>
      <c r="K20" s="272">
        <v>9424</v>
      </c>
      <c r="L20" s="272"/>
      <c r="M20" s="272"/>
      <c r="N20" s="272"/>
      <c r="O20" s="272"/>
      <c r="P20" s="272"/>
      <c r="Q20" s="272">
        <v>7044</v>
      </c>
      <c r="R20" s="272">
        <v>14320</v>
      </c>
      <c r="S20" s="272">
        <v>13499</v>
      </c>
      <c r="T20" s="272">
        <v>33650</v>
      </c>
      <c r="U20" s="272">
        <v>22939</v>
      </c>
      <c r="V20" s="272">
        <v>5732</v>
      </c>
      <c r="W20" s="272">
        <v>20596</v>
      </c>
      <c r="X20" s="272">
        <v>8610</v>
      </c>
      <c r="Y20" s="272">
        <v>9011</v>
      </c>
      <c r="Z20" s="272">
        <v>13870</v>
      </c>
      <c r="AA20" s="272">
        <v>4836</v>
      </c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</row>
    <row r="21" spans="1:37" s="3" customFormat="1" ht="18.600000000000001" thickBot="1" x14ac:dyDescent="0.4">
      <c r="A21" s="228" t="s">
        <v>16</v>
      </c>
      <c r="B21" s="205" t="s">
        <v>194</v>
      </c>
      <c r="C21" s="243">
        <v>13201.296714882334</v>
      </c>
      <c r="D21" s="211"/>
      <c r="E21" s="243"/>
      <c r="F21" s="243">
        <f t="shared" si="0"/>
        <v>13201</v>
      </c>
      <c r="G21" s="243">
        <f t="shared" si="1"/>
        <v>0</v>
      </c>
      <c r="H21" s="272"/>
      <c r="I21" s="272"/>
      <c r="J21" s="258"/>
      <c r="K21" s="272"/>
      <c r="L21" s="272"/>
      <c r="M21" s="272"/>
      <c r="N21" s="272"/>
      <c r="O21" s="272"/>
      <c r="P21" s="272">
        <v>8661</v>
      </c>
      <c r="Q21" s="272"/>
      <c r="R21" s="272"/>
      <c r="S21" s="272">
        <v>4540</v>
      </c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</row>
    <row r="22" spans="1:37" s="3" customFormat="1" ht="18.600000000000001" thickBot="1" x14ac:dyDescent="0.4">
      <c r="A22" s="228" t="s">
        <v>17</v>
      </c>
      <c r="B22" s="205" t="s">
        <v>195</v>
      </c>
      <c r="C22" s="243">
        <v>173660.14256313743</v>
      </c>
      <c r="D22" s="211"/>
      <c r="E22" s="243"/>
      <c r="F22" s="243">
        <f t="shared" si="0"/>
        <v>173660</v>
      </c>
      <c r="G22" s="243">
        <f t="shared" si="1"/>
        <v>0</v>
      </c>
      <c r="H22" s="272"/>
      <c r="I22" s="272"/>
      <c r="J22" s="258"/>
      <c r="K22" s="272">
        <v>44019</v>
      </c>
      <c r="L22" s="272"/>
      <c r="M22" s="272"/>
      <c r="N22" s="272"/>
      <c r="O22" s="272"/>
      <c r="P22" s="272">
        <v>10450</v>
      </c>
      <c r="Q22" s="272"/>
      <c r="R22" s="272">
        <v>3116</v>
      </c>
      <c r="S22" s="272">
        <f>39018+7500</f>
        <v>46518</v>
      </c>
      <c r="T22" s="272"/>
      <c r="U22" s="272">
        <v>56197</v>
      </c>
      <c r="V22" s="272">
        <v>7710</v>
      </c>
      <c r="W22" s="272">
        <v>5650</v>
      </c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</row>
    <row r="23" spans="1:37" s="3" customFormat="1" ht="18.600000000000001" thickBot="1" x14ac:dyDescent="0.4">
      <c r="A23" s="228" t="s">
        <v>18</v>
      </c>
      <c r="B23" s="205" t="s">
        <v>196</v>
      </c>
      <c r="C23" s="243">
        <v>87984.950931333486</v>
      </c>
      <c r="D23" s="211"/>
      <c r="E23" s="243"/>
      <c r="F23" s="243">
        <f t="shared" si="0"/>
        <v>87985</v>
      </c>
      <c r="G23" s="243">
        <f t="shared" si="1"/>
        <v>0</v>
      </c>
      <c r="H23" s="272"/>
      <c r="I23" s="272"/>
      <c r="J23" s="258"/>
      <c r="K23" s="272"/>
      <c r="L23" s="272"/>
      <c r="M23" s="272"/>
      <c r="N23" s="272"/>
      <c r="O23" s="272">
        <v>34766</v>
      </c>
      <c r="P23" s="272"/>
      <c r="Q23" s="272"/>
      <c r="R23" s="272">
        <v>15839</v>
      </c>
      <c r="S23" s="272"/>
      <c r="T23" s="272"/>
      <c r="U23" s="272">
        <v>10696</v>
      </c>
      <c r="V23" s="272"/>
      <c r="W23" s="272">
        <v>16601</v>
      </c>
      <c r="X23" s="272"/>
      <c r="Y23" s="272">
        <v>10083</v>
      </c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</row>
    <row r="24" spans="1:37" s="3" customFormat="1" ht="18.600000000000001" thickBot="1" x14ac:dyDescent="0.4">
      <c r="A24" s="228" t="s">
        <v>19</v>
      </c>
      <c r="B24" s="205" t="s">
        <v>197</v>
      </c>
      <c r="C24" s="243">
        <v>706147.8432979068</v>
      </c>
      <c r="D24" s="211"/>
      <c r="E24" s="243"/>
      <c r="F24" s="243">
        <f t="shared" si="0"/>
        <v>706148</v>
      </c>
      <c r="G24" s="243">
        <f t="shared" si="1"/>
        <v>0</v>
      </c>
      <c r="H24" s="272"/>
      <c r="I24" s="272"/>
      <c r="J24" s="258"/>
      <c r="K24" s="272"/>
      <c r="L24" s="272"/>
      <c r="M24" s="272"/>
      <c r="N24" s="272">
        <f>100659+35685</f>
        <v>136344</v>
      </c>
      <c r="O24" s="272">
        <v>48268</v>
      </c>
      <c r="P24" s="272">
        <v>31561</v>
      </c>
      <c r="Q24" s="272">
        <v>44634</v>
      </c>
      <c r="R24" s="272"/>
      <c r="S24" s="272">
        <f>32910+61196</f>
        <v>94106</v>
      </c>
      <c r="T24" s="272">
        <v>124248</v>
      </c>
      <c r="U24" s="272">
        <v>48634</v>
      </c>
      <c r="V24" s="272"/>
      <c r="W24" s="272"/>
      <c r="X24" s="272">
        <v>127256</v>
      </c>
      <c r="Y24" s="272">
        <v>51097</v>
      </c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</row>
    <row r="25" spans="1:37" s="3" customFormat="1" ht="18.600000000000001" thickBot="1" x14ac:dyDescent="0.4">
      <c r="A25" s="228" t="s">
        <v>20</v>
      </c>
      <c r="B25" s="205" t="s">
        <v>198</v>
      </c>
      <c r="C25" s="243">
        <v>374780.05661890045</v>
      </c>
      <c r="D25" s="211"/>
      <c r="E25" s="243"/>
      <c r="F25" s="243">
        <f t="shared" si="0"/>
        <v>374780</v>
      </c>
      <c r="G25" s="243">
        <f t="shared" si="1"/>
        <v>0</v>
      </c>
      <c r="H25" s="272"/>
      <c r="I25" s="272"/>
      <c r="J25" s="258"/>
      <c r="K25" s="272"/>
      <c r="L25" s="272"/>
      <c r="M25" s="272">
        <v>8882</v>
      </c>
      <c r="N25" s="272">
        <v>31280</v>
      </c>
      <c r="O25" s="272">
        <v>29354</v>
      </c>
      <c r="P25" s="272">
        <v>46686</v>
      </c>
      <c r="Q25" s="272">
        <v>32778</v>
      </c>
      <c r="R25" s="272">
        <v>32812</v>
      </c>
      <c r="S25" s="272"/>
      <c r="T25" s="272">
        <v>33706</v>
      </c>
      <c r="U25" s="272">
        <v>59099</v>
      </c>
      <c r="V25" s="272"/>
      <c r="W25" s="272"/>
      <c r="X25" s="272"/>
      <c r="Y25" s="272">
        <v>100183</v>
      </c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</row>
    <row r="26" spans="1:37" s="3" customFormat="1" ht="18.600000000000001" thickBot="1" x14ac:dyDescent="0.4">
      <c r="A26" s="228" t="s">
        <v>21</v>
      </c>
      <c r="B26" s="205" t="s">
        <v>199</v>
      </c>
      <c r="C26" s="243">
        <v>8320.7091020733806</v>
      </c>
      <c r="D26" s="211" t="s">
        <v>374</v>
      </c>
      <c r="E26" s="243">
        <f t="shared" si="2"/>
        <v>8320.7091020733806</v>
      </c>
      <c r="F26" s="243">
        <f t="shared" si="0"/>
        <v>0</v>
      </c>
      <c r="G26" s="243">
        <f t="shared" si="1"/>
        <v>0</v>
      </c>
      <c r="H26" s="272"/>
      <c r="I26" s="272"/>
      <c r="J26" s="258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</row>
    <row r="27" spans="1:37" s="3" customFormat="1" ht="18.600000000000001" thickBot="1" x14ac:dyDescent="0.4">
      <c r="A27" s="228" t="s">
        <v>22</v>
      </c>
      <c r="B27" s="205" t="s">
        <v>200</v>
      </c>
      <c r="C27" s="243">
        <v>1185490.9143235923</v>
      </c>
      <c r="D27" s="211"/>
      <c r="E27" s="243"/>
      <c r="F27" s="243">
        <f t="shared" si="0"/>
        <v>1185491</v>
      </c>
      <c r="G27" s="243">
        <f t="shared" si="1"/>
        <v>0</v>
      </c>
      <c r="H27" s="272"/>
      <c r="I27" s="272"/>
      <c r="J27" s="258"/>
      <c r="K27" s="272"/>
      <c r="L27" s="272">
        <v>88856</v>
      </c>
      <c r="M27" s="272">
        <v>89749</v>
      </c>
      <c r="N27" s="272"/>
      <c r="O27" s="272">
        <v>172699</v>
      </c>
      <c r="P27" s="272">
        <v>101835</v>
      </c>
      <c r="Q27" s="272">
        <v>73638</v>
      </c>
      <c r="R27" s="272">
        <v>120646</v>
      </c>
      <c r="S27" s="272">
        <v>97562</v>
      </c>
      <c r="T27" s="272">
        <v>89506</v>
      </c>
      <c r="U27" s="272">
        <v>1258</v>
      </c>
      <c r="V27" s="272">
        <v>2077</v>
      </c>
      <c r="W27" s="272">
        <v>79522</v>
      </c>
      <c r="X27" s="272">
        <v>250581</v>
      </c>
      <c r="Y27" s="272">
        <v>17562</v>
      </c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</row>
    <row r="28" spans="1:37" s="3" customFormat="1" ht="18.600000000000001" thickBot="1" x14ac:dyDescent="0.4">
      <c r="A28" s="228" t="s">
        <v>23</v>
      </c>
      <c r="B28" s="205" t="s">
        <v>201</v>
      </c>
      <c r="C28" s="243">
        <v>20170.140952353748</v>
      </c>
      <c r="D28" s="211" t="s">
        <v>374</v>
      </c>
      <c r="E28" s="243">
        <f t="shared" si="2"/>
        <v>20170.140952353748</v>
      </c>
      <c r="F28" s="243">
        <f t="shared" si="0"/>
        <v>0</v>
      </c>
      <c r="G28" s="243">
        <f t="shared" si="1"/>
        <v>0</v>
      </c>
      <c r="H28" s="272"/>
      <c r="I28" s="272"/>
      <c r="J28" s="258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</row>
    <row r="29" spans="1:37" s="3" customFormat="1" ht="18.600000000000001" thickBot="1" x14ac:dyDescent="0.4">
      <c r="A29" s="228" t="s">
        <v>24</v>
      </c>
      <c r="B29" s="205" t="s">
        <v>202</v>
      </c>
      <c r="C29" s="243">
        <v>74543.906189485715</v>
      </c>
      <c r="D29" s="211"/>
      <c r="E29" s="243"/>
      <c r="F29" s="243">
        <f t="shared" si="0"/>
        <v>74544</v>
      </c>
      <c r="G29" s="243">
        <f t="shared" si="1"/>
        <v>0</v>
      </c>
      <c r="H29" s="272"/>
      <c r="I29" s="272"/>
      <c r="J29" s="258"/>
      <c r="K29" s="272">
        <f>13300+6885</f>
        <v>20185</v>
      </c>
      <c r="L29" s="272">
        <v>6222</v>
      </c>
      <c r="M29" s="272">
        <v>6885</v>
      </c>
      <c r="N29" s="272">
        <v>6885</v>
      </c>
      <c r="O29" s="272">
        <v>6886</v>
      </c>
      <c r="P29" s="272">
        <v>6886</v>
      </c>
      <c r="Q29" s="272">
        <v>6885</v>
      </c>
      <c r="R29" s="272"/>
      <c r="S29" s="272"/>
      <c r="T29" s="272">
        <v>13710</v>
      </c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</row>
    <row r="30" spans="1:37" s="3" customFormat="1" ht="18.600000000000001" thickBot="1" x14ac:dyDescent="0.4">
      <c r="A30" s="228" t="s">
        <v>25</v>
      </c>
      <c r="B30" s="205" t="s">
        <v>203</v>
      </c>
      <c r="C30" s="243">
        <v>12301.715681484648</v>
      </c>
      <c r="D30" s="211"/>
      <c r="E30" s="243"/>
      <c r="F30" s="243">
        <f t="shared" si="0"/>
        <v>12302</v>
      </c>
      <c r="G30" s="243">
        <f t="shared" si="1"/>
        <v>0</v>
      </c>
      <c r="H30" s="272"/>
      <c r="I30" s="272"/>
      <c r="J30" s="258"/>
      <c r="K30" s="272"/>
      <c r="L30" s="272"/>
      <c r="M30" s="272">
        <v>8174</v>
      </c>
      <c r="N30" s="272"/>
      <c r="O30" s="272"/>
      <c r="P30" s="272"/>
      <c r="Q30" s="272"/>
      <c r="R30" s="272">
        <v>4128</v>
      </c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</row>
    <row r="31" spans="1:37" s="3" customFormat="1" ht="18.600000000000001" thickBot="1" x14ac:dyDescent="0.4">
      <c r="A31" s="228" t="s">
        <v>26</v>
      </c>
      <c r="B31" s="205" t="s">
        <v>204</v>
      </c>
      <c r="C31" s="243">
        <v>5883.5345294417812</v>
      </c>
      <c r="D31" s="211"/>
      <c r="E31" s="243"/>
      <c r="F31" s="243">
        <f t="shared" si="0"/>
        <v>5884</v>
      </c>
      <c r="G31" s="243">
        <f t="shared" si="1"/>
        <v>0</v>
      </c>
      <c r="H31" s="272"/>
      <c r="I31" s="272"/>
      <c r="J31" s="258"/>
      <c r="K31" s="272"/>
      <c r="L31" s="272"/>
      <c r="M31" s="272"/>
      <c r="N31" s="272"/>
      <c r="O31" s="272"/>
      <c r="P31" s="272"/>
      <c r="Q31" s="272"/>
      <c r="R31" s="272"/>
      <c r="S31" s="272">
        <v>3269</v>
      </c>
      <c r="T31" s="272"/>
      <c r="U31" s="272"/>
      <c r="V31" s="272"/>
      <c r="W31" s="272"/>
      <c r="X31" s="272"/>
      <c r="Y31" s="272"/>
      <c r="Z31" s="272"/>
      <c r="AA31" s="272"/>
      <c r="AB31" s="272">
        <v>2615</v>
      </c>
      <c r="AC31" s="272"/>
      <c r="AD31" s="272"/>
      <c r="AE31" s="272"/>
      <c r="AF31" s="272"/>
      <c r="AG31" s="272"/>
      <c r="AH31" s="272"/>
      <c r="AI31" s="272"/>
      <c r="AJ31" s="272"/>
      <c r="AK31" s="272"/>
    </row>
    <row r="32" spans="1:37" s="3" customFormat="1" ht="18.600000000000001" thickBot="1" x14ac:dyDescent="0.4">
      <c r="A32" s="228" t="s">
        <v>27</v>
      </c>
      <c r="B32" s="205" t="s">
        <v>205</v>
      </c>
      <c r="C32" s="243">
        <v>16664.853686141003</v>
      </c>
      <c r="D32" s="211"/>
      <c r="E32" s="243"/>
      <c r="F32" s="243">
        <f t="shared" si="0"/>
        <v>16665</v>
      </c>
      <c r="G32" s="243">
        <f t="shared" si="1"/>
        <v>0</v>
      </c>
      <c r="H32" s="272"/>
      <c r="I32" s="272"/>
      <c r="J32" s="258"/>
      <c r="K32" s="272"/>
      <c r="L32" s="272"/>
      <c r="M32" s="272">
        <v>4617</v>
      </c>
      <c r="N32" s="272"/>
      <c r="O32" s="272"/>
      <c r="P32" s="272"/>
      <c r="Q32" s="272">
        <v>5038</v>
      </c>
      <c r="R32" s="272"/>
      <c r="S32" s="272">
        <v>3715</v>
      </c>
      <c r="T32" s="272">
        <v>2012</v>
      </c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>
        <v>1283</v>
      </c>
      <c r="AF32" s="272"/>
      <c r="AG32" s="272"/>
      <c r="AH32" s="272"/>
      <c r="AI32" s="272"/>
      <c r="AJ32" s="272"/>
      <c r="AK32" s="272"/>
    </row>
    <row r="33" spans="1:37" s="3" customFormat="1" ht="18.600000000000001" thickBot="1" x14ac:dyDescent="0.4">
      <c r="A33" s="228" t="s">
        <v>28</v>
      </c>
      <c r="B33" s="205" t="s">
        <v>206</v>
      </c>
      <c r="C33" s="243">
        <v>1186.206059573866</v>
      </c>
      <c r="D33" s="211"/>
      <c r="E33" s="243"/>
      <c r="F33" s="243">
        <f t="shared" si="0"/>
        <v>1186</v>
      </c>
      <c r="G33" s="243">
        <f t="shared" si="1"/>
        <v>0</v>
      </c>
      <c r="H33" s="272"/>
      <c r="I33" s="272"/>
      <c r="J33" s="258"/>
      <c r="K33" s="272"/>
      <c r="L33" s="272"/>
      <c r="M33" s="272"/>
      <c r="N33" s="272"/>
      <c r="O33" s="272"/>
      <c r="P33" s="272"/>
      <c r="Q33" s="272"/>
      <c r="R33" s="272"/>
      <c r="S33" s="272">
        <v>1186</v>
      </c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</row>
    <row r="34" spans="1:37" s="3" customFormat="1" ht="18.600000000000001" thickBot="1" x14ac:dyDescent="0.4">
      <c r="A34" s="228" t="s">
        <v>29</v>
      </c>
      <c r="B34" s="205" t="s">
        <v>207</v>
      </c>
      <c r="C34" s="243">
        <v>2205.831349100964</v>
      </c>
      <c r="D34" s="211"/>
      <c r="E34" s="243"/>
      <c r="F34" s="243">
        <f t="shared" si="0"/>
        <v>2206</v>
      </c>
      <c r="G34" s="243">
        <f t="shared" si="1"/>
        <v>0</v>
      </c>
      <c r="H34" s="272"/>
      <c r="I34" s="272"/>
      <c r="J34" s="258"/>
      <c r="K34" s="272"/>
      <c r="L34" s="272"/>
      <c r="M34" s="272"/>
      <c r="N34" s="272"/>
      <c r="O34" s="272"/>
      <c r="P34" s="272">
        <v>2206</v>
      </c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</row>
    <row r="35" spans="1:37" s="3" customFormat="1" ht="18.600000000000001" thickBot="1" x14ac:dyDescent="0.4">
      <c r="A35" s="228" t="s">
        <v>30</v>
      </c>
      <c r="B35" s="205" t="s">
        <v>208</v>
      </c>
      <c r="C35" s="243">
        <v>50427.999025120916</v>
      </c>
      <c r="D35" s="211"/>
      <c r="E35" s="243"/>
      <c r="F35" s="243">
        <f t="shared" si="0"/>
        <v>50428</v>
      </c>
      <c r="G35" s="243">
        <f t="shared" si="1"/>
        <v>0</v>
      </c>
      <c r="H35" s="272"/>
      <c r="I35" s="272"/>
      <c r="J35" s="258"/>
      <c r="K35" s="272"/>
      <c r="L35" s="272"/>
      <c r="M35" s="272">
        <v>14162</v>
      </c>
      <c r="N35" s="272">
        <v>14593</v>
      </c>
      <c r="O35" s="272"/>
      <c r="P35" s="272"/>
      <c r="Q35" s="272"/>
      <c r="R35" s="272"/>
      <c r="S35" s="272">
        <v>19757</v>
      </c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>
        <v>1916</v>
      </c>
      <c r="AE35" s="272"/>
      <c r="AF35" s="272"/>
      <c r="AG35" s="272"/>
      <c r="AH35" s="272"/>
      <c r="AI35" s="272"/>
      <c r="AJ35" s="272"/>
      <c r="AK35" s="272"/>
    </row>
    <row r="36" spans="1:37" s="3" customFormat="1" ht="18.600000000000001" thickBot="1" x14ac:dyDescent="0.4">
      <c r="A36" s="228" t="s">
        <v>31</v>
      </c>
      <c r="B36" s="205" t="s">
        <v>209</v>
      </c>
      <c r="C36" s="243">
        <v>10742.350745019408</v>
      </c>
      <c r="D36" s="211"/>
      <c r="E36" s="243"/>
      <c r="F36" s="243">
        <f t="shared" si="0"/>
        <v>10742</v>
      </c>
      <c r="G36" s="243">
        <f t="shared" si="1"/>
        <v>0</v>
      </c>
      <c r="H36" s="272"/>
      <c r="I36" s="272"/>
      <c r="J36" s="258"/>
      <c r="K36" s="272"/>
      <c r="L36" s="272"/>
      <c r="M36" s="272"/>
      <c r="N36" s="272"/>
      <c r="O36" s="272"/>
      <c r="P36" s="272">
        <v>4985</v>
      </c>
      <c r="Q36" s="272"/>
      <c r="R36" s="272"/>
      <c r="S36" s="272">
        <v>5757</v>
      </c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</row>
    <row r="37" spans="1:37" s="3" customFormat="1" ht="18.600000000000001" thickBot="1" x14ac:dyDescent="0.4">
      <c r="A37" s="228" t="s">
        <v>32</v>
      </c>
      <c r="B37" s="205" t="s">
        <v>210</v>
      </c>
      <c r="C37" s="243">
        <v>462915.20271778817</v>
      </c>
      <c r="D37" s="211"/>
      <c r="E37" s="243"/>
      <c r="F37" s="243">
        <f t="shared" si="0"/>
        <v>462915</v>
      </c>
      <c r="G37" s="243">
        <f t="shared" si="1"/>
        <v>0</v>
      </c>
      <c r="H37" s="272"/>
      <c r="I37" s="272"/>
      <c r="J37" s="258"/>
      <c r="K37" s="272">
        <v>48413</v>
      </c>
      <c r="L37" s="272"/>
      <c r="M37" s="272"/>
      <c r="N37" s="272">
        <f>20558+38033</f>
        <v>58591</v>
      </c>
      <c r="O37" s="272">
        <v>38294</v>
      </c>
      <c r="P37" s="272">
        <v>37666</v>
      </c>
      <c r="Q37" s="272"/>
      <c r="R37" s="272">
        <v>38928</v>
      </c>
      <c r="S37" s="272">
        <v>76373</v>
      </c>
      <c r="T37" s="272"/>
      <c r="U37" s="272"/>
      <c r="V37" s="272"/>
      <c r="W37" s="272">
        <v>96224</v>
      </c>
      <c r="X37" s="272">
        <v>68426</v>
      </c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</row>
    <row r="38" spans="1:37" s="3" customFormat="1" ht="18.600000000000001" thickBot="1" x14ac:dyDescent="0.4">
      <c r="A38" s="228" t="s">
        <v>33</v>
      </c>
      <c r="B38" s="205" t="s">
        <v>211</v>
      </c>
      <c r="C38" s="243">
        <v>686974.33319516026</v>
      </c>
      <c r="D38" s="211"/>
      <c r="E38" s="243"/>
      <c r="F38" s="243">
        <f t="shared" si="0"/>
        <v>686974</v>
      </c>
      <c r="G38" s="243">
        <f t="shared" si="1"/>
        <v>0</v>
      </c>
      <c r="H38" s="272"/>
      <c r="I38" s="272"/>
      <c r="J38" s="258">
        <f>55051</f>
        <v>55051</v>
      </c>
      <c r="K38" s="272">
        <v>77262</v>
      </c>
      <c r="L38" s="272">
        <v>83260</v>
      </c>
      <c r="M38" s="272">
        <v>32483</v>
      </c>
      <c r="N38" s="272">
        <v>53430</v>
      </c>
      <c r="O38" s="272">
        <v>65850</v>
      </c>
      <c r="P38" s="272">
        <v>65058</v>
      </c>
      <c r="Q38" s="272">
        <v>62664</v>
      </c>
      <c r="R38" s="272">
        <v>48062</v>
      </c>
      <c r="S38" s="272">
        <v>64847</v>
      </c>
      <c r="T38" s="272">
        <v>55827</v>
      </c>
      <c r="U38" s="272">
        <v>16946</v>
      </c>
      <c r="V38" s="272">
        <f>762+5472</f>
        <v>6234</v>
      </c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</row>
    <row r="39" spans="1:37" s="3" customFormat="1" ht="18.600000000000001" thickBot="1" x14ac:dyDescent="0.4">
      <c r="A39" s="228" t="s">
        <v>34</v>
      </c>
      <c r="B39" s="205" t="s">
        <v>212</v>
      </c>
      <c r="C39" s="243">
        <v>37625.694031117149</v>
      </c>
      <c r="D39" s="211"/>
      <c r="E39" s="243"/>
      <c r="F39" s="243">
        <f t="shared" si="0"/>
        <v>37626</v>
      </c>
      <c r="G39" s="243">
        <f t="shared" si="1"/>
        <v>0</v>
      </c>
      <c r="H39" s="272"/>
      <c r="I39" s="272"/>
      <c r="J39" s="258"/>
      <c r="K39" s="272"/>
      <c r="L39" s="272"/>
      <c r="M39" s="272">
        <v>22184</v>
      </c>
      <c r="N39" s="272"/>
      <c r="O39" s="272"/>
      <c r="P39" s="272"/>
      <c r="Q39" s="272"/>
      <c r="R39" s="272">
        <v>15390</v>
      </c>
      <c r="S39" s="272"/>
      <c r="T39" s="272"/>
      <c r="U39" s="272"/>
      <c r="V39" s="272"/>
      <c r="W39" s="272"/>
      <c r="X39" s="272"/>
      <c r="Y39" s="272"/>
      <c r="Z39" s="272"/>
      <c r="AA39" s="272">
        <v>52</v>
      </c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</row>
    <row r="40" spans="1:37" s="3" customFormat="1" ht="18.600000000000001" thickBot="1" x14ac:dyDescent="0.4">
      <c r="A40" s="228" t="s">
        <v>35</v>
      </c>
      <c r="B40" s="205" t="s">
        <v>213</v>
      </c>
      <c r="C40" s="243">
        <v>57070.344970004429</v>
      </c>
      <c r="D40" s="211"/>
      <c r="E40" s="243"/>
      <c r="F40" s="243">
        <f t="shared" si="0"/>
        <v>57070</v>
      </c>
      <c r="G40" s="243">
        <f t="shared" si="1"/>
        <v>0</v>
      </c>
      <c r="H40" s="272"/>
      <c r="I40" s="272"/>
      <c r="J40" s="258"/>
      <c r="K40" s="272">
        <v>21065</v>
      </c>
      <c r="L40" s="272">
        <v>6289</v>
      </c>
      <c r="M40" s="272">
        <v>4054</v>
      </c>
      <c r="N40" s="272">
        <v>4143</v>
      </c>
      <c r="O40" s="272">
        <v>3647</v>
      </c>
      <c r="P40" s="272">
        <v>3406</v>
      </c>
      <c r="Q40" s="272">
        <v>4029</v>
      </c>
      <c r="R40" s="272">
        <v>4030</v>
      </c>
      <c r="S40" s="272">
        <v>6407</v>
      </c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</row>
    <row r="41" spans="1:37" s="3" customFormat="1" ht="18.600000000000001" thickBot="1" x14ac:dyDescent="0.4">
      <c r="A41" s="228" t="s">
        <v>36</v>
      </c>
      <c r="B41" s="205" t="s">
        <v>391</v>
      </c>
      <c r="C41" s="243">
        <v>4758.3090104308712</v>
      </c>
      <c r="D41" s="211" t="s">
        <v>374</v>
      </c>
      <c r="E41" s="243">
        <f t="shared" si="2"/>
        <v>4758.3090104308712</v>
      </c>
      <c r="F41" s="243">
        <f t="shared" si="0"/>
        <v>0</v>
      </c>
      <c r="G41" s="243">
        <f t="shared" si="1"/>
        <v>0</v>
      </c>
      <c r="H41" s="272"/>
      <c r="I41" s="272"/>
      <c r="J41" s="258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</row>
    <row r="42" spans="1:37" s="3" customFormat="1" ht="18.600000000000001" thickBot="1" x14ac:dyDescent="0.4">
      <c r="A42" s="228" t="s">
        <v>37</v>
      </c>
      <c r="B42" s="205" t="s">
        <v>215</v>
      </c>
      <c r="C42" s="243">
        <v>11478.133834108936</v>
      </c>
      <c r="D42" s="211" t="s">
        <v>374</v>
      </c>
      <c r="E42" s="243">
        <f t="shared" si="2"/>
        <v>11478.133834108936</v>
      </c>
      <c r="F42" s="243">
        <f t="shared" si="0"/>
        <v>0</v>
      </c>
      <c r="G42" s="243">
        <f t="shared" si="1"/>
        <v>0</v>
      </c>
      <c r="H42" s="272"/>
      <c r="I42" s="272"/>
      <c r="J42" s="258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</row>
    <row r="43" spans="1:37" s="3" customFormat="1" ht="18.600000000000001" thickBot="1" x14ac:dyDescent="0.4">
      <c r="A43" s="228" t="s">
        <v>38</v>
      </c>
      <c r="B43" s="205" t="s">
        <v>216</v>
      </c>
      <c r="C43" s="243">
        <v>38425.973805606052</v>
      </c>
      <c r="D43" s="211"/>
      <c r="E43" s="243"/>
      <c r="F43" s="243">
        <f t="shared" si="0"/>
        <v>38426</v>
      </c>
      <c r="G43" s="243">
        <f t="shared" si="1"/>
        <v>0</v>
      </c>
      <c r="H43" s="272"/>
      <c r="I43" s="272"/>
      <c r="J43" s="258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>
        <v>538</v>
      </c>
      <c r="V43" s="272"/>
      <c r="W43" s="272"/>
      <c r="X43" s="272"/>
      <c r="Y43" s="272"/>
      <c r="Z43" s="272"/>
      <c r="AA43" s="272">
        <v>4431</v>
      </c>
      <c r="AB43" s="272"/>
      <c r="AC43" s="272">
        <v>5537</v>
      </c>
      <c r="AD43" s="272"/>
      <c r="AE43" s="272"/>
      <c r="AF43" s="272"/>
      <c r="AG43" s="272">
        <v>27920</v>
      </c>
      <c r="AH43" s="272"/>
      <c r="AI43" s="272"/>
      <c r="AJ43" s="272"/>
      <c r="AK43" s="272"/>
    </row>
    <row r="44" spans="1:37" s="3" customFormat="1" ht="18.600000000000001" thickBot="1" x14ac:dyDescent="0.4">
      <c r="A44" s="228" t="s">
        <v>39</v>
      </c>
      <c r="B44" s="205" t="s">
        <v>217</v>
      </c>
      <c r="C44" s="243">
        <v>72731.568911268783</v>
      </c>
      <c r="D44" s="211"/>
      <c r="E44" s="243"/>
      <c r="F44" s="243">
        <f t="shared" si="0"/>
        <v>72732</v>
      </c>
      <c r="G44" s="243">
        <f t="shared" si="1"/>
        <v>0</v>
      </c>
      <c r="H44" s="272"/>
      <c r="I44" s="272"/>
      <c r="J44" s="258"/>
      <c r="K44" s="272">
        <f>9787+1242</f>
        <v>11029</v>
      </c>
      <c r="L44" s="272">
        <v>1338</v>
      </c>
      <c r="M44" s="272">
        <v>4872</v>
      </c>
      <c r="N44" s="272"/>
      <c r="O44" s="272">
        <v>8032</v>
      </c>
      <c r="P44" s="272">
        <v>1007</v>
      </c>
      <c r="Q44" s="272">
        <v>2688</v>
      </c>
      <c r="R44" s="272">
        <v>6337</v>
      </c>
      <c r="S44" s="272">
        <v>22396</v>
      </c>
      <c r="T44" s="272">
        <v>1659</v>
      </c>
      <c r="U44" s="272"/>
      <c r="V44" s="272">
        <v>4449</v>
      </c>
      <c r="W44" s="272">
        <v>8925</v>
      </c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</row>
    <row r="45" spans="1:37" s="3" customFormat="1" ht="18.600000000000001" thickBot="1" x14ac:dyDescent="0.4">
      <c r="A45" s="228" t="s">
        <v>40</v>
      </c>
      <c r="B45" s="205" t="s">
        <v>218</v>
      </c>
      <c r="C45" s="243">
        <v>23624.18816237666</v>
      </c>
      <c r="D45" s="211"/>
      <c r="E45" s="243"/>
      <c r="F45" s="243">
        <f t="shared" si="0"/>
        <v>23624</v>
      </c>
      <c r="G45" s="243">
        <f t="shared" si="1"/>
        <v>0</v>
      </c>
      <c r="H45" s="272"/>
      <c r="I45" s="272"/>
      <c r="J45" s="258"/>
      <c r="K45" s="272"/>
      <c r="L45" s="272"/>
      <c r="M45" s="272"/>
      <c r="N45" s="272"/>
      <c r="O45" s="272"/>
      <c r="P45" s="272"/>
      <c r="Q45" s="272"/>
      <c r="R45" s="272"/>
      <c r="S45" s="272">
        <v>23624</v>
      </c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</row>
    <row r="46" spans="1:37" s="3" customFormat="1" ht="18.600000000000001" thickBot="1" x14ac:dyDescent="0.4">
      <c r="A46" s="228" t="s">
        <v>41</v>
      </c>
      <c r="B46" s="205" t="s">
        <v>219</v>
      </c>
      <c r="C46" s="243">
        <v>34524.696230026755</v>
      </c>
      <c r="D46" s="211"/>
      <c r="E46" s="243"/>
      <c r="F46" s="243">
        <f t="shared" si="0"/>
        <v>31980</v>
      </c>
      <c r="G46" s="243">
        <f t="shared" si="1"/>
        <v>2545</v>
      </c>
      <c r="H46" s="272"/>
      <c r="I46" s="272"/>
      <c r="J46" s="258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>
        <v>118</v>
      </c>
      <c r="V46" s="272"/>
      <c r="W46" s="272">
        <v>2574</v>
      </c>
      <c r="X46" s="272">
        <v>3396</v>
      </c>
      <c r="Y46" s="272">
        <v>2571</v>
      </c>
      <c r="Z46" s="272"/>
      <c r="AA46" s="272">
        <f>2589+2586</f>
        <v>5175</v>
      </c>
      <c r="AB46" s="272"/>
      <c r="AC46" s="272">
        <v>2586</v>
      </c>
      <c r="AD46" s="272">
        <v>2604</v>
      </c>
      <c r="AE46" s="272">
        <v>2586</v>
      </c>
      <c r="AF46" s="272">
        <v>2586</v>
      </c>
      <c r="AG46" s="272">
        <v>2604</v>
      </c>
      <c r="AH46" s="272"/>
      <c r="AI46" s="272">
        <f>2587+2593</f>
        <v>5180</v>
      </c>
      <c r="AJ46" s="272"/>
      <c r="AK46" s="272"/>
    </row>
    <row r="47" spans="1:37" s="3" customFormat="1" ht="18.600000000000001" thickBot="1" x14ac:dyDescent="0.4">
      <c r="A47" s="228" t="s">
        <v>42</v>
      </c>
      <c r="B47" s="53" t="s">
        <v>220</v>
      </c>
      <c r="C47" s="243">
        <v>37383.679781507009</v>
      </c>
      <c r="D47" s="211"/>
      <c r="E47" s="243"/>
      <c r="F47" s="243">
        <f t="shared" si="0"/>
        <v>24556</v>
      </c>
      <c r="G47" s="243">
        <f t="shared" si="1"/>
        <v>12828</v>
      </c>
      <c r="H47" s="272"/>
      <c r="I47" s="272"/>
      <c r="J47" s="258"/>
      <c r="K47" s="272"/>
      <c r="L47" s="272"/>
      <c r="M47" s="272"/>
      <c r="N47" s="272"/>
      <c r="O47" s="272"/>
      <c r="P47" s="272">
        <v>690</v>
      </c>
      <c r="Q47" s="272"/>
      <c r="R47" s="272"/>
      <c r="S47" s="272">
        <v>12593</v>
      </c>
      <c r="T47" s="272"/>
      <c r="U47" s="272"/>
      <c r="V47" s="272">
        <v>4165</v>
      </c>
      <c r="W47" s="272"/>
      <c r="X47" s="272"/>
      <c r="Y47" s="272"/>
      <c r="Z47" s="272"/>
      <c r="AA47" s="272"/>
      <c r="AB47" s="272"/>
      <c r="AC47" s="272">
        <v>5550</v>
      </c>
      <c r="AD47" s="272"/>
      <c r="AE47" s="272"/>
      <c r="AF47" s="272"/>
      <c r="AG47" s="272">
        <v>1558</v>
      </c>
      <c r="AH47" s="272"/>
      <c r="AI47" s="272"/>
      <c r="AJ47" s="272"/>
      <c r="AK47" s="272"/>
    </row>
    <row r="48" spans="1:37" s="3" customFormat="1" ht="18.600000000000001" thickBot="1" x14ac:dyDescent="0.4">
      <c r="A48" s="228" t="s">
        <v>43</v>
      </c>
      <c r="B48" s="205" t="s">
        <v>221</v>
      </c>
      <c r="C48" s="243">
        <v>25285.234033080378</v>
      </c>
      <c r="D48" s="211"/>
      <c r="E48" s="243"/>
      <c r="F48" s="243">
        <f t="shared" si="0"/>
        <v>25285</v>
      </c>
      <c r="G48" s="243">
        <f t="shared" si="1"/>
        <v>0</v>
      </c>
      <c r="H48" s="272"/>
      <c r="I48" s="272"/>
      <c r="J48" s="258"/>
      <c r="K48" s="272"/>
      <c r="L48" s="272"/>
      <c r="M48" s="272"/>
      <c r="N48" s="272">
        <v>6091</v>
      </c>
      <c r="O48" s="272">
        <f>3065+6995</f>
        <v>10060</v>
      </c>
      <c r="P48" s="272"/>
      <c r="Q48" s="272"/>
      <c r="R48" s="272">
        <v>3006</v>
      </c>
      <c r="S48" s="272">
        <v>751</v>
      </c>
      <c r="T48" s="272"/>
      <c r="U48" s="272"/>
      <c r="V48" s="272">
        <v>3523</v>
      </c>
      <c r="W48" s="272"/>
      <c r="X48" s="272">
        <v>1854</v>
      </c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</row>
    <row r="49" spans="1:37" s="3" customFormat="1" ht="18.600000000000001" thickBot="1" x14ac:dyDescent="0.4">
      <c r="A49" s="228" t="s">
        <v>44</v>
      </c>
      <c r="B49" s="205" t="s">
        <v>222</v>
      </c>
      <c r="C49" s="243">
        <v>45647.400613522463</v>
      </c>
      <c r="D49" s="211"/>
      <c r="E49" s="243"/>
      <c r="F49" s="243">
        <f t="shared" si="0"/>
        <v>45647</v>
      </c>
      <c r="G49" s="243">
        <f t="shared" si="1"/>
        <v>0</v>
      </c>
      <c r="H49" s="272"/>
      <c r="I49" s="272"/>
      <c r="J49" s="258"/>
      <c r="K49" s="272"/>
      <c r="L49" s="272"/>
      <c r="M49" s="272"/>
      <c r="N49" s="272"/>
      <c r="O49" s="272"/>
      <c r="P49" s="272"/>
      <c r="Q49" s="272"/>
      <c r="R49" s="272"/>
      <c r="S49" s="272">
        <v>1329</v>
      </c>
      <c r="T49" s="272"/>
      <c r="U49" s="272"/>
      <c r="V49" s="272"/>
      <c r="W49" s="272"/>
      <c r="X49" s="272"/>
      <c r="Y49" s="272">
        <v>5652</v>
      </c>
      <c r="Z49" s="272"/>
      <c r="AA49" s="272"/>
      <c r="AB49" s="272">
        <v>5203</v>
      </c>
      <c r="AC49" s="272"/>
      <c r="AD49" s="272"/>
      <c r="AE49" s="272">
        <v>3870</v>
      </c>
      <c r="AF49" s="272"/>
      <c r="AG49" s="272"/>
      <c r="AH49" s="272"/>
      <c r="AI49" s="272">
        <v>23217</v>
      </c>
      <c r="AJ49" s="272">
        <v>6376</v>
      </c>
      <c r="AK49" s="272"/>
    </row>
    <row r="50" spans="1:37" s="3" customFormat="1" ht="18.600000000000001" thickBot="1" x14ac:dyDescent="0.4">
      <c r="A50" s="228" t="s">
        <v>45</v>
      </c>
      <c r="B50" s="205" t="s">
        <v>223</v>
      </c>
      <c r="C50" s="243">
        <v>27949.614627249826</v>
      </c>
      <c r="D50" s="211"/>
      <c r="E50" s="243"/>
      <c r="F50" s="243">
        <f t="shared" si="0"/>
        <v>27950</v>
      </c>
      <c r="G50" s="243">
        <f t="shared" si="1"/>
        <v>0</v>
      </c>
      <c r="H50" s="272"/>
      <c r="I50" s="272"/>
      <c r="J50" s="258"/>
      <c r="K50" s="272"/>
      <c r="L50" s="272"/>
      <c r="M50" s="272"/>
      <c r="N50" s="272"/>
      <c r="O50" s="272"/>
      <c r="P50" s="272"/>
      <c r="Q50" s="272"/>
      <c r="R50" s="272"/>
      <c r="S50" s="272">
        <v>27950</v>
      </c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</row>
    <row r="51" spans="1:37" s="3" customFormat="1" ht="18.600000000000001" thickBot="1" x14ac:dyDescent="0.4">
      <c r="A51" s="228" t="s">
        <v>46</v>
      </c>
      <c r="B51" s="205" t="s">
        <v>224</v>
      </c>
      <c r="C51" s="243">
        <v>218989.34149705101</v>
      </c>
      <c r="D51" s="211"/>
      <c r="E51" s="243"/>
      <c r="F51" s="243">
        <f t="shared" si="0"/>
        <v>218989</v>
      </c>
      <c r="G51" s="243">
        <f t="shared" si="1"/>
        <v>0</v>
      </c>
      <c r="H51" s="272"/>
      <c r="I51" s="272"/>
      <c r="J51" s="258"/>
      <c r="K51" s="272"/>
      <c r="L51" s="272">
        <v>20194</v>
      </c>
      <c r="M51" s="272">
        <v>16397</v>
      </c>
      <c r="N51" s="272">
        <v>16458</v>
      </c>
      <c r="O51" s="272">
        <v>16578</v>
      </c>
      <c r="P51" s="272"/>
      <c r="Q51" s="272">
        <v>33060</v>
      </c>
      <c r="R51" s="272">
        <v>20387</v>
      </c>
      <c r="S51" s="272">
        <v>16876</v>
      </c>
      <c r="T51" s="272">
        <v>48828</v>
      </c>
      <c r="U51" s="272"/>
      <c r="V51" s="272"/>
      <c r="W51" s="272"/>
      <c r="X51" s="272"/>
      <c r="Y51" s="272"/>
      <c r="Z51" s="272"/>
      <c r="AA51" s="272">
        <v>30211</v>
      </c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</row>
    <row r="52" spans="1:37" s="3" customFormat="1" ht="18.600000000000001" thickBot="1" x14ac:dyDescent="0.4">
      <c r="A52" s="228" t="s">
        <v>47</v>
      </c>
      <c r="B52" s="205" t="s">
        <v>225</v>
      </c>
      <c r="C52" s="243">
        <v>4138183.6821918515</v>
      </c>
      <c r="D52" s="211"/>
      <c r="E52" s="243"/>
      <c r="F52" s="243">
        <f t="shared" si="0"/>
        <v>4138184</v>
      </c>
      <c r="G52" s="243">
        <f t="shared" si="1"/>
        <v>0</v>
      </c>
      <c r="H52" s="272"/>
      <c r="I52" s="272"/>
      <c r="J52" s="258"/>
      <c r="K52" s="272"/>
      <c r="L52" s="272"/>
      <c r="M52" s="272"/>
      <c r="N52" s="272"/>
      <c r="O52" s="272">
        <v>603958</v>
      </c>
      <c r="P52" s="272"/>
      <c r="Q52" s="272">
        <v>856005</v>
      </c>
      <c r="R52" s="272">
        <v>443977</v>
      </c>
      <c r="S52" s="272"/>
      <c r="T52" s="272">
        <f>486281+375649</f>
        <v>861930</v>
      </c>
      <c r="U52" s="272"/>
      <c r="V52" s="272"/>
      <c r="W52" s="272"/>
      <c r="X52" s="272">
        <v>1372314</v>
      </c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</row>
    <row r="53" spans="1:37" s="3" customFormat="1" ht="18.600000000000001" thickBot="1" x14ac:dyDescent="0.4">
      <c r="A53" s="228" t="s">
        <v>48</v>
      </c>
      <c r="B53" s="205" t="s">
        <v>226</v>
      </c>
      <c r="C53" s="243">
        <v>14500.084172981356</v>
      </c>
      <c r="D53" s="212"/>
      <c r="E53" s="243"/>
      <c r="F53" s="243">
        <f t="shared" si="0"/>
        <v>14500</v>
      </c>
      <c r="G53" s="243">
        <f t="shared" si="1"/>
        <v>0</v>
      </c>
      <c r="H53" s="272"/>
      <c r="I53" s="272"/>
      <c r="J53" s="258"/>
      <c r="K53" s="272"/>
      <c r="L53" s="272"/>
      <c r="M53" s="272">
        <v>11100</v>
      </c>
      <c r="N53" s="272"/>
      <c r="O53" s="272"/>
      <c r="P53" s="272"/>
      <c r="Q53" s="272"/>
      <c r="R53" s="272">
        <v>3400</v>
      </c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</row>
    <row r="54" spans="1:37" s="3" customFormat="1" ht="18.600000000000001" thickBot="1" x14ac:dyDescent="0.4">
      <c r="A54" s="228" t="s">
        <v>49</v>
      </c>
      <c r="B54" s="205" t="s">
        <v>227</v>
      </c>
      <c r="C54" s="243">
        <v>467821.85050502449</v>
      </c>
      <c r="D54" s="211"/>
      <c r="E54" s="243"/>
      <c r="F54" s="243">
        <f t="shared" si="0"/>
        <v>467822</v>
      </c>
      <c r="G54" s="243">
        <f t="shared" si="1"/>
        <v>0</v>
      </c>
      <c r="H54" s="272"/>
      <c r="I54" s="272"/>
      <c r="J54" s="258"/>
      <c r="K54" s="272">
        <v>14733</v>
      </c>
      <c r="L54" s="272"/>
      <c r="M54" s="272"/>
      <c r="N54" s="272">
        <v>58754</v>
      </c>
      <c r="O54" s="272">
        <v>-53777</v>
      </c>
      <c r="P54" s="272">
        <v>14614</v>
      </c>
      <c r="Q54" s="272">
        <v>6573</v>
      </c>
      <c r="R54" s="272">
        <v>19277</v>
      </c>
      <c r="S54" s="272">
        <v>21556</v>
      </c>
      <c r="T54" s="272">
        <v>146097</v>
      </c>
      <c r="U54" s="272"/>
      <c r="V54" s="272">
        <v>74105</v>
      </c>
      <c r="W54" s="272"/>
      <c r="X54" s="272"/>
      <c r="Y54" s="272">
        <v>143757</v>
      </c>
      <c r="Z54" s="272">
        <v>22133</v>
      </c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</row>
    <row r="55" spans="1:37" s="3" customFormat="1" ht="18.600000000000001" thickBot="1" x14ac:dyDescent="0.4">
      <c r="A55" s="228" t="s">
        <v>50</v>
      </c>
      <c r="B55" s="205" t="s">
        <v>228</v>
      </c>
      <c r="C55" s="243">
        <v>104067.630055905</v>
      </c>
      <c r="D55" s="211"/>
      <c r="E55" s="243"/>
      <c r="F55" s="243">
        <f t="shared" si="0"/>
        <v>104068</v>
      </c>
      <c r="G55" s="243">
        <f t="shared" si="1"/>
        <v>0</v>
      </c>
      <c r="H55" s="272"/>
      <c r="I55" s="272"/>
      <c r="J55" s="258"/>
      <c r="K55" s="272"/>
      <c r="L55" s="272"/>
      <c r="M55" s="272">
        <v>56554</v>
      </c>
      <c r="N55" s="272"/>
      <c r="O55" s="272">
        <v>44089</v>
      </c>
      <c r="P55" s="272"/>
      <c r="Q55" s="272"/>
      <c r="R55" s="272"/>
      <c r="S55" s="272">
        <v>3425</v>
      </c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</row>
    <row r="56" spans="1:37" s="3" customFormat="1" ht="18.600000000000001" thickBot="1" x14ac:dyDescent="0.4">
      <c r="A56" s="228" t="s">
        <v>51</v>
      </c>
      <c r="B56" s="205" t="s">
        <v>229</v>
      </c>
      <c r="C56" s="243">
        <v>41454.809533204541</v>
      </c>
      <c r="D56" s="211"/>
      <c r="E56" s="243"/>
      <c r="F56" s="243">
        <f t="shared" si="0"/>
        <v>41455</v>
      </c>
      <c r="G56" s="243">
        <f t="shared" si="1"/>
        <v>0</v>
      </c>
      <c r="H56" s="272"/>
      <c r="I56" s="272"/>
      <c r="J56" s="258"/>
      <c r="K56" s="272"/>
      <c r="L56" s="272"/>
      <c r="M56" s="272"/>
      <c r="N56" s="272"/>
      <c r="O56" s="272">
        <v>13337</v>
      </c>
      <c r="P56" s="272">
        <v>10740</v>
      </c>
      <c r="Q56" s="272"/>
      <c r="R56" s="272">
        <v>1157</v>
      </c>
      <c r="S56" s="272">
        <v>16221</v>
      </c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</row>
    <row r="57" spans="1:37" s="3" customFormat="1" ht="18.600000000000001" thickBot="1" x14ac:dyDescent="0.4">
      <c r="A57" s="228" t="s">
        <v>52</v>
      </c>
      <c r="B57" s="205" t="s">
        <v>230</v>
      </c>
      <c r="C57" s="243">
        <v>9691.7693729624189</v>
      </c>
      <c r="D57" s="211" t="s">
        <v>374</v>
      </c>
      <c r="E57" s="243">
        <f t="shared" si="2"/>
        <v>9691.7693729624189</v>
      </c>
      <c r="F57" s="243">
        <f t="shared" si="0"/>
        <v>0</v>
      </c>
      <c r="G57" s="243">
        <f t="shared" si="1"/>
        <v>0</v>
      </c>
      <c r="H57" s="272"/>
      <c r="I57" s="272"/>
      <c r="J57" s="258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</row>
    <row r="58" spans="1:37" s="3" customFormat="1" ht="18.600000000000001" thickBot="1" x14ac:dyDescent="0.4">
      <c r="A58" s="228" t="s">
        <v>53</v>
      </c>
      <c r="B58" s="205" t="s">
        <v>231</v>
      </c>
      <c r="C58" s="243">
        <v>23567.303491180322</v>
      </c>
      <c r="D58" s="211"/>
      <c r="E58" s="243"/>
      <c r="F58" s="243">
        <f t="shared" si="0"/>
        <v>23567</v>
      </c>
      <c r="G58" s="243">
        <f t="shared" si="1"/>
        <v>0</v>
      </c>
      <c r="H58" s="272"/>
      <c r="I58" s="272"/>
      <c r="J58" s="258"/>
      <c r="K58" s="272"/>
      <c r="L58" s="272"/>
      <c r="M58" s="272"/>
      <c r="N58" s="272"/>
      <c r="O58" s="272"/>
      <c r="P58" s="272"/>
      <c r="Q58" s="272"/>
      <c r="R58" s="272"/>
      <c r="S58" s="272">
        <v>23567</v>
      </c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</row>
    <row r="59" spans="1:37" s="3" customFormat="1" ht="18.600000000000001" thickBot="1" x14ac:dyDescent="0.4">
      <c r="A59" s="228" t="s">
        <v>54</v>
      </c>
      <c r="B59" s="205" t="s">
        <v>232</v>
      </c>
      <c r="C59" s="243">
        <v>2427.5091678497083</v>
      </c>
      <c r="D59" s="211"/>
      <c r="E59" s="243"/>
      <c r="F59" s="243">
        <f t="shared" si="0"/>
        <v>2428</v>
      </c>
      <c r="G59" s="243">
        <f t="shared" si="1"/>
        <v>0</v>
      </c>
      <c r="H59" s="272"/>
      <c r="I59" s="272"/>
      <c r="J59" s="258"/>
      <c r="K59" s="272"/>
      <c r="L59" s="272"/>
      <c r="M59" s="272"/>
      <c r="N59" s="272">
        <v>2428</v>
      </c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</row>
    <row r="60" spans="1:37" s="3" customFormat="1" ht="18.600000000000001" thickBot="1" x14ac:dyDescent="0.4">
      <c r="A60" s="228" t="s">
        <v>55</v>
      </c>
      <c r="B60" s="205" t="s">
        <v>233</v>
      </c>
      <c r="C60" s="243">
        <v>921.75593050787415</v>
      </c>
      <c r="D60" s="211" t="s">
        <v>374</v>
      </c>
      <c r="E60" s="243">
        <f t="shared" ref="E60" si="3">IF(ISBLANK(D60),,C60)</f>
        <v>921.75593050787415</v>
      </c>
      <c r="F60" s="243">
        <f t="shared" si="0"/>
        <v>0</v>
      </c>
      <c r="G60" s="243">
        <f t="shared" si="1"/>
        <v>0</v>
      </c>
      <c r="H60" s="272"/>
      <c r="I60" s="272"/>
      <c r="J60" s="258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</row>
    <row r="61" spans="1:37" s="3" customFormat="1" ht="18.600000000000001" thickBot="1" x14ac:dyDescent="0.4">
      <c r="A61" s="228" t="s">
        <v>56</v>
      </c>
      <c r="B61" s="205" t="s">
        <v>234</v>
      </c>
      <c r="C61" s="243">
        <v>13483.061421726368</v>
      </c>
      <c r="D61" s="211"/>
      <c r="E61" s="243"/>
      <c r="F61" s="243">
        <f t="shared" si="0"/>
        <v>13483</v>
      </c>
      <c r="G61" s="243">
        <f t="shared" si="1"/>
        <v>0</v>
      </c>
      <c r="H61" s="272"/>
      <c r="I61" s="272"/>
      <c r="J61" s="258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>
        <v>13483</v>
      </c>
    </row>
    <row r="62" spans="1:37" s="3" customFormat="1" ht="18.600000000000001" thickBot="1" x14ac:dyDescent="0.4">
      <c r="A62" s="228" t="s">
        <v>57</v>
      </c>
      <c r="B62" s="205" t="s">
        <v>235</v>
      </c>
      <c r="C62" s="243">
        <v>578591.18030480912</v>
      </c>
      <c r="D62" s="211"/>
      <c r="E62" s="243"/>
      <c r="F62" s="243">
        <f t="shared" si="0"/>
        <v>578591</v>
      </c>
      <c r="G62" s="243">
        <f t="shared" si="1"/>
        <v>0</v>
      </c>
      <c r="H62" s="272"/>
      <c r="I62" s="272"/>
      <c r="J62" s="258"/>
      <c r="K62" s="272">
        <v>201171</v>
      </c>
      <c r="L62" s="272"/>
      <c r="M62" s="272"/>
      <c r="N62" s="272"/>
      <c r="O62" s="272">
        <v>47387</v>
      </c>
      <c r="P62" s="272">
        <v>44448</v>
      </c>
      <c r="Q62" s="272">
        <v>22726</v>
      </c>
      <c r="R62" s="272">
        <v>23612</v>
      </c>
      <c r="S62" s="272">
        <v>22727</v>
      </c>
      <c r="T62" s="272">
        <v>57417</v>
      </c>
      <c r="U62" s="272">
        <v>2206</v>
      </c>
      <c r="V62" s="272">
        <f>34945+103189</f>
        <v>138134</v>
      </c>
      <c r="W62" s="272">
        <v>18763</v>
      </c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</row>
    <row r="63" spans="1:37" s="3" customFormat="1" ht="18.600000000000001" thickBot="1" x14ac:dyDescent="0.4">
      <c r="A63" s="228" t="s">
        <v>58</v>
      </c>
      <c r="B63" s="205" t="s">
        <v>236</v>
      </c>
      <c r="C63" s="243">
        <v>250378.56751396589</v>
      </c>
      <c r="D63" s="211"/>
      <c r="E63" s="243"/>
      <c r="F63" s="243">
        <f t="shared" si="0"/>
        <v>250379</v>
      </c>
      <c r="G63" s="243">
        <f t="shared" si="1"/>
        <v>0</v>
      </c>
      <c r="H63" s="272"/>
      <c r="I63" s="272"/>
      <c r="J63" s="258"/>
      <c r="K63" s="272"/>
      <c r="L63" s="272">
        <v>38009</v>
      </c>
      <c r="M63" s="272">
        <v>23319</v>
      </c>
      <c r="N63" s="272"/>
      <c r="O63" s="272">
        <v>42190</v>
      </c>
      <c r="P63" s="272"/>
      <c r="Q63" s="272">
        <v>21162</v>
      </c>
      <c r="R63" s="272">
        <v>24708</v>
      </c>
      <c r="S63" s="272">
        <v>18962</v>
      </c>
      <c r="T63" s="272"/>
      <c r="U63" s="272"/>
      <c r="V63" s="272">
        <v>57289</v>
      </c>
      <c r="W63" s="272"/>
      <c r="X63" s="272"/>
      <c r="Y63" s="272">
        <v>24740</v>
      </c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</row>
    <row r="64" spans="1:37" s="3" customFormat="1" ht="18.600000000000001" thickBot="1" x14ac:dyDescent="0.4">
      <c r="A64" s="228" t="s">
        <v>59</v>
      </c>
      <c r="B64" s="205" t="s">
        <v>237</v>
      </c>
      <c r="C64" s="243">
        <v>157067.76278402979</v>
      </c>
      <c r="D64" s="211"/>
      <c r="E64" s="243"/>
      <c r="F64" s="243">
        <f t="shared" si="0"/>
        <v>157068</v>
      </c>
      <c r="G64" s="243">
        <f t="shared" si="1"/>
        <v>0</v>
      </c>
      <c r="H64" s="272"/>
      <c r="I64" s="272"/>
      <c r="J64" s="258"/>
      <c r="K64" s="272">
        <f>63919+11994</f>
        <v>75913</v>
      </c>
      <c r="L64" s="272">
        <v>10600</v>
      </c>
      <c r="M64" s="272">
        <v>11772</v>
      </c>
      <c r="N64" s="272">
        <v>10253</v>
      </c>
      <c r="O64" s="272">
        <v>11970</v>
      </c>
      <c r="P64" s="272">
        <v>11999</v>
      </c>
      <c r="Q64" s="272">
        <v>12000</v>
      </c>
      <c r="R64" s="272">
        <v>12029</v>
      </c>
      <c r="S64" s="272">
        <v>532</v>
      </c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</row>
    <row r="65" spans="1:37" s="3" customFormat="1" ht="18.600000000000001" thickBot="1" x14ac:dyDescent="0.4">
      <c r="A65" s="228" t="s">
        <v>60</v>
      </c>
      <c r="B65" s="205" t="s">
        <v>238</v>
      </c>
      <c r="C65" s="243">
        <v>1264908.8792370139</v>
      </c>
      <c r="D65" s="211"/>
      <c r="E65" s="243"/>
      <c r="F65" s="243">
        <f t="shared" si="0"/>
        <v>1264909</v>
      </c>
      <c r="G65" s="243">
        <f t="shared" si="1"/>
        <v>0</v>
      </c>
      <c r="H65" s="272"/>
      <c r="I65" s="272"/>
      <c r="J65" s="258"/>
      <c r="K65" s="272">
        <v>113946</v>
      </c>
      <c r="L65" s="272"/>
      <c r="M65" s="272"/>
      <c r="N65" s="272"/>
      <c r="O65" s="272"/>
      <c r="P65" s="272"/>
      <c r="Q65" s="272">
        <v>30871</v>
      </c>
      <c r="R65" s="272">
        <v>116398</v>
      </c>
      <c r="S65" s="272">
        <v>127116</v>
      </c>
      <c r="T65" s="272">
        <v>89330</v>
      </c>
      <c r="U65" s="272">
        <v>292634</v>
      </c>
      <c r="V65" s="272"/>
      <c r="W65" s="272">
        <v>194554</v>
      </c>
      <c r="X65" s="272">
        <v>158625</v>
      </c>
      <c r="Y65" s="272">
        <v>82916</v>
      </c>
      <c r="Z65" s="272">
        <v>58519</v>
      </c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</row>
    <row r="66" spans="1:37" s="3" customFormat="1" ht="18.600000000000001" thickBot="1" x14ac:dyDescent="0.4">
      <c r="A66" s="228" t="s">
        <v>61</v>
      </c>
      <c r="B66" s="205" t="s">
        <v>239</v>
      </c>
      <c r="C66" s="243">
        <v>66436.840978213295</v>
      </c>
      <c r="D66" s="211"/>
      <c r="E66" s="243"/>
      <c r="F66" s="243">
        <f t="shared" si="0"/>
        <v>66437</v>
      </c>
      <c r="G66" s="243">
        <f t="shared" si="1"/>
        <v>0</v>
      </c>
      <c r="H66" s="272"/>
      <c r="I66" s="272"/>
      <c r="J66" s="258"/>
      <c r="K66" s="272"/>
      <c r="L66" s="272"/>
      <c r="M66" s="272"/>
      <c r="N66" s="272"/>
      <c r="O66" s="272"/>
      <c r="P66" s="272"/>
      <c r="Q66" s="272"/>
      <c r="R66" s="272"/>
      <c r="S66" s="272">
        <v>21031</v>
      </c>
      <c r="T66" s="272"/>
      <c r="U66" s="272"/>
      <c r="V66" s="272"/>
      <c r="W66" s="272">
        <v>11703</v>
      </c>
      <c r="X66" s="272"/>
      <c r="Y66" s="272"/>
      <c r="Z66" s="272"/>
      <c r="AA66" s="272"/>
      <c r="AB66" s="272"/>
      <c r="AC66" s="272"/>
      <c r="AD66" s="272"/>
      <c r="AE66" s="272"/>
      <c r="AF66" s="272">
        <v>33703</v>
      </c>
      <c r="AG66" s="272"/>
      <c r="AH66" s="272"/>
      <c r="AI66" s="272"/>
      <c r="AJ66" s="272"/>
      <c r="AK66" s="272"/>
    </row>
    <row r="67" spans="1:37" s="3" customFormat="1" ht="18.600000000000001" thickBot="1" x14ac:dyDescent="0.4">
      <c r="A67" s="228" t="s">
        <v>62</v>
      </c>
      <c r="B67" s="205" t="s">
        <v>240</v>
      </c>
      <c r="C67" s="243">
        <v>88122.896231676452</v>
      </c>
      <c r="D67" s="211"/>
      <c r="E67" s="243"/>
      <c r="F67" s="243">
        <f t="shared" si="0"/>
        <v>88123</v>
      </c>
      <c r="G67" s="243">
        <f t="shared" si="1"/>
        <v>0</v>
      </c>
      <c r="H67" s="272"/>
      <c r="I67" s="272"/>
      <c r="J67" s="258"/>
      <c r="K67" s="272"/>
      <c r="L67" s="272"/>
      <c r="M67" s="272"/>
      <c r="N67" s="272"/>
      <c r="O67" s="272"/>
      <c r="P67" s="272">
        <v>43477</v>
      </c>
      <c r="Q67" s="272"/>
      <c r="R67" s="272"/>
      <c r="S67" s="272">
        <v>29080</v>
      </c>
      <c r="T67" s="272"/>
      <c r="U67" s="272"/>
      <c r="V67" s="272"/>
      <c r="W67" s="272"/>
      <c r="X67" s="272"/>
      <c r="Y67" s="272"/>
      <c r="Z67" s="272"/>
      <c r="AA67" s="272"/>
      <c r="AB67" s="272">
        <v>15566</v>
      </c>
      <c r="AC67" s="272"/>
      <c r="AD67" s="272"/>
      <c r="AE67" s="272"/>
      <c r="AF67" s="272"/>
      <c r="AG67" s="272"/>
      <c r="AH67" s="272"/>
      <c r="AI67" s="272"/>
      <c r="AJ67" s="272"/>
      <c r="AK67" s="272"/>
    </row>
    <row r="68" spans="1:37" s="3" customFormat="1" ht="18.600000000000001" thickBot="1" x14ac:dyDescent="0.4">
      <c r="A68" s="228" t="s">
        <v>63</v>
      </c>
      <c r="B68" s="205" t="s">
        <v>241</v>
      </c>
      <c r="C68" s="243">
        <v>241661.92749651507</v>
      </c>
      <c r="D68" s="211"/>
      <c r="E68" s="243"/>
      <c r="F68" s="243">
        <f t="shared" si="0"/>
        <v>241662</v>
      </c>
      <c r="G68" s="243">
        <f t="shared" si="1"/>
        <v>0</v>
      </c>
      <c r="H68" s="272"/>
      <c r="I68" s="272"/>
      <c r="J68" s="258"/>
      <c r="K68" s="272"/>
      <c r="L68" s="272"/>
      <c r="M68" s="272"/>
      <c r="N68" s="272"/>
      <c r="O68" s="272"/>
      <c r="P68" s="272">
        <v>9152</v>
      </c>
      <c r="Q68" s="272">
        <v>16634</v>
      </c>
      <c r="R68" s="272"/>
      <c r="S68" s="272">
        <v>113743</v>
      </c>
      <c r="T68" s="272"/>
      <c r="U68" s="272">
        <f>43778+9510</f>
        <v>53288</v>
      </c>
      <c r="V68" s="272">
        <v>6213</v>
      </c>
      <c r="W68" s="272"/>
      <c r="X68" s="272">
        <v>3435</v>
      </c>
      <c r="Y68" s="272"/>
      <c r="Z68" s="272"/>
      <c r="AA68" s="272">
        <v>21635</v>
      </c>
      <c r="AB68" s="272"/>
      <c r="AC68" s="272"/>
      <c r="AD68" s="272">
        <v>10799</v>
      </c>
      <c r="AE68" s="272"/>
      <c r="AF68" s="272">
        <v>6763</v>
      </c>
      <c r="AG68" s="272"/>
      <c r="AH68" s="272"/>
      <c r="AI68" s="272"/>
      <c r="AJ68" s="272"/>
      <c r="AK68" s="272"/>
    </row>
    <row r="69" spans="1:37" s="3" customFormat="1" ht="18.600000000000001" thickBot="1" x14ac:dyDescent="0.4">
      <c r="A69" s="228" t="s">
        <v>64</v>
      </c>
      <c r="B69" s="205" t="s">
        <v>242</v>
      </c>
      <c r="C69" s="243">
        <v>30075.860797747864</v>
      </c>
      <c r="D69" s="211"/>
      <c r="E69" s="243"/>
      <c r="F69" s="243">
        <f t="shared" si="0"/>
        <v>30076</v>
      </c>
      <c r="G69" s="243">
        <f t="shared" si="1"/>
        <v>0</v>
      </c>
      <c r="H69" s="272"/>
      <c r="I69" s="272"/>
      <c r="J69" s="258"/>
      <c r="K69" s="272"/>
      <c r="L69" s="272"/>
      <c r="M69" s="272"/>
      <c r="N69" s="272"/>
      <c r="O69" s="272"/>
      <c r="P69" s="272"/>
      <c r="Q69" s="272">
        <v>28814</v>
      </c>
      <c r="R69" s="272"/>
      <c r="S69" s="272"/>
      <c r="T69" s="272"/>
      <c r="U69" s="272"/>
      <c r="V69" s="272"/>
      <c r="W69" s="272"/>
      <c r="X69" s="272"/>
      <c r="Y69" s="272"/>
      <c r="Z69" s="272"/>
      <c r="AA69" s="272">
        <v>1262</v>
      </c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</row>
    <row r="70" spans="1:37" s="3" customFormat="1" ht="18.600000000000001" thickBot="1" x14ac:dyDescent="0.4">
      <c r="A70" s="228" t="s">
        <v>65</v>
      </c>
      <c r="B70" s="205" t="s">
        <v>243</v>
      </c>
      <c r="C70" s="243">
        <v>18578.46769515931</v>
      </c>
      <c r="D70" s="211"/>
      <c r="E70" s="243"/>
      <c r="F70" s="243">
        <f t="shared" si="0"/>
        <v>18578</v>
      </c>
      <c r="G70" s="243">
        <f t="shared" si="1"/>
        <v>0</v>
      </c>
      <c r="H70" s="272"/>
      <c r="I70" s="272"/>
      <c r="J70" s="258"/>
      <c r="K70" s="272"/>
      <c r="L70" s="272"/>
      <c r="M70" s="272">
        <v>9195</v>
      </c>
      <c r="N70" s="272"/>
      <c r="O70" s="272"/>
      <c r="P70" s="272">
        <v>9289</v>
      </c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>
        <v>94</v>
      </c>
      <c r="AF70" s="272"/>
      <c r="AG70" s="272"/>
      <c r="AH70" s="272"/>
      <c r="AI70" s="272"/>
      <c r="AJ70" s="272"/>
      <c r="AK70" s="272"/>
    </row>
    <row r="71" spans="1:37" s="3" customFormat="1" ht="18.600000000000001" thickBot="1" x14ac:dyDescent="0.4">
      <c r="A71" s="228" t="s">
        <v>66</v>
      </c>
      <c r="B71" s="205" t="s">
        <v>244</v>
      </c>
      <c r="C71" s="243">
        <v>6709.8722928971456</v>
      </c>
      <c r="D71" s="211"/>
      <c r="E71" s="243"/>
      <c r="F71" s="243">
        <f t="shared" si="0"/>
        <v>6710</v>
      </c>
      <c r="G71" s="243">
        <f t="shared" si="1"/>
        <v>0</v>
      </c>
      <c r="H71" s="272"/>
      <c r="I71" s="272"/>
      <c r="J71" s="258"/>
      <c r="K71" s="272"/>
      <c r="L71" s="272">
        <v>450</v>
      </c>
      <c r="M71" s="272"/>
      <c r="N71" s="272">
        <v>1800</v>
      </c>
      <c r="O71" s="272">
        <v>195</v>
      </c>
      <c r="P71" s="272"/>
      <c r="Q71" s="272"/>
      <c r="R71" s="272"/>
      <c r="S71" s="272"/>
      <c r="T71" s="272"/>
      <c r="U71" s="272"/>
      <c r="V71" s="272"/>
      <c r="W71" s="272"/>
      <c r="X71" s="272">
        <v>510</v>
      </c>
      <c r="Y71" s="272"/>
      <c r="Z71" s="272"/>
      <c r="AA71" s="272"/>
      <c r="AB71" s="272">
        <v>3727</v>
      </c>
      <c r="AC71" s="272">
        <v>28</v>
      </c>
      <c r="AD71" s="272"/>
      <c r="AE71" s="272"/>
      <c r="AF71" s="272"/>
      <c r="AG71" s="272"/>
      <c r="AH71" s="272"/>
      <c r="AI71" s="272"/>
      <c r="AJ71" s="272"/>
      <c r="AK71" s="272"/>
    </row>
    <row r="72" spans="1:37" s="3" customFormat="1" ht="18.600000000000001" thickBot="1" x14ac:dyDescent="0.4">
      <c r="A72" s="228" t="s">
        <v>67</v>
      </c>
      <c r="B72" s="205" t="s">
        <v>245</v>
      </c>
      <c r="C72" s="243">
        <v>62100.471216833408</v>
      </c>
      <c r="D72" s="211"/>
      <c r="E72" s="243"/>
      <c r="F72" s="243">
        <f t="shared" si="0"/>
        <v>62100</v>
      </c>
      <c r="G72" s="243">
        <f t="shared" si="1"/>
        <v>0</v>
      </c>
      <c r="H72" s="272"/>
      <c r="I72" s="272"/>
      <c r="J72" s="258"/>
      <c r="K72" s="272"/>
      <c r="L72" s="272"/>
      <c r="M72" s="272">
        <v>11365</v>
      </c>
      <c r="N72" s="272"/>
      <c r="O72" s="272"/>
      <c r="P72" s="272">
        <v>26991</v>
      </c>
      <c r="Q72" s="272">
        <v>8028</v>
      </c>
      <c r="R72" s="272"/>
      <c r="S72" s="272">
        <v>9660</v>
      </c>
      <c r="T72" s="272">
        <v>5649</v>
      </c>
      <c r="U72" s="272"/>
      <c r="V72" s="272"/>
      <c r="W72" s="272"/>
      <c r="X72" s="272"/>
      <c r="Y72" s="272">
        <v>407</v>
      </c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</row>
    <row r="73" spans="1:37" s="3" customFormat="1" ht="18.600000000000001" thickBot="1" x14ac:dyDescent="0.4">
      <c r="A73" s="228" t="s">
        <v>68</v>
      </c>
      <c r="B73" s="205" t="s">
        <v>246</v>
      </c>
      <c r="C73" s="243">
        <v>125372.40823848752</v>
      </c>
      <c r="D73" s="211"/>
      <c r="E73" s="243"/>
      <c r="F73" s="243">
        <f t="shared" si="0"/>
        <v>125372</v>
      </c>
      <c r="G73" s="243">
        <f t="shared" si="1"/>
        <v>0</v>
      </c>
      <c r="H73" s="272"/>
      <c r="I73" s="272"/>
      <c r="J73" s="258"/>
      <c r="K73" s="272"/>
      <c r="L73" s="272"/>
      <c r="M73" s="272">
        <v>28006</v>
      </c>
      <c r="N73" s="272"/>
      <c r="O73" s="272">
        <v>8330</v>
      </c>
      <c r="P73" s="272"/>
      <c r="Q73" s="272">
        <v>7834</v>
      </c>
      <c r="R73" s="272">
        <v>21216</v>
      </c>
      <c r="S73" s="272">
        <v>2194</v>
      </c>
      <c r="T73" s="272">
        <v>10678</v>
      </c>
      <c r="U73" s="272">
        <v>1568</v>
      </c>
      <c r="V73" s="272"/>
      <c r="W73" s="272">
        <v>13749</v>
      </c>
      <c r="X73" s="272">
        <v>2670</v>
      </c>
      <c r="Y73" s="272">
        <v>10527</v>
      </c>
      <c r="Z73" s="272">
        <v>18600</v>
      </c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</row>
    <row r="74" spans="1:37" s="3" customFormat="1" ht="18.600000000000001" thickBot="1" x14ac:dyDescent="0.4">
      <c r="A74" s="228" t="s">
        <v>69</v>
      </c>
      <c r="B74" s="205" t="s">
        <v>247</v>
      </c>
      <c r="C74" s="243">
        <v>1006.3881434057417</v>
      </c>
      <c r="D74" s="211"/>
      <c r="E74" s="243"/>
      <c r="F74" s="243">
        <f t="shared" si="0"/>
        <v>1006</v>
      </c>
      <c r="G74" s="243">
        <f t="shared" si="1"/>
        <v>0</v>
      </c>
      <c r="H74" s="272"/>
      <c r="I74" s="272"/>
      <c r="J74" s="258"/>
      <c r="K74" s="272"/>
      <c r="L74" s="272"/>
      <c r="M74" s="272"/>
      <c r="N74" s="272"/>
      <c r="O74" s="272"/>
      <c r="P74" s="272"/>
      <c r="Q74" s="272"/>
      <c r="R74" s="272">
        <v>1006</v>
      </c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</row>
    <row r="75" spans="1:37" s="3" customFormat="1" ht="18.600000000000001" thickBot="1" x14ac:dyDescent="0.4">
      <c r="A75" s="228" t="s">
        <v>70</v>
      </c>
      <c r="B75" s="205" t="s">
        <v>248</v>
      </c>
      <c r="C75" s="243">
        <v>12608.78269695732</v>
      </c>
      <c r="D75" s="211"/>
      <c r="E75" s="243"/>
      <c r="F75" s="243">
        <f t="shared" si="0"/>
        <v>12609</v>
      </c>
      <c r="G75" s="243">
        <f t="shared" si="1"/>
        <v>0</v>
      </c>
      <c r="H75" s="272"/>
      <c r="I75" s="272"/>
      <c r="J75" s="258"/>
      <c r="K75" s="272"/>
      <c r="L75" s="272"/>
      <c r="M75" s="272"/>
      <c r="N75" s="272"/>
      <c r="O75" s="272"/>
      <c r="P75" s="272">
        <v>6223</v>
      </c>
      <c r="Q75" s="272"/>
      <c r="R75" s="272"/>
      <c r="S75" s="272">
        <f>3443+2943</f>
        <v>6386</v>
      </c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</row>
    <row r="76" spans="1:37" s="3" customFormat="1" ht="18.600000000000001" thickBot="1" x14ac:dyDescent="0.4">
      <c r="A76" s="228" t="s">
        <v>71</v>
      </c>
      <c r="B76" s="205" t="s">
        <v>249</v>
      </c>
      <c r="C76" s="243">
        <v>185101.63119132689</v>
      </c>
      <c r="D76" s="211"/>
      <c r="E76" s="243"/>
      <c r="F76" s="243">
        <f t="shared" si="0"/>
        <v>185102</v>
      </c>
      <c r="G76" s="243">
        <f t="shared" si="1"/>
        <v>0</v>
      </c>
      <c r="H76" s="272"/>
      <c r="I76" s="272"/>
      <c r="J76" s="258"/>
      <c r="K76" s="272"/>
      <c r="L76" s="272">
        <v>34138</v>
      </c>
      <c r="M76" s="272"/>
      <c r="N76" s="272"/>
      <c r="O76" s="272">
        <v>47158</v>
      </c>
      <c r="P76" s="272"/>
      <c r="Q76" s="272"/>
      <c r="R76" s="272">
        <v>41387</v>
      </c>
      <c r="S76" s="272">
        <v>33009</v>
      </c>
      <c r="T76" s="272"/>
      <c r="U76" s="272">
        <v>26911</v>
      </c>
      <c r="V76" s="272"/>
      <c r="W76" s="272"/>
      <c r="X76" s="272"/>
      <c r="Y76" s="272"/>
      <c r="Z76" s="272">
        <v>2499</v>
      </c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</row>
    <row r="77" spans="1:37" s="3" customFormat="1" ht="18.600000000000001" thickBot="1" x14ac:dyDescent="0.4">
      <c r="A77" s="228" t="s">
        <v>72</v>
      </c>
      <c r="B77" s="205" t="s">
        <v>250</v>
      </c>
      <c r="C77" s="243">
        <v>100785.2991393655</v>
      </c>
      <c r="D77" s="211"/>
      <c r="E77" s="243"/>
      <c r="F77" s="243">
        <f t="shared" si="0"/>
        <v>100785</v>
      </c>
      <c r="G77" s="243">
        <f t="shared" si="1"/>
        <v>0</v>
      </c>
      <c r="H77" s="272"/>
      <c r="I77" s="272"/>
      <c r="J77" s="258"/>
      <c r="K77" s="272"/>
      <c r="L77" s="272"/>
      <c r="M77" s="272">
        <v>7207</v>
      </c>
      <c r="N77" s="272"/>
      <c r="O77" s="272">
        <v>27359</v>
      </c>
      <c r="P77" s="272">
        <v>6299</v>
      </c>
      <c r="Q77" s="272"/>
      <c r="R77" s="224"/>
      <c r="S77" s="245">
        <v>24583</v>
      </c>
      <c r="T77" s="272"/>
      <c r="U77" s="272">
        <f>4348+6286</f>
        <v>10634</v>
      </c>
      <c r="V77" s="272"/>
      <c r="W77" s="272">
        <f>4348+17596</f>
        <v>21944</v>
      </c>
      <c r="X77" s="272"/>
      <c r="Y77" s="272"/>
      <c r="Z77" s="272">
        <v>2759</v>
      </c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</row>
    <row r="78" spans="1:37" s="3" customFormat="1" ht="18.600000000000001" thickBot="1" x14ac:dyDescent="0.4">
      <c r="A78" s="228" t="s">
        <v>73</v>
      </c>
      <c r="B78" s="205" t="s">
        <v>251</v>
      </c>
      <c r="C78" s="243">
        <v>5952.8711239137001</v>
      </c>
      <c r="D78" s="211"/>
      <c r="E78" s="243"/>
      <c r="F78" s="243">
        <f t="shared" ref="F78:F141" si="4">SUM(H78:AL78)</f>
        <v>5953</v>
      </c>
      <c r="G78" s="243">
        <f t="shared" ref="G78:G141" si="5">ROUND(IF(ISBLANK(E78),C78-F78,C78-E78),0)</f>
        <v>0</v>
      </c>
      <c r="H78" s="272"/>
      <c r="I78" s="272"/>
      <c r="J78" s="258"/>
      <c r="K78" s="272"/>
      <c r="L78" s="272"/>
      <c r="M78" s="272"/>
      <c r="N78" s="272">
        <v>2977</v>
      </c>
      <c r="O78" s="272"/>
      <c r="P78" s="272"/>
      <c r="Q78" s="272"/>
      <c r="R78" s="224"/>
      <c r="S78" s="245">
        <v>2976</v>
      </c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</row>
    <row r="79" spans="1:37" s="3" customFormat="1" ht="18.600000000000001" thickBot="1" x14ac:dyDescent="0.4">
      <c r="A79" s="228" t="s">
        <v>74</v>
      </c>
      <c r="B79" s="205" t="s">
        <v>252</v>
      </c>
      <c r="C79" s="243">
        <v>118050.02014912305</v>
      </c>
      <c r="D79" s="211"/>
      <c r="E79" s="243"/>
      <c r="F79" s="243">
        <f t="shared" si="4"/>
        <v>118050</v>
      </c>
      <c r="G79" s="243">
        <f t="shared" si="5"/>
        <v>0</v>
      </c>
      <c r="H79" s="272"/>
      <c r="I79" s="272"/>
      <c r="J79" s="258"/>
      <c r="K79" s="272"/>
      <c r="L79" s="272"/>
      <c r="M79" s="272"/>
      <c r="N79" s="272"/>
      <c r="O79" s="272"/>
      <c r="P79" s="272"/>
      <c r="Q79" s="272"/>
      <c r="R79" s="224">
        <f>22782+35541</f>
        <v>58323</v>
      </c>
      <c r="S79" s="224"/>
      <c r="T79" s="272"/>
      <c r="U79" s="272"/>
      <c r="V79" s="272"/>
      <c r="W79" s="272">
        <v>46422</v>
      </c>
      <c r="X79" s="272"/>
      <c r="Y79" s="272"/>
      <c r="Z79" s="272"/>
      <c r="AA79" s="272">
        <v>13305</v>
      </c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</row>
    <row r="80" spans="1:37" s="3" customFormat="1" ht="18.600000000000001" thickBot="1" x14ac:dyDescent="0.4">
      <c r="A80" s="228" t="s">
        <v>75</v>
      </c>
      <c r="B80" s="205" t="s">
        <v>253</v>
      </c>
      <c r="C80" s="243">
        <v>125499.41210868445</v>
      </c>
      <c r="D80" s="211"/>
      <c r="E80" s="243"/>
      <c r="F80" s="243">
        <f t="shared" si="4"/>
        <v>125499</v>
      </c>
      <c r="G80" s="243">
        <f t="shared" si="5"/>
        <v>0</v>
      </c>
      <c r="H80" s="272"/>
      <c r="I80" s="272"/>
      <c r="J80" s="258">
        <v>11777</v>
      </c>
      <c r="K80" s="272">
        <v>9927</v>
      </c>
      <c r="L80" s="272">
        <v>9931</v>
      </c>
      <c r="M80" s="272">
        <v>9952</v>
      </c>
      <c r="N80" s="272">
        <v>9926</v>
      </c>
      <c r="O80" s="272">
        <v>10020</v>
      </c>
      <c r="P80" s="272">
        <v>11893</v>
      </c>
      <c r="Q80" s="272">
        <v>10052</v>
      </c>
      <c r="R80" s="245">
        <v>9992</v>
      </c>
      <c r="S80" s="224"/>
      <c r="T80" s="272">
        <v>19965</v>
      </c>
      <c r="U80" s="272"/>
      <c r="V80" s="272">
        <v>9964</v>
      </c>
      <c r="W80" s="272"/>
      <c r="X80" s="272"/>
      <c r="Y80" s="272">
        <v>2100</v>
      </c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</row>
    <row r="81" spans="1:37" s="3" customFormat="1" ht="18.600000000000001" thickBot="1" x14ac:dyDescent="0.4">
      <c r="A81" s="228" t="s">
        <v>76</v>
      </c>
      <c r="B81" s="205" t="s">
        <v>254</v>
      </c>
      <c r="C81" s="243">
        <v>26849.614958566235</v>
      </c>
      <c r="D81" s="211"/>
      <c r="E81" s="243"/>
      <c r="F81" s="243">
        <f t="shared" si="4"/>
        <v>26850</v>
      </c>
      <c r="G81" s="243">
        <f t="shared" si="5"/>
        <v>0</v>
      </c>
      <c r="H81" s="272"/>
      <c r="I81" s="272"/>
      <c r="J81" s="258"/>
      <c r="K81" s="272"/>
      <c r="L81" s="272"/>
      <c r="M81" s="272"/>
      <c r="N81" s="272"/>
      <c r="O81" s="272"/>
      <c r="P81" s="272"/>
      <c r="Q81" s="272"/>
      <c r="R81" s="224">
        <v>26850</v>
      </c>
      <c r="S81" s="224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</row>
    <row r="82" spans="1:37" s="3" customFormat="1" ht="18.600000000000001" thickBot="1" x14ac:dyDescent="0.4">
      <c r="A82" s="228" t="s">
        <v>77</v>
      </c>
      <c r="B82" s="205" t="s">
        <v>255</v>
      </c>
      <c r="C82" s="243">
        <v>11030.429343417303</v>
      </c>
      <c r="D82" s="211"/>
      <c r="E82" s="243"/>
      <c r="F82" s="243">
        <f t="shared" si="4"/>
        <v>11030</v>
      </c>
      <c r="G82" s="243">
        <f t="shared" si="5"/>
        <v>0</v>
      </c>
      <c r="H82" s="272"/>
      <c r="I82" s="272"/>
      <c r="J82" s="258"/>
      <c r="K82" s="272"/>
      <c r="L82" s="272"/>
      <c r="M82" s="272"/>
      <c r="N82" s="272"/>
      <c r="O82" s="272"/>
      <c r="P82" s="272"/>
      <c r="Q82" s="272"/>
      <c r="R82" s="224"/>
      <c r="S82" s="224">
        <v>8852</v>
      </c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>
        <v>2178</v>
      </c>
      <c r="AE82" s="272"/>
      <c r="AF82" s="272"/>
      <c r="AG82" s="272"/>
      <c r="AH82" s="272"/>
      <c r="AI82" s="272"/>
      <c r="AJ82" s="272"/>
      <c r="AK82" s="272"/>
    </row>
    <row r="83" spans="1:37" s="3" customFormat="1" ht="18.600000000000001" thickBot="1" x14ac:dyDescent="0.4">
      <c r="A83" s="228" t="s">
        <v>78</v>
      </c>
      <c r="B83" s="205" t="s">
        <v>256</v>
      </c>
      <c r="C83" s="243">
        <v>18483.079763016332</v>
      </c>
      <c r="D83" s="211"/>
      <c r="E83" s="243"/>
      <c r="F83" s="243">
        <f t="shared" si="4"/>
        <v>18483</v>
      </c>
      <c r="G83" s="243">
        <f t="shared" si="5"/>
        <v>0</v>
      </c>
      <c r="H83" s="272"/>
      <c r="I83" s="272"/>
      <c r="J83" s="258"/>
      <c r="K83" s="272"/>
      <c r="L83" s="272"/>
      <c r="M83" s="272"/>
      <c r="N83" s="272"/>
      <c r="O83" s="272"/>
      <c r="P83" s="272"/>
      <c r="Q83" s="272">
        <v>18483</v>
      </c>
      <c r="R83" s="224"/>
      <c r="S83" s="224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</row>
    <row r="84" spans="1:37" s="3" customFormat="1" ht="18.600000000000001" thickBot="1" x14ac:dyDescent="0.4">
      <c r="A84" s="228" t="s">
        <v>79</v>
      </c>
      <c r="B84" s="205" t="s">
        <v>257</v>
      </c>
      <c r="C84" s="243">
        <v>28408.182732251116</v>
      </c>
      <c r="D84" s="211"/>
      <c r="E84" s="243"/>
      <c r="F84" s="243">
        <f t="shared" si="4"/>
        <v>28408</v>
      </c>
      <c r="G84" s="243">
        <f t="shared" si="5"/>
        <v>0</v>
      </c>
      <c r="H84" s="272"/>
      <c r="I84" s="272"/>
      <c r="J84" s="258"/>
      <c r="K84" s="272"/>
      <c r="L84" s="272"/>
      <c r="M84" s="272"/>
      <c r="N84" s="272">
        <v>16266</v>
      </c>
      <c r="O84" s="272"/>
      <c r="P84" s="272"/>
      <c r="Q84" s="272"/>
      <c r="R84" s="224"/>
      <c r="S84" s="224">
        <v>12142</v>
      </c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</row>
    <row r="85" spans="1:37" s="3" customFormat="1" ht="18.600000000000001" thickBot="1" x14ac:dyDescent="0.4">
      <c r="A85" s="228" t="s">
        <v>80</v>
      </c>
      <c r="B85" s="205" t="s">
        <v>258</v>
      </c>
      <c r="C85" s="243">
        <v>58549.356805436997</v>
      </c>
      <c r="D85" s="211"/>
      <c r="E85" s="243"/>
      <c r="F85" s="243">
        <f t="shared" si="4"/>
        <v>58549</v>
      </c>
      <c r="G85" s="243">
        <f t="shared" si="5"/>
        <v>0</v>
      </c>
      <c r="H85" s="272"/>
      <c r="I85" s="272"/>
      <c r="J85" s="258"/>
      <c r="K85" s="272"/>
      <c r="L85" s="272"/>
      <c r="M85" s="272"/>
      <c r="N85" s="272"/>
      <c r="O85" s="272"/>
      <c r="P85" s="272">
        <v>17713</v>
      </c>
      <c r="Q85" s="272"/>
      <c r="R85" s="224"/>
      <c r="S85" s="224">
        <v>24908</v>
      </c>
      <c r="T85" s="272"/>
      <c r="U85" s="272"/>
      <c r="V85" s="272"/>
      <c r="W85" s="272"/>
      <c r="X85" s="272"/>
      <c r="Y85" s="272">
        <f>1792+3480</f>
        <v>5272</v>
      </c>
      <c r="Z85" s="272"/>
      <c r="AA85" s="272"/>
      <c r="AB85" s="272">
        <v>10656</v>
      </c>
      <c r="AC85" s="272"/>
      <c r="AD85" s="272"/>
      <c r="AE85" s="272"/>
      <c r="AF85" s="272"/>
      <c r="AG85" s="272"/>
      <c r="AH85" s="272"/>
      <c r="AI85" s="272"/>
      <c r="AJ85" s="272"/>
      <c r="AK85" s="272"/>
    </row>
    <row r="86" spans="1:37" s="3" customFormat="1" ht="18.600000000000001" thickBot="1" x14ac:dyDescent="0.4">
      <c r="A86" s="228" t="s">
        <v>81</v>
      </c>
      <c r="B86" s="205" t="s">
        <v>259</v>
      </c>
      <c r="C86" s="243">
        <v>3948.8805265024926</v>
      </c>
      <c r="D86" s="211"/>
      <c r="E86" s="243"/>
      <c r="F86" s="243">
        <f t="shared" si="4"/>
        <v>3949</v>
      </c>
      <c r="G86" s="243">
        <f t="shared" si="5"/>
        <v>0</v>
      </c>
      <c r="H86" s="272"/>
      <c r="I86" s="272"/>
      <c r="J86" s="258"/>
      <c r="K86" s="272"/>
      <c r="L86" s="272"/>
      <c r="M86" s="272"/>
      <c r="N86" s="272"/>
      <c r="O86" s="272"/>
      <c r="P86" s="272"/>
      <c r="Q86" s="272"/>
      <c r="R86" s="224">
        <v>3936</v>
      </c>
      <c r="S86" s="224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>
        <v>13</v>
      </c>
      <c r="AF86" s="272"/>
      <c r="AG86" s="272"/>
      <c r="AH86" s="272"/>
      <c r="AI86" s="272"/>
      <c r="AJ86" s="272"/>
      <c r="AK86" s="272"/>
    </row>
    <row r="87" spans="1:37" s="3" customFormat="1" ht="18.600000000000001" thickBot="1" x14ac:dyDescent="0.4">
      <c r="A87" s="228" t="s">
        <v>82</v>
      </c>
      <c r="B87" s="205" t="s">
        <v>260</v>
      </c>
      <c r="C87" s="243">
        <v>63974.521167992381</v>
      </c>
      <c r="D87" s="211"/>
      <c r="E87" s="243"/>
      <c r="F87" s="243">
        <f t="shared" si="4"/>
        <v>63975</v>
      </c>
      <c r="G87" s="243">
        <f t="shared" si="5"/>
        <v>0</v>
      </c>
      <c r="H87" s="272"/>
      <c r="I87" s="272"/>
      <c r="J87" s="258"/>
      <c r="K87" s="272"/>
      <c r="L87" s="272"/>
      <c r="M87" s="272"/>
      <c r="N87" s="272"/>
      <c r="O87" s="272"/>
      <c r="P87" s="272"/>
      <c r="Q87" s="272"/>
      <c r="R87" s="224">
        <v>1753</v>
      </c>
      <c r="S87" s="224"/>
      <c r="T87" s="272">
        <f>5911+10776</f>
        <v>16687</v>
      </c>
      <c r="U87" s="272">
        <v>5911</v>
      </c>
      <c r="V87" s="272">
        <v>5913</v>
      </c>
      <c r="W87" s="272"/>
      <c r="X87" s="272">
        <v>6182</v>
      </c>
      <c r="Y87" s="272">
        <v>7858</v>
      </c>
      <c r="Z87" s="272">
        <v>7824</v>
      </c>
      <c r="AA87" s="272">
        <v>5665</v>
      </c>
      <c r="AB87" s="272">
        <v>6182</v>
      </c>
      <c r="AC87" s="272"/>
      <c r="AD87" s="272"/>
      <c r="AE87" s="272"/>
      <c r="AF87" s="272"/>
      <c r="AG87" s="272"/>
      <c r="AH87" s="272"/>
      <c r="AI87" s="272"/>
      <c r="AJ87" s="272"/>
      <c r="AK87" s="272"/>
    </row>
    <row r="88" spans="1:37" s="3" customFormat="1" ht="18.600000000000001" thickBot="1" x14ac:dyDescent="0.4">
      <c r="A88" s="228" t="s">
        <v>83</v>
      </c>
      <c r="B88" s="205" t="s">
        <v>261</v>
      </c>
      <c r="C88" s="243">
        <v>15343.275719981388</v>
      </c>
      <c r="D88" s="211"/>
      <c r="E88" s="243"/>
      <c r="F88" s="243">
        <f t="shared" si="4"/>
        <v>15343</v>
      </c>
      <c r="G88" s="243">
        <f t="shared" si="5"/>
        <v>0</v>
      </c>
      <c r="H88" s="272"/>
      <c r="I88" s="272"/>
      <c r="J88" s="258"/>
      <c r="K88" s="272"/>
      <c r="L88" s="272">
        <v>486</v>
      </c>
      <c r="M88" s="272">
        <v>1108</v>
      </c>
      <c r="N88" s="272">
        <v>2773</v>
      </c>
      <c r="O88" s="272"/>
      <c r="P88" s="272">
        <v>1129</v>
      </c>
      <c r="Q88" s="272">
        <v>1276</v>
      </c>
      <c r="R88" s="245">
        <v>1295</v>
      </c>
      <c r="S88" s="245">
        <f>1296+1295</f>
        <v>2591</v>
      </c>
      <c r="T88" s="272">
        <v>1269</v>
      </c>
      <c r="U88" s="272"/>
      <c r="V88" s="272"/>
      <c r="W88" s="272">
        <v>1280</v>
      </c>
      <c r="X88" s="272"/>
      <c r="Y88" s="272">
        <v>2136</v>
      </c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</row>
    <row r="89" spans="1:37" s="3" customFormat="1" ht="18.600000000000001" thickBot="1" x14ac:dyDescent="0.4">
      <c r="A89" s="228" t="s">
        <v>84</v>
      </c>
      <c r="B89" s="53" t="s">
        <v>262</v>
      </c>
      <c r="C89" s="243">
        <v>11141.108920779374</v>
      </c>
      <c r="D89" s="211" t="s">
        <v>377</v>
      </c>
      <c r="E89" s="243">
        <f t="shared" ref="E89:E131" si="6">IF(ISBLANK(D89),,C89)</f>
        <v>11141.108920779374</v>
      </c>
      <c r="F89" s="243">
        <f t="shared" si="4"/>
        <v>0</v>
      </c>
      <c r="G89" s="243">
        <f t="shared" si="5"/>
        <v>0</v>
      </c>
      <c r="H89" s="272"/>
      <c r="I89" s="272"/>
      <c r="J89" s="258"/>
      <c r="K89" s="272"/>
      <c r="L89" s="272"/>
      <c r="M89" s="272"/>
      <c r="N89" s="272"/>
      <c r="O89" s="272"/>
      <c r="P89" s="272"/>
      <c r="Q89" s="272"/>
      <c r="R89" s="224"/>
      <c r="S89" s="224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</row>
    <row r="90" spans="1:37" s="3" customFormat="1" ht="18.600000000000001" thickBot="1" x14ac:dyDescent="0.4">
      <c r="A90" s="228" t="s">
        <v>85</v>
      </c>
      <c r="B90" s="205" t="s">
        <v>263</v>
      </c>
      <c r="C90" s="243">
        <v>1895613.8559413918</v>
      </c>
      <c r="D90" s="211"/>
      <c r="E90" s="243"/>
      <c r="F90" s="243">
        <f t="shared" si="4"/>
        <v>1895614</v>
      </c>
      <c r="G90" s="243">
        <f t="shared" si="5"/>
        <v>0</v>
      </c>
      <c r="H90" s="272"/>
      <c r="I90" s="272"/>
      <c r="J90" s="258"/>
      <c r="K90" s="272">
        <f>171364-171364</f>
        <v>0</v>
      </c>
      <c r="L90" s="272">
        <f>193514+203518-151924</f>
        <v>245108</v>
      </c>
      <c r="M90" s="272">
        <f>194263-203518</f>
        <v>-9255</v>
      </c>
      <c r="N90" s="272"/>
      <c r="O90" s="272">
        <v>365646</v>
      </c>
      <c r="P90" s="272">
        <v>180826</v>
      </c>
      <c r="Q90" s="272">
        <v>186257</v>
      </c>
      <c r="R90" s="245">
        <v>206010</v>
      </c>
      <c r="S90" s="245">
        <v>188531</v>
      </c>
      <c r="T90" s="272">
        <v>196448</v>
      </c>
      <c r="U90" s="272"/>
      <c r="V90" s="272"/>
      <c r="W90" s="272">
        <f>12755-6768+180512</f>
        <v>186499</v>
      </c>
      <c r="X90" s="272">
        <v>149544</v>
      </c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</row>
    <row r="91" spans="1:37" s="3" customFormat="1" ht="18.600000000000001" thickBot="1" x14ac:dyDescent="0.4">
      <c r="A91" s="228" t="s">
        <v>86</v>
      </c>
      <c r="B91" s="205" t="s">
        <v>264</v>
      </c>
      <c r="C91" s="243">
        <v>11871.409233998025</v>
      </c>
      <c r="D91" s="211"/>
      <c r="E91" s="243"/>
      <c r="F91" s="243">
        <f t="shared" si="4"/>
        <v>11871</v>
      </c>
      <c r="G91" s="243">
        <f t="shared" si="5"/>
        <v>0</v>
      </c>
      <c r="H91" s="272"/>
      <c r="I91" s="272"/>
      <c r="J91" s="258"/>
      <c r="K91" s="272"/>
      <c r="L91" s="272"/>
      <c r="M91" s="272"/>
      <c r="N91" s="272"/>
      <c r="O91" s="272"/>
      <c r="P91" s="272"/>
      <c r="Q91" s="272"/>
      <c r="R91" s="272"/>
      <c r="S91" s="272">
        <v>11871</v>
      </c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</row>
    <row r="92" spans="1:37" s="3" customFormat="1" ht="18.600000000000001" thickBot="1" x14ac:dyDescent="0.4">
      <c r="A92" s="228" t="s">
        <v>87</v>
      </c>
      <c r="B92" s="205" t="s">
        <v>265</v>
      </c>
      <c r="C92" s="243">
        <v>924.96041695633221</v>
      </c>
      <c r="D92" s="211"/>
      <c r="E92" s="243"/>
      <c r="F92" s="243">
        <f t="shared" si="4"/>
        <v>0</v>
      </c>
      <c r="G92" s="243">
        <f t="shared" si="5"/>
        <v>925</v>
      </c>
      <c r="H92" s="272"/>
      <c r="I92" s="272"/>
      <c r="J92" s="258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</row>
    <row r="93" spans="1:37" s="3" customFormat="1" ht="18.600000000000001" thickBot="1" x14ac:dyDescent="0.4">
      <c r="A93" s="228" t="s">
        <v>88</v>
      </c>
      <c r="B93" s="205" t="s">
        <v>266</v>
      </c>
      <c r="C93" s="243">
        <v>11137.904967918497</v>
      </c>
      <c r="D93" s="211" t="s">
        <v>374</v>
      </c>
      <c r="E93" s="243">
        <f t="shared" si="6"/>
        <v>11137.904967918497</v>
      </c>
      <c r="F93" s="243">
        <f t="shared" si="4"/>
        <v>0</v>
      </c>
      <c r="G93" s="243">
        <f t="shared" si="5"/>
        <v>0</v>
      </c>
      <c r="H93" s="272"/>
      <c r="I93" s="272"/>
      <c r="J93" s="258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</row>
    <row r="94" spans="1:37" s="3" customFormat="1" ht="18.600000000000001" thickBot="1" x14ac:dyDescent="0.4">
      <c r="A94" s="228" t="s">
        <v>89</v>
      </c>
      <c r="B94" s="205" t="s">
        <v>267</v>
      </c>
      <c r="C94" s="243">
        <v>4433.4473854373718</v>
      </c>
      <c r="D94" s="211" t="s">
        <v>374</v>
      </c>
      <c r="E94" s="243">
        <f t="shared" si="6"/>
        <v>4433.4473854373718</v>
      </c>
      <c r="F94" s="243">
        <f t="shared" si="4"/>
        <v>0</v>
      </c>
      <c r="G94" s="243">
        <f t="shared" si="5"/>
        <v>0</v>
      </c>
      <c r="H94" s="272"/>
      <c r="I94" s="272"/>
      <c r="J94" s="258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</row>
    <row r="95" spans="1:37" s="3" customFormat="1" ht="18.600000000000001" thickBot="1" x14ac:dyDescent="0.4">
      <c r="A95" s="228" t="s">
        <v>90</v>
      </c>
      <c r="B95" s="205" t="s">
        <v>268</v>
      </c>
      <c r="C95" s="243">
        <v>9129.7097477278512</v>
      </c>
      <c r="D95" s="211" t="s">
        <v>374</v>
      </c>
      <c r="E95" s="243">
        <f t="shared" si="6"/>
        <v>9129.7097477278512</v>
      </c>
      <c r="F95" s="243">
        <f t="shared" si="4"/>
        <v>0</v>
      </c>
      <c r="G95" s="243">
        <f t="shared" si="5"/>
        <v>0</v>
      </c>
      <c r="H95" s="272"/>
      <c r="I95" s="272"/>
      <c r="J95" s="258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</row>
    <row r="96" spans="1:37" s="3" customFormat="1" ht="18.600000000000001" thickBot="1" x14ac:dyDescent="0.4">
      <c r="A96" s="228" t="s">
        <v>91</v>
      </c>
      <c r="B96" s="205" t="s">
        <v>269</v>
      </c>
      <c r="C96" s="243">
        <v>3755.0490582918542</v>
      </c>
      <c r="D96" s="211" t="s">
        <v>374</v>
      </c>
      <c r="E96" s="243">
        <f t="shared" si="6"/>
        <v>3755.0490582918542</v>
      </c>
      <c r="F96" s="243">
        <f t="shared" si="4"/>
        <v>0</v>
      </c>
      <c r="G96" s="243">
        <f t="shared" si="5"/>
        <v>0</v>
      </c>
      <c r="H96" s="272"/>
      <c r="I96" s="272"/>
      <c r="J96" s="258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</row>
    <row r="97" spans="1:37" s="3" customFormat="1" ht="18.600000000000001" thickBot="1" x14ac:dyDescent="0.4">
      <c r="A97" s="228" t="s">
        <v>92</v>
      </c>
      <c r="B97" s="205" t="s">
        <v>270</v>
      </c>
      <c r="C97" s="243">
        <v>31702.319491302093</v>
      </c>
      <c r="D97" s="248" t="s">
        <v>374</v>
      </c>
      <c r="E97" s="243">
        <f t="shared" si="6"/>
        <v>31702.319491302093</v>
      </c>
      <c r="F97" s="243">
        <f t="shared" si="4"/>
        <v>0</v>
      </c>
      <c r="G97" s="243">
        <f t="shared" si="5"/>
        <v>0</v>
      </c>
      <c r="H97" s="272"/>
      <c r="I97" s="272"/>
      <c r="J97" s="258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</row>
    <row r="98" spans="1:37" s="3" customFormat="1" ht="18.600000000000001" thickBot="1" x14ac:dyDescent="0.4">
      <c r="A98" s="228" t="s">
        <v>93</v>
      </c>
      <c r="B98" s="205" t="s">
        <v>271</v>
      </c>
      <c r="C98" s="243">
        <v>43853.666468201773</v>
      </c>
      <c r="D98" s="211"/>
      <c r="E98" s="243"/>
      <c r="F98" s="243">
        <f t="shared" si="4"/>
        <v>43854</v>
      </c>
      <c r="G98" s="243">
        <f t="shared" si="5"/>
        <v>0</v>
      </c>
      <c r="H98" s="272"/>
      <c r="I98" s="272"/>
      <c r="J98" s="258"/>
      <c r="K98" s="272"/>
      <c r="L98" s="272"/>
      <c r="M98" s="272">
        <v>5982</v>
      </c>
      <c r="N98" s="272">
        <v>11327</v>
      </c>
      <c r="O98" s="272">
        <v>4460</v>
      </c>
      <c r="P98" s="272">
        <v>4460</v>
      </c>
      <c r="Q98" s="272">
        <v>4454</v>
      </c>
      <c r="R98" s="272">
        <v>4425</v>
      </c>
      <c r="S98" s="272">
        <v>8746</v>
      </c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</row>
    <row r="99" spans="1:37" s="3" customFormat="1" ht="18.600000000000001" thickBot="1" x14ac:dyDescent="0.4">
      <c r="A99" s="228" t="s">
        <v>94</v>
      </c>
      <c r="B99" s="205" t="s">
        <v>272</v>
      </c>
      <c r="C99" s="243">
        <v>166546.55769826839</v>
      </c>
      <c r="D99" s="211"/>
      <c r="E99" s="243"/>
      <c r="F99" s="243">
        <f t="shared" si="4"/>
        <v>166547</v>
      </c>
      <c r="G99" s="243">
        <f t="shared" si="5"/>
        <v>0</v>
      </c>
      <c r="H99" s="272"/>
      <c r="I99" s="272"/>
      <c r="J99" s="258"/>
      <c r="K99" s="272"/>
      <c r="L99" s="272"/>
      <c r="M99" s="272"/>
      <c r="N99" s="272"/>
      <c r="O99" s="272">
        <v>61566</v>
      </c>
      <c r="P99" s="272">
        <f>13154+13153</f>
        <v>26307</v>
      </c>
      <c r="Q99" s="272">
        <v>13154</v>
      </c>
      <c r="R99" s="272"/>
      <c r="S99" s="272">
        <v>26312</v>
      </c>
      <c r="T99" s="272"/>
      <c r="U99" s="272">
        <v>28503</v>
      </c>
      <c r="V99" s="272"/>
      <c r="W99" s="272"/>
      <c r="X99" s="272"/>
      <c r="Y99" s="272"/>
      <c r="Z99" s="272"/>
      <c r="AA99" s="272">
        <v>10705</v>
      </c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</row>
    <row r="100" spans="1:37" s="3" customFormat="1" ht="18.600000000000001" thickBot="1" x14ac:dyDescent="0.4">
      <c r="A100" s="228" t="s">
        <v>95</v>
      </c>
      <c r="B100" s="205" t="s">
        <v>273</v>
      </c>
      <c r="C100" s="243">
        <v>29526.22292336465</v>
      </c>
      <c r="D100" s="211"/>
      <c r="E100" s="243"/>
      <c r="F100" s="243">
        <f t="shared" si="4"/>
        <v>29526</v>
      </c>
      <c r="G100" s="243">
        <f t="shared" si="5"/>
        <v>0</v>
      </c>
      <c r="H100" s="272"/>
      <c r="I100" s="272"/>
      <c r="J100" s="258"/>
      <c r="K100" s="272"/>
      <c r="L100" s="272"/>
      <c r="M100" s="272"/>
      <c r="N100" s="272"/>
      <c r="O100" s="272"/>
      <c r="P100" s="272">
        <v>12724</v>
      </c>
      <c r="Q100" s="272"/>
      <c r="R100" s="272"/>
      <c r="S100" s="272">
        <v>16802</v>
      </c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</row>
    <row r="101" spans="1:37" s="3" customFormat="1" ht="18.600000000000001" thickBot="1" x14ac:dyDescent="0.4">
      <c r="A101" s="228" t="s">
        <v>96</v>
      </c>
      <c r="B101" s="205" t="s">
        <v>274</v>
      </c>
      <c r="C101" s="243">
        <v>51136.362109801325</v>
      </c>
      <c r="D101" s="211"/>
      <c r="E101" s="243"/>
      <c r="F101" s="243">
        <f t="shared" si="4"/>
        <v>51136</v>
      </c>
      <c r="G101" s="243">
        <f t="shared" si="5"/>
        <v>0</v>
      </c>
      <c r="H101" s="272"/>
      <c r="I101" s="272"/>
      <c r="J101" s="258"/>
      <c r="K101" s="272"/>
      <c r="L101" s="272"/>
      <c r="M101" s="272"/>
      <c r="N101" s="272">
        <v>9688</v>
      </c>
      <c r="O101" s="272"/>
      <c r="P101" s="272"/>
      <c r="Q101" s="272"/>
      <c r="R101" s="272">
        <v>10851</v>
      </c>
      <c r="S101" s="272"/>
      <c r="T101" s="272"/>
      <c r="U101" s="272"/>
      <c r="V101" s="272">
        <v>2319</v>
      </c>
      <c r="W101" s="272"/>
      <c r="X101" s="272"/>
      <c r="Y101" s="272">
        <v>28278</v>
      </c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</row>
    <row r="102" spans="1:37" s="3" customFormat="1" ht="18.600000000000001" thickBot="1" x14ac:dyDescent="0.4">
      <c r="A102" s="228" t="s">
        <v>97</v>
      </c>
      <c r="B102" s="205" t="s">
        <v>275</v>
      </c>
      <c r="C102" s="243">
        <v>680527.4013912857</v>
      </c>
      <c r="D102" s="211"/>
      <c r="E102" s="243"/>
      <c r="F102" s="243">
        <f t="shared" si="4"/>
        <v>680527</v>
      </c>
      <c r="G102" s="243">
        <f t="shared" si="5"/>
        <v>0</v>
      </c>
      <c r="H102" s="272"/>
      <c r="I102" s="272"/>
      <c r="J102" s="258"/>
      <c r="K102" s="272"/>
      <c r="L102" s="272">
        <v>16707</v>
      </c>
      <c r="M102" s="272"/>
      <c r="N102" s="272"/>
      <c r="O102" s="272"/>
      <c r="P102" s="272">
        <v>249948</v>
      </c>
      <c r="Q102" s="272"/>
      <c r="R102" s="272">
        <v>125540</v>
      </c>
      <c r="S102" s="272"/>
      <c r="T102" s="272">
        <v>125701</v>
      </c>
      <c r="U102" s="272"/>
      <c r="V102" s="272"/>
      <c r="W102" s="272"/>
      <c r="X102" s="272">
        <v>162631</v>
      </c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</row>
    <row r="103" spans="1:37" s="3" customFormat="1" ht="18.600000000000001" thickBot="1" x14ac:dyDescent="0.4">
      <c r="A103" s="228" t="s">
        <v>98</v>
      </c>
      <c r="B103" s="205" t="s">
        <v>276</v>
      </c>
      <c r="C103" s="243">
        <v>349797.36539353681</v>
      </c>
      <c r="D103" s="211"/>
      <c r="E103" s="243"/>
      <c r="F103" s="243">
        <f t="shared" si="4"/>
        <v>349797</v>
      </c>
      <c r="G103" s="243">
        <f t="shared" si="5"/>
        <v>0</v>
      </c>
      <c r="H103" s="272"/>
      <c r="I103" s="272"/>
      <c r="J103" s="258"/>
      <c r="K103" s="272">
        <v>19358</v>
      </c>
      <c r="L103" s="272">
        <v>10499</v>
      </c>
      <c r="M103" s="272">
        <v>16932</v>
      </c>
      <c r="N103" s="272">
        <v>14248</v>
      </c>
      <c r="O103" s="272">
        <v>46923</v>
      </c>
      <c r="P103" s="272">
        <v>14892</v>
      </c>
      <c r="Q103" s="272">
        <v>22621</v>
      </c>
      <c r="R103" s="272">
        <v>21866</v>
      </c>
      <c r="S103" s="272"/>
      <c r="T103" s="272">
        <v>33311</v>
      </c>
      <c r="U103" s="272">
        <v>21155</v>
      </c>
      <c r="V103" s="272">
        <v>18364</v>
      </c>
      <c r="W103" s="272">
        <v>23158</v>
      </c>
      <c r="X103" s="272">
        <v>13713</v>
      </c>
      <c r="Y103" s="272">
        <v>3875</v>
      </c>
      <c r="Z103" s="272">
        <v>23029</v>
      </c>
      <c r="AA103" s="272">
        <v>38043</v>
      </c>
      <c r="AB103" s="272">
        <v>7810</v>
      </c>
      <c r="AC103" s="272"/>
      <c r="AD103" s="272"/>
      <c r="AE103" s="272"/>
      <c r="AF103" s="272"/>
      <c r="AG103" s="272"/>
      <c r="AH103" s="272"/>
      <c r="AI103" s="272"/>
      <c r="AJ103" s="272"/>
      <c r="AK103" s="272"/>
    </row>
    <row r="104" spans="1:37" s="3" customFormat="1" ht="18.600000000000001" thickBot="1" x14ac:dyDescent="0.4">
      <c r="A104" s="228" t="s">
        <v>99</v>
      </c>
      <c r="B104" s="205" t="s">
        <v>277</v>
      </c>
      <c r="C104" s="243">
        <v>39637.029606590178</v>
      </c>
      <c r="D104" s="211"/>
      <c r="E104" s="243"/>
      <c r="F104" s="243">
        <f t="shared" si="4"/>
        <v>39637</v>
      </c>
      <c r="G104" s="243">
        <f t="shared" si="5"/>
        <v>0</v>
      </c>
      <c r="H104" s="272"/>
      <c r="I104" s="272"/>
      <c r="J104" s="258"/>
      <c r="K104" s="272"/>
      <c r="L104" s="272"/>
      <c r="M104" s="272"/>
      <c r="N104" s="272"/>
      <c r="O104" s="272"/>
      <c r="P104" s="272"/>
      <c r="Q104" s="272">
        <v>4581</v>
      </c>
      <c r="R104" s="272">
        <v>30945</v>
      </c>
      <c r="S104" s="272"/>
      <c r="T104" s="272"/>
      <c r="U104" s="272">
        <v>9449</v>
      </c>
      <c r="V104" s="272"/>
      <c r="W104" s="272"/>
      <c r="X104" s="272">
        <v>-5338</v>
      </c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</row>
    <row r="105" spans="1:37" s="3" customFormat="1" ht="18.600000000000001" thickBot="1" x14ac:dyDescent="0.4">
      <c r="A105" s="228" t="s">
        <v>100</v>
      </c>
      <c r="B105" s="205" t="s">
        <v>278</v>
      </c>
      <c r="C105" s="243">
        <v>115948.42868809776</v>
      </c>
      <c r="D105" s="211"/>
      <c r="E105" s="243"/>
      <c r="F105" s="243">
        <f t="shared" si="4"/>
        <v>115948</v>
      </c>
      <c r="G105" s="243">
        <f t="shared" si="5"/>
        <v>0</v>
      </c>
      <c r="H105" s="272"/>
      <c r="I105" s="272"/>
      <c r="J105" s="258"/>
      <c r="K105" s="272"/>
      <c r="L105" s="272"/>
      <c r="M105" s="272"/>
      <c r="N105" s="272"/>
      <c r="O105" s="272"/>
      <c r="P105" s="272"/>
      <c r="Q105" s="272"/>
      <c r="R105" s="272"/>
      <c r="S105" s="272">
        <v>12351</v>
      </c>
      <c r="T105" s="272"/>
      <c r="U105" s="272">
        <v>11781</v>
      </c>
      <c r="V105" s="272">
        <v>22196</v>
      </c>
      <c r="W105" s="272"/>
      <c r="X105" s="272"/>
      <c r="Y105" s="272">
        <f>15124+31519</f>
        <v>46643</v>
      </c>
      <c r="Z105" s="272"/>
      <c r="AA105" s="272">
        <v>7550</v>
      </c>
      <c r="AB105" s="272"/>
      <c r="AC105" s="272">
        <v>15427</v>
      </c>
      <c r="AD105" s="272"/>
      <c r="AE105" s="272"/>
      <c r="AF105" s="272"/>
      <c r="AG105" s="272"/>
      <c r="AH105" s="272"/>
      <c r="AI105" s="272"/>
      <c r="AJ105" s="272"/>
      <c r="AK105" s="272"/>
    </row>
    <row r="106" spans="1:37" s="3" customFormat="1" ht="18.600000000000001" thickBot="1" x14ac:dyDescent="0.4">
      <c r="A106" s="228" t="s">
        <v>101</v>
      </c>
      <c r="B106" s="205" t="s">
        <v>279</v>
      </c>
      <c r="C106" s="243">
        <v>9035.3636255408583</v>
      </c>
      <c r="D106" s="211"/>
      <c r="E106" s="243"/>
      <c r="F106" s="243">
        <f t="shared" si="4"/>
        <v>9035</v>
      </c>
      <c r="G106" s="243">
        <f t="shared" si="5"/>
        <v>0</v>
      </c>
      <c r="H106" s="272"/>
      <c r="I106" s="272"/>
      <c r="J106" s="258"/>
      <c r="K106" s="272"/>
      <c r="L106" s="272"/>
      <c r="M106" s="272"/>
      <c r="N106" s="272"/>
      <c r="O106" s="272"/>
      <c r="P106" s="272"/>
      <c r="Q106" s="272"/>
      <c r="R106" s="272">
        <v>9035</v>
      </c>
      <c r="S106" s="224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</row>
    <row r="107" spans="1:37" s="3" customFormat="1" ht="18.600000000000001" thickBot="1" x14ac:dyDescent="0.4">
      <c r="A107" s="228" t="s">
        <v>102</v>
      </c>
      <c r="B107" s="205" t="s">
        <v>280</v>
      </c>
      <c r="C107" s="243">
        <v>12644.197824752744</v>
      </c>
      <c r="D107" s="211"/>
      <c r="E107" s="243"/>
      <c r="F107" s="243">
        <f t="shared" si="4"/>
        <v>12644</v>
      </c>
      <c r="G107" s="243">
        <f t="shared" si="5"/>
        <v>0</v>
      </c>
      <c r="H107" s="272"/>
      <c r="I107" s="272"/>
      <c r="J107" s="258"/>
      <c r="K107" s="272"/>
      <c r="L107" s="272"/>
      <c r="M107" s="272"/>
      <c r="N107" s="272"/>
      <c r="O107" s="272"/>
      <c r="P107" s="272"/>
      <c r="Q107" s="272">
        <v>12644</v>
      </c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</row>
    <row r="108" spans="1:37" s="3" customFormat="1" ht="18.600000000000001" thickBot="1" x14ac:dyDescent="0.4">
      <c r="A108" s="228" t="s">
        <v>103</v>
      </c>
      <c r="B108" s="205" t="s">
        <v>281</v>
      </c>
      <c r="C108" s="243">
        <v>18074.082792312678</v>
      </c>
      <c r="D108" s="211"/>
      <c r="E108" s="243"/>
      <c r="F108" s="243">
        <f t="shared" si="4"/>
        <v>18074</v>
      </c>
      <c r="G108" s="243">
        <f t="shared" si="5"/>
        <v>0</v>
      </c>
      <c r="H108" s="272"/>
      <c r="I108" s="272"/>
      <c r="J108" s="258"/>
      <c r="K108" s="272">
        <v>18074</v>
      </c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</row>
    <row r="109" spans="1:37" s="3" customFormat="1" ht="18.600000000000001" thickBot="1" x14ac:dyDescent="0.4">
      <c r="A109" s="228" t="s">
        <v>104</v>
      </c>
      <c r="B109" s="205" t="s">
        <v>405</v>
      </c>
      <c r="C109" s="243">
        <v>402.50743972570331</v>
      </c>
      <c r="D109" s="211"/>
      <c r="E109" s="243"/>
      <c r="F109" s="243">
        <f t="shared" si="4"/>
        <v>0</v>
      </c>
      <c r="G109" s="243">
        <f t="shared" si="5"/>
        <v>403</v>
      </c>
      <c r="H109" s="272"/>
      <c r="I109" s="272"/>
      <c r="J109" s="258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</row>
    <row r="110" spans="1:37" s="3" customFormat="1" ht="18.600000000000001" thickBot="1" x14ac:dyDescent="0.4">
      <c r="A110" s="228" t="s">
        <v>105</v>
      </c>
      <c r="B110" s="205" t="s">
        <v>283</v>
      </c>
      <c r="C110" s="243">
        <v>5288.2790475970532</v>
      </c>
      <c r="D110" s="211"/>
      <c r="E110" s="243"/>
      <c r="F110" s="243">
        <f t="shared" si="4"/>
        <v>5288</v>
      </c>
      <c r="G110" s="243">
        <f t="shared" si="5"/>
        <v>0</v>
      </c>
      <c r="H110" s="272"/>
      <c r="I110" s="272"/>
      <c r="J110" s="258"/>
      <c r="K110" s="272"/>
      <c r="L110" s="272">
        <v>2576</v>
      </c>
      <c r="M110" s="272"/>
      <c r="N110" s="272"/>
      <c r="O110" s="272"/>
      <c r="P110" s="272"/>
      <c r="Q110" s="272">
        <v>2712</v>
      </c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</row>
    <row r="111" spans="1:37" s="3" customFormat="1" ht="18.600000000000001" thickBot="1" x14ac:dyDescent="0.4">
      <c r="A111" s="228" t="s">
        <v>106</v>
      </c>
      <c r="B111" s="205" t="s">
        <v>284</v>
      </c>
      <c r="C111" s="243">
        <v>11355.217179027542</v>
      </c>
      <c r="D111" s="211" t="s">
        <v>374</v>
      </c>
      <c r="E111" s="243">
        <f t="shared" si="6"/>
        <v>11355.217179027542</v>
      </c>
      <c r="F111" s="243">
        <f t="shared" si="4"/>
        <v>0</v>
      </c>
      <c r="G111" s="243">
        <f t="shared" si="5"/>
        <v>0</v>
      </c>
      <c r="H111" s="272"/>
      <c r="I111" s="272"/>
      <c r="J111" s="258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</row>
    <row r="112" spans="1:37" s="3" customFormat="1" ht="18.600000000000001" thickBot="1" x14ac:dyDescent="0.4">
      <c r="A112" s="228" t="s">
        <v>107</v>
      </c>
      <c r="B112" s="205" t="s">
        <v>285</v>
      </c>
      <c r="C112" s="243">
        <v>19372.87610857539</v>
      </c>
      <c r="D112" s="211" t="s">
        <v>374</v>
      </c>
      <c r="E112" s="243">
        <f t="shared" si="6"/>
        <v>19372.87610857539</v>
      </c>
      <c r="F112" s="243">
        <f t="shared" si="4"/>
        <v>0</v>
      </c>
      <c r="G112" s="243">
        <f t="shared" si="5"/>
        <v>0</v>
      </c>
      <c r="H112" s="272"/>
      <c r="I112" s="272"/>
      <c r="J112" s="258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</row>
    <row r="113" spans="1:37" s="3" customFormat="1" ht="18.600000000000001" thickBot="1" x14ac:dyDescent="0.4">
      <c r="A113" s="228" t="s">
        <v>108</v>
      </c>
      <c r="B113" s="205" t="s">
        <v>286</v>
      </c>
      <c r="C113" s="243">
        <v>3297.7173480702095</v>
      </c>
      <c r="D113" s="211" t="s">
        <v>374</v>
      </c>
      <c r="E113" s="243">
        <f t="shared" si="6"/>
        <v>3297.7173480702095</v>
      </c>
      <c r="F113" s="243">
        <f t="shared" si="4"/>
        <v>0</v>
      </c>
      <c r="G113" s="243">
        <f t="shared" si="5"/>
        <v>0</v>
      </c>
      <c r="H113" s="272"/>
      <c r="I113" s="272"/>
      <c r="J113" s="258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</row>
    <row r="114" spans="1:37" s="3" customFormat="1" ht="18.600000000000001" thickBot="1" x14ac:dyDescent="0.4">
      <c r="A114" s="228" t="s">
        <v>109</v>
      </c>
      <c r="B114" s="205" t="s">
        <v>287</v>
      </c>
      <c r="C114" s="243">
        <v>123031.26746731592</v>
      </c>
      <c r="D114" s="211"/>
      <c r="E114" s="243"/>
      <c r="F114" s="243">
        <f t="shared" si="4"/>
        <v>123031</v>
      </c>
      <c r="G114" s="243">
        <f t="shared" si="5"/>
        <v>0</v>
      </c>
      <c r="H114" s="272"/>
      <c r="I114" s="272"/>
      <c r="J114" s="258"/>
      <c r="K114" s="272"/>
      <c r="L114" s="272"/>
      <c r="M114" s="272"/>
      <c r="N114" s="272">
        <v>12173</v>
      </c>
      <c r="O114" s="272">
        <v>6802</v>
      </c>
      <c r="P114" s="272">
        <v>11768</v>
      </c>
      <c r="Q114" s="272">
        <v>8585</v>
      </c>
      <c r="R114" s="272">
        <v>6663</v>
      </c>
      <c r="S114" s="272">
        <v>5847</v>
      </c>
      <c r="T114" s="272">
        <v>6354</v>
      </c>
      <c r="U114" s="272"/>
      <c r="V114" s="272">
        <v>13858</v>
      </c>
      <c r="W114" s="272">
        <v>8751</v>
      </c>
      <c r="X114" s="272">
        <v>11261</v>
      </c>
      <c r="Y114" s="272">
        <f>5934+3291</f>
        <v>9225</v>
      </c>
      <c r="Z114" s="272">
        <v>7717</v>
      </c>
      <c r="AA114" s="272">
        <v>2198</v>
      </c>
      <c r="AB114" s="272"/>
      <c r="AC114" s="272">
        <v>6859</v>
      </c>
      <c r="AD114" s="272">
        <v>4970</v>
      </c>
      <c r="AE114" s="272"/>
      <c r="AF114" s="272"/>
      <c r="AG114" s="272"/>
      <c r="AH114" s="272"/>
      <c r="AI114" s="272"/>
      <c r="AJ114" s="272"/>
      <c r="AK114" s="272"/>
    </row>
    <row r="115" spans="1:37" s="3" customFormat="1" ht="18.600000000000001" thickBot="1" x14ac:dyDescent="0.4">
      <c r="A115" s="228" t="s">
        <v>110</v>
      </c>
      <c r="B115" s="205" t="s">
        <v>288</v>
      </c>
      <c r="C115" s="243">
        <v>5861.1788770320063</v>
      </c>
      <c r="D115" s="211" t="s">
        <v>376</v>
      </c>
      <c r="E115" s="243">
        <f t="shared" si="6"/>
        <v>5861.1788770320063</v>
      </c>
      <c r="F115" s="243">
        <f t="shared" si="4"/>
        <v>0</v>
      </c>
      <c r="G115" s="243">
        <f t="shared" si="5"/>
        <v>0</v>
      </c>
      <c r="H115" s="272"/>
      <c r="I115" s="272"/>
      <c r="J115" s="258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</row>
    <row r="116" spans="1:37" s="3" customFormat="1" ht="18.600000000000001" thickBot="1" x14ac:dyDescent="0.4">
      <c r="A116" s="228" t="s">
        <v>111</v>
      </c>
      <c r="B116" s="205" t="s">
        <v>289</v>
      </c>
      <c r="C116" s="243">
        <v>7603.13407176696</v>
      </c>
      <c r="D116" s="211"/>
      <c r="E116" s="243"/>
      <c r="F116" s="243">
        <f t="shared" si="4"/>
        <v>7603</v>
      </c>
      <c r="G116" s="243">
        <f t="shared" si="5"/>
        <v>0</v>
      </c>
      <c r="H116" s="272"/>
      <c r="I116" s="272"/>
      <c r="J116" s="258"/>
      <c r="K116" s="272"/>
      <c r="L116" s="272"/>
      <c r="M116" s="272"/>
      <c r="N116" s="272"/>
      <c r="O116" s="272"/>
      <c r="P116" s="272"/>
      <c r="Q116" s="272"/>
      <c r="R116" s="272"/>
      <c r="S116" s="272">
        <v>7603</v>
      </c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</row>
    <row r="117" spans="1:37" s="3" customFormat="1" ht="18.600000000000001" thickBot="1" x14ac:dyDescent="0.4">
      <c r="A117" s="228" t="s">
        <v>112</v>
      </c>
      <c r="B117" s="205" t="s">
        <v>290</v>
      </c>
      <c r="C117" s="243">
        <v>5254.405563752528</v>
      </c>
      <c r="D117" s="211" t="s">
        <v>376</v>
      </c>
      <c r="E117" s="243">
        <f t="shared" si="6"/>
        <v>5254.405563752528</v>
      </c>
      <c r="F117" s="243">
        <f t="shared" si="4"/>
        <v>0</v>
      </c>
      <c r="G117" s="243">
        <f t="shared" si="5"/>
        <v>0</v>
      </c>
      <c r="H117" s="272"/>
      <c r="I117" s="272"/>
      <c r="J117" s="258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</row>
    <row r="118" spans="1:37" s="3" customFormat="1" ht="18.600000000000001" thickBot="1" x14ac:dyDescent="0.4">
      <c r="A118" s="228" t="s">
        <v>113</v>
      </c>
      <c r="B118" s="205" t="s">
        <v>291</v>
      </c>
      <c r="C118" s="243">
        <v>6101.2157926173213</v>
      </c>
      <c r="D118" s="211"/>
      <c r="E118" s="243"/>
      <c r="F118" s="243">
        <f t="shared" si="4"/>
        <v>6101</v>
      </c>
      <c r="G118" s="243">
        <f t="shared" si="5"/>
        <v>0</v>
      </c>
      <c r="H118" s="272"/>
      <c r="I118" s="272"/>
      <c r="J118" s="258"/>
      <c r="K118" s="272"/>
      <c r="L118" s="272"/>
      <c r="M118" s="272"/>
      <c r="N118" s="272"/>
      <c r="O118" s="272"/>
      <c r="P118" s="272"/>
      <c r="Q118" s="272"/>
      <c r="R118" s="272"/>
      <c r="S118" s="272">
        <v>6101</v>
      </c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</row>
    <row r="119" spans="1:37" s="3" customFormat="1" ht="18.600000000000001" thickBot="1" x14ac:dyDescent="0.4">
      <c r="A119" s="228" t="s">
        <v>114</v>
      </c>
      <c r="B119" s="205" t="s">
        <v>292</v>
      </c>
      <c r="C119" s="243">
        <v>16910.27800551548</v>
      </c>
      <c r="D119" s="211"/>
      <c r="E119" s="243"/>
      <c r="F119" s="243">
        <f t="shared" si="4"/>
        <v>16910</v>
      </c>
      <c r="G119" s="243">
        <f t="shared" si="5"/>
        <v>0</v>
      </c>
      <c r="H119" s="272"/>
      <c r="I119" s="272"/>
      <c r="J119" s="258"/>
      <c r="K119" s="272">
        <f>1380+3035</f>
        <v>4415</v>
      </c>
      <c r="L119" s="272"/>
      <c r="M119" s="272">
        <v>3016</v>
      </c>
      <c r="N119" s="272">
        <f>3002+3054</f>
        <v>6056</v>
      </c>
      <c r="O119" s="272"/>
      <c r="P119" s="272">
        <v>3055</v>
      </c>
      <c r="Q119" s="272"/>
      <c r="R119" s="272"/>
      <c r="S119" s="272"/>
      <c r="T119" s="272"/>
      <c r="U119" s="272"/>
      <c r="V119" s="272"/>
      <c r="W119" s="272">
        <v>368</v>
      </c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</row>
    <row r="120" spans="1:37" s="3" customFormat="1" ht="18.600000000000001" thickBot="1" x14ac:dyDescent="0.4">
      <c r="A120" s="228" t="s">
        <v>115</v>
      </c>
      <c r="B120" s="205" t="s">
        <v>293</v>
      </c>
      <c r="C120" s="243">
        <v>789075.91700506466</v>
      </c>
      <c r="D120" s="211"/>
      <c r="E120" s="243"/>
      <c r="F120" s="243">
        <f t="shared" si="4"/>
        <v>789076</v>
      </c>
      <c r="G120" s="243">
        <f t="shared" si="5"/>
        <v>0</v>
      </c>
      <c r="H120" s="272"/>
      <c r="I120" s="272"/>
      <c r="J120" s="258"/>
      <c r="K120" s="272">
        <v>97709</v>
      </c>
      <c r="L120" s="272"/>
      <c r="M120" s="272"/>
      <c r="N120" s="272"/>
      <c r="O120" s="272"/>
      <c r="P120" s="272"/>
      <c r="Q120" s="272"/>
      <c r="R120" s="272">
        <v>19272</v>
      </c>
      <c r="S120" s="272">
        <v>56898</v>
      </c>
      <c r="T120" s="272">
        <v>113308</v>
      </c>
      <c r="U120" s="272">
        <v>46869</v>
      </c>
      <c r="V120" s="272"/>
      <c r="W120" s="272">
        <v>18344</v>
      </c>
      <c r="X120" s="272"/>
      <c r="Y120" s="272">
        <v>246677</v>
      </c>
      <c r="Z120" s="272">
        <v>4812</v>
      </c>
      <c r="AA120" s="272"/>
      <c r="AB120" s="272">
        <v>183761</v>
      </c>
      <c r="AC120" s="272">
        <v>1426</v>
      </c>
      <c r="AD120" s="272"/>
      <c r="AE120" s="272"/>
      <c r="AF120" s="272"/>
      <c r="AG120" s="272"/>
      <c r="AH120" s="272"/>
      <c r="AI120" s="272"/>
      <c r="AJ120" s="272"/>
      <c r="AK120" s="272"/>
    </row>
    <row r="121" spans="1:37" s="3" customFormat="1" ht="18.600000000000001" thickBot="1" x14ac:dyDescent="0.4">
      <c r="A121" s="228" t="s">
        <v>116</v>
      </c>
      <c r="B121" s="205" t="s">
        <v>294</v>
      </c>
      <c r="C121" s="243">
        <v>4433.5274493839552</v>
      </c>
      <c r="D121" s="211"/>
      <c r="E121" s="243"/>
      <c r="F121" s="243">
        <f t="shared" si="4"/>
        <v>4434</v>
      </c>
      <c r="G121" s="243">
        <f t="shared" si="5"/>
        <v>0</v>
      </c>
      <c r="H121" s="272"/>
      <c r="I121" s="272"/>
      <c r="J121" s="258"/>
      <c r="K121" s="272"/>
      <c r="L121" s="272"/>
      <c r="M121" s="272"/>
      <c r="N121" s="272"/>
      <c r="O121" s="272"/>
      <c r="P121" s="272"/>
      <c r="Q121" s="272"/>
      <c r="R121" s="272">
        <v>4395</v>
      </c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>
        <v>39</v>
      </c>
      <c r="AE121" s="272"/>
      <c r="AF121" s="272"/>
      <c r="AG121" s="272"/>
      <c r="AH121" s="272"/>
      <c r="AI121" s="272"/>
      <c r="AJ121" s="272"/>
      <c r="AK121" s="272"/>
    </row>
    <row r="122" spans="1:37" s="3" customFormat="1" ht="18.600000000000001" thickBot="1" x14ac:dyDescent="0.4">
      <c r="A122" s="228" t="s">
        <v>117</v>
      </c>
      <c r="B122" s="205" t="s">
        <v>295</v>
      </c>
      <c r="C122" s="243">
        <v>90113.37320384862</v>
      </c>
      <c r="D122" s="211"/>
      <c r="E122" s="243"/>
      <c r="F122" s="243">
        <f t="shared" si="4"/>
        <v>90113</v>
      </c>
      <c r="G122" s="243">
        <f t="shared" si="5"/>
        <v>0</v>
      </c>
      <c r="H122" s="272"/>
      <c r="I122" s="272"/>
      <c r="J122" s="258"/>
      <c r="K122" s="272"/>
      <c r="L122" s="272"/>
      <c r="M122" s="272"/>
      <c r="N122" s="272"/>
      <c r="O122" s="272"/>
      <c r="P122" s="272"/>
      <c r="Q122" s="272"/>
      <c r="R122" s="272"/>
      <c r="S122" s="272">
        <v>90070</v>
      </c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>
        <v>43</v>
      </c>
      <c r="AD122" s="272"/>
      <c r="AE122" s="272"/>
      <c r="AF122" s="272"/>
      <c r="AG122" s="272"/>
      <c r="AH122" s="272"/>
      <c r="AI122" s="272"/>
      <c r="AJ122" s="272"/>
      <c r="AK122" s="272"/>
    </row>
    <row r="123" spans="1:37" s="3" customFormat="1" ht="18.600000000000001" thickBot="1" x14ac:dyDescent="0.4">
      <c r="A123" s="228" t="s">
        <v>118</v>
      </c>
      <c r="B123" s="205" t="s">
        <v>296</v>
      </c>
      <c r="C123" s="243">
        <v>186266.81767236241</v>
      </c>
      <c r="D123" s="211"/>
      <c r="E123" s="243"/>
      <c r="F123" s="243">
        <f t="shared" si="4"/>
        <v>186267</v>
      </c>
      <c r="G123" s="243">
        <f t="shared" si="5"/>
        <v>0</v>
      </c>
      <c r="H123" s="272"/>
      <c r="I123" s="272"/>
      <c r="J123" s="258"/>
      <c r="K123" s="272">
        <v>22902</v>
      </c>
      <c r="L123" s="272">
        <v>11096</v>
      </c>
      <c r="M123" s="272">
        <v>28307</v>
      </c>
      <c r="N123" s="272">
        <v>2315</v>
      </c>
      <c r="O123" s="272">
        <v>13209</v>
      </c>
      <c r="P123" s="272">
        <v>9625</v>
      </c>
      <c r="Q123" s="272">
        <v>8029</v>
      </c>
      <c r="R123" s="272">
        <v>8001</v>
      </c>
      <c r="S123" s="272">
        <v>30227</v>
      </c>
      <c r="T123" s="272">
        <v>7974</v>
      </c>
      <c r="U123" s="272">
        <v>6587</v>
      </c>
      <c r="V123" s="272">
        <v>37995</v>
      </c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</row>
    <row r="124" spans="1:37" s="3" customFormat="1" ht="18.600000000000001" thickBot="1" x14ac:dyDescent="0.4">
      <c r="A124" s="228" t="s">
        <v>119</v>
      </c>
      <c r="B124" s="205" t="s">
        <v>297</v>
      </c>
      <c r="C124" s="243">
        <v>24632.475646231502</v>
      </c>
      <c r="D124" s="211"/>
      <c r="E124" s="243"/>
      <c r="F124" s="243">
        <f t="shared" si="4"/>
        <v>24632</v>
      </c>
      <c r="G124" s="243">
        <f t="shared" si="5"/>
        <v>0</v>
      </c>
      <c r="H124" s="272"/>
      <c r="I124" s="272"/>
      <c r="J124" s="258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>
        <v>3892</v>
      </c>
      <c r="U124" s="272"/>
      <c r="V124" s="272"/>
      <c r="W124" s="272"/>
      <c r="X124" s="272"/>
      <c r="Y124" s="272"/>
      <c r="Z124" s="272">
        <v>20740</v>
      </c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</row>
    <row r="125" spans="1:37" s="3" customFormat="1" ht="18.600000000000001" thickBot="1" x14ac:dyDescent="0.4">
      <c r="A125" s="228" t="s">
        <v>120</v>
      </c>
      <c r="B125" s="205" t="s">
        <v>298</v>
      </c>
      <c r="C125" s="243">
        <v>21783.214454753128</v>
      </c>
      <c r="D125" s="211"/>
      <c r="E125" s="243"/>
      <c r="F125" s="243">
        <f t="shared" si="4"/>
        <v>21783</v>
      </c>
      <c r="G125" s="243">
        <f t="shared" si="5"/>
        <v>0</v>
      </c>
      <c r="H125" s="272"/>
      <c r="I125" s="272"/>
      <c r="J125" s="258"/>
      <c r="K125" s="272"/>
      <c r="L125" s="272"/>
      <c r="M125" s="272"/>
      <c r="N125" s="272"/>
      <c r="O125" s="272">
        <v>10350</v>
      </c>
      <c r="P125" s="272"/>
      <c r="Q125" s="272"/>
      <c r="R125" s="272"/>
      <c r="S125" s="272"/>
      <c r="T125" s="272">
        <v>11433</v>
      </c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</row>
    <row r="126" spans="1:37" s="3" customFormat="1" ht="18.600000000000001" thickBot="1" x14ac:dyDescent="0.4">
      <c r="A126" s="228" t="s">
        <v>121</v>
      </c>
      <c r="B126" s="205" t="s">
        <v>299</v>
      </c>
      <c r="C126" s="243">
        <v>228422.53208992106</v>
      </c>
      <c r="D126" s="211"/>
      <c r="E126" s="243"/>
      <c r="F126" s="243">
        <f t="shared" si="4"/>
        <v>228423</v>
      </c>
      <c r="G126" s="243">
        <f t="shared" si="5"/>
        <v>0</v>
      </c>
      <c r="H126" s="272"/>
      <c r="I126" s="272"/>
      <c r="J126" s="258"/>
      <c r="K126" s="272"/>
      <c r="L126" s="272"/>
      <c r="M126" s="272"/>
      <c r="N126" s="272"/>
      <c r="O126" s="272">
        <v>35575</v>
      </c>
      <c r="P126" s="272">
        <v>35391</v>
      </c>
      <c r="Q126" s="272">
        <v>26676</v>
      </c>
      <c r="R126" s="272">
        <v>12517</v>
      </c>
      <c r="S126" s="272">
        <v>20124</v>
      </c>
      <c r="T126" s="272">
        <v>14543</v>
      </c>
      <c r="U126" s="272">
        <v>11479</v>
      </c>
      <c r="V126" s="272">
        <v>21890</v>
      </c>
      <c r="W126" s="272">
        <v>50228</v>
      </c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</row>
    <row r="127" spans="1:37" s="3" customFormat="1" ht="18.600000000000001" thickBot="1" x14ac:dyDescent="0.4">
      <c r="A127" s="228" t="s">
        <v>122</v>
      </c>
      <c r="B127" s="205" t="s">
        <v>300</v>
      </c>
      <c r="C127" s="243">
        <v>17944.951269308811</v>
      </c>
      <c r="D127" s="211"/>
      <c r="E127" s="243"/>
      <c r="F127" s="243">
        <f t="shared" si="4"/>
        <v>17945</v>
      </c>
      <c r="G127" s="243">
        <f t="shared" si="5"/>
        <v>0</v>
      </c>
      <c r="H127" s="272"/>
      <c r="I127" s="272"/>
      <c r="J127" s="258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>
        <v>14905</v>
      </c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>
        <v>3040</v>
      </c>
      <c r="AJ127" s="272"/>
      <c r="AK127" s="272"/>
    </row>
    <row r="128" spans="1:37" s="3" customFormat="1" ht="18.600000000000001" thickBot="1" x14ac:dyDescent="0.4">
      <c r="A128" s="228" t="s">
        <v>123</v>
      </c>
      <c r="B128" s="205" t="s">
        <v>301</v>
      </c>
      <c r="C128" s="243">
        <v>55675.670587012966</v>
      </c>
      <c r="D128" s="211" t="s">
        <v>375</v>
      </c>
      <c r="E128" s="243">
        <f t="shared" si="6"/>
        <v>55675.670587012966</v>
      </c>
      <c r="F128" s="243">
        <f t="shared" si="4"/>
        <v>0</v>
      </c>
      <c r="G128" s="243">
        <f t="shared" si="5"/>
        <v>0</v>
      </c>
      <c r="H128" s="272"/>
      <c r="I128" s="272"/>
      <c r="J128" s="258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</row>
    <row r="129" spans="1:37" s="3" customFormat="1" ht="18.600000000000001" thickBot="1" x14ac:dyDescent="0.4">
      <c r="A129" s="228" t="s">
        <v>124</v>
      </c>
      <c r="B129" s="205" t="s">
        <v>302</v>
      </c>
      <c r="C129" s="243">
        <v>144950.39457030268</v>
      </c>
      <c r="D129" s="211"/>
      <c r="E129" s="243"/>
      <c r="F129" s="243">
        <f t="shared" si="4"/>
        <v>144950</v>
      </c>
      <c r="G129" s="243">
        <f t="shared" si="5"/>
        <v>0</v>
      </c>
      <c r="H129" s="272"/>
      <c r="I129" s="272"/>
      <c r="J129" s="258"/>
      <c r="K129" s="272">
        <v>8128</v>
      </c>
      <c r="L129" s="258"/>
      <c r="M129" s="272">
        <v>4252</v>
      </c>
      <c r="N129" s="272">
        <v>6882</v>
      </c>
      <c r="O129" s="272">
        <v>6927</v>
      </c>
      <c r="P129" s="272">
        <v>16287</v>
      </c>
      <c r="Q129" s="272">
        <v>10889</v>
      </c>
      <c r="R129" s="272">
        <v>9354</v>
      </c>
      <c r="S129" s="272">
        <v>6929</v>
      </c>
      <c r="T129" s="272">
        <v>6971</v>
      </c>
      <c r="U129" s="272">
        <v>6971</v>
      </c>
      <c r="V129" s="272">
        <v>5169</v>
      </c>
      <c r="W129" s="272">
        <f>11314+15002</f>
        <v>26316</v>
      </c>
      <c r="X129" s="272">
        <v>14102</v>
      </c>
      <c r="Y129" s="272">
        <v>14102</v>
      </c>
      <c r="Z129" s="272">
        <v>1671</v>
      </c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</row>
    <row r="130" spans="1:37" s="3" customFormat="1" ht="18.600000000000001" thickBot="1" x14ac:dyDescent="0.4">
      <c r="A130" s="228" t="s">
        <v>125</v>
      </c>
      <c r="B130" s="205" t="s">
        <v>303</v>
      </c>
      <c r="C130" s="243">
        <v>6946.1111435246085</v>
      </c>
      <c r="D130" s="211" t="s">
        <v>375</v>
      </c>
      <c r="E130" s="243">
        <f t="shared" si="6"/>
        <v>6946.1111435246085</v>
      </c>
      <c r="F130" s="243">
        <f t="shared" si="4"/>
        <v>0</v>
      </c>
      <c r="G130" s="243">
        <f t="shared" si="5"/>
        <v>0</v>
      </c>
      <c r="H130" s="272"/>
      <c r="I130" s="272"/>
      <c r="J130" s="258"/>
      <c r="K130" s="272"/>
      <c r="L130" s="258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</row>
    <row r="131" spans="1:37" s="3" customFormat="1" ht="18.600000000000001" thickBot="1" x14ac:dyDescent="0.4">
      <c r="A131" s="228" t="s">
        <v>126</v>
      </c>
      <c r="B131" s="205" t="s">
        <v>304</v>
      </c>
      <c r="C131" s="243">
        <v>14119.111787951388</v>
      </c>
      <c r="D131" s="211" t="s">
        <v>375</v>
      </c>
      <c r="E131" s="243">
        <f t="shared" si="6"/>
        <v>14119.111787951388</v>
      </c>
      <c r="F131" s="243">
        <f t="shared" si="4"/>
        <v>0</v>
      </c>
      <c r="G131" s="243">
        <f t="shared" si="5"/>
        <v>0</v>
      </c>
      <c r="H131" s="272"/>
      <c r="I131" s="272"/>
      <c r="J131" s="258"/>
      <c r="K131" s="272"/>
      <c r="L131" s="258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</row>
    <row r="132" spans="1:37" s="3" customFormat="1" ht="18.600000000000001" thickBot="1" x14ac:dyDescent="0.4">
      <c r="A132" s="228" t="s">
        <v>127</v>
      </c>
      <c r="B132" s="205" t="s">
        <v>305</v>
      </c>
      <c r="C132" s="243">
        <v>101689.5966326311</v>
      </c>
      <c r="D132" s="211"/>
      <c r="E132" s="243"/>
      <c r="F132" s="243">
        <f t="shared" si="4"/>
        <v>101690</v>
      </c>
      <c r="G132" s="243">
        <f t="shared" si="5"/>
        <v>0</v>
      </c>
      <c r="H132" s="272"/>
      <c r="I132" s="272"/>
      <c r="J132" s="258"/>
      <c r="K132" s="272"/>
      <c r="L132" s="258"/>
      <c r="M132" s="272"/>
      <c r="N132" s="272">
        <v>29130</v>
      </c>
      <c r="O132" s="272">
        <v>5557</v>
      </c>
      <c r="P132" s="272">
        <v>5554</v>
      </c>
      <c r="Q132" s="272">
        <v>5554</v>
      </c>
      <c r="R132" s="272">
        <v>6082</v>
      </c>
      <c r="S132" s="272">
        <f>5553+11106</f>
        <v>16659</v>
      </c>
      <c r="T132" s="272"/>
      <c r="U132" s="272"/>
      <c r="V132" s="272">
        <v>10688</v>
      </c>
      <c r="W132" s="272">
        <v>12115</v>
      </c>
      <c r="X132" s="272"/>
      <c r="Y132" s="272">
        <f>4309+4470</f>
        <v>8779</v>
      </c>
      <c r="Z132" s="272">
        <v>1572</v>
      </c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</row>
    <row r="133" spans="1:37" s="3" customFormat="1" ht="18.600000000000001" thickBot="1" x14ac:dyDescent="0.4">
      <c r="A133" s="228" t="s">
        <v>128</v>
      </c>
      <c r="B133" s="205" t="s">
        <v>306</v>
      </c>
      <c r="C133" s="243">
        <v>101356.78935972352</v>
      </c>
      <c r="D133" s="211"/>
      <c r="E133" s="243"/>
      <c r="F133" s="243">
        <f t="shared" si="4"/>
        <v>101357</v>
      </c>
      <c r="G133" s="243">
        <f t="shared" si="5"/>
        <v>0</v>
      </c>
      <c r="H133" s="272"/>
      <c r="I133" s="272"/>
      <c r="J133" s="258"/>
      <c r="K133" s="272"/>
      <c r="L133" s="258"/>
      <c r="M133" s="272"/>
      <c r="N133" s="272"/>
      <c r="O133" s="272"/>
      <c r="P133" s="272"/>
      <c r="Q133" s="272"/>
      <c r="R133" s="272"/>
      <c r="S133" s="272">
        <v>101357</v>
      </c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</row>
    <row r="134" spans="1:37" s="3" customFormat="1" ht="18.600000000000001" thickBot="1" x14ac:dyDescent="0.4">
      <c r="A134" s="228" t="s">
        <v>129</v>
      </c>
      <c r="B134" s="205" t="s">
        <v>307</v>
      </c>
      <c r="C134" s="243">
        <v>14617.867941378303</v>
      </c>
      <c r="D134" s="211"/>
      <c r="E134" s="243"/>
      <c r="F134" s="243">
        <f t="shared" si="4"/>
        <v>14618</v>
      </c>
      <c r="G134" s="243">
        <f t="shared" si="5"/>
        <v>0</v>
      </c>
      <c r="H134" s="272"/>
      <c r="I134" s="272"/>
      <c r="J134" s="258"/>
      <c r="K134" s="272"/>
      <c r="L134" s="258">
        <v>4873</v>
      </c>
      <c r="M134" s="272"/>
      <c r="N134" s="272"/>
      <c r="O134" s="272"/>
      <c r="P134" s="272">
        <v>5524</v>
      </c>
      <c r="Q134" s="272"/>
      <c r="R134" s="272"/>
      <c r="S134" s="272">
        <v>4221</v>
      </c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</row>
    <row r="135" spans="1:37" s="3" customFormat="1" ht="18.600000000000001" thickBot="1" x14ac:dyDescent="0.4">
      <c r="A135" s="228" t="s">
        <v>130</v>
      </c>
      <c r="B135" s="205" t="s">
        <v>308</v>
      </c>
      <c r="C135" s="243">
        <v>20960.290557539429</v>
      </c>
      <c r="D135" s="211"/>
      <c r="E135" s="243"/>
      <c r="F135" s="243">
        <f t="shared" si="4"/>
        <v>20960</v>
      </c>
      <c r="G135" s="243">
        <f t="shared" si="5"/>
        <v>0</v>
      </c>
      <c r="H135" s="272"/>
      <c r="I135" s="272"/>
      <c r="J135" s="258"/>
      <c r="K135" s="272"/>
      <c r="L135" s="258"/>
      <c r="M135" s="272"/>
      <c r="N135" s="272"/>
      <c r="O135" s="272"/>
      <c r="P135" s="272"/>
      <c r="Q135" s="272"/>
      <c r="R135" s="272"/>
      <c r="S135" s="272">
        <v>20960</v>
      </c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</row>
    <row r="136" spans="1:37" s="3" customFormat="1" ht="18.600000000000001" thickBot="1" x14ac:dyDescent="0.4">
      <c r="A136" s="228" t="s">
        <v>131</v>
      </c>
      <c r="B136" s="205" t="s">
        <v>309</v>
      </c>
      <c r="C136" s="243">
        <v>9607.8830911783898</v>
      </c>
      <c r="D136" s="211"/>
      <c r="E136" s="243"/>
      <c r="F136" s="243">
        <f t="shared" si="4"/>
        <v>9608</v>
      </c>
      <c r="G136" s="243">
        <f t="shared" si="5"/>
        <v>0</v>
      </c>
      <c r="H136" s="272"/>
      <c r="I136" s="272"/>
      <c r="J136" s="258"/>
      <c r="K136" s="272"/>
      <c r="L136" s="258"/>
      <c r="M136" s="272"/>
      <c r="N136" s="272"/>
      <c r="O136" s="272"/>
      <c r="P136" s="272"/>
      <c r="Q136" s="272"/>
      <c r="R136" s="272"/>
      <c r="S136" s="272"/>
      <c r="T136" s="272">
        <v>9608</v>
      </c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</row>
    <row r="137" spans="1:37" s="3" customFormat="1" ht="18.600000000000001" thickBot="1" x14ac:dyDescent="0.4">
      <c r="A137" s="228" t="s">
        <v>132</v>
      </c>
      <c r="B137" s="205" t="s">
        <v>310</v>
      </c>
      <c r="C137" s="243">
        <v>10623.50789822325</v>
      </c>
      <c r="D137" s="211"/>
      <c r="E137" s="243"/>
      <c r="F137" s="243">
        <f t="shared" si="4"/>
        <v>10624</v>
      </c>
      <c r="G137" s="243">
        <f t="shared" si="5"/>
        <v>0</v>
      </c>
      <c r="H137" s="272"/>
      <c r="I137" s="272"/>
      <c r="J137" s="258"/>
      <c r="K137" s="272"/>
      <c r="L137" s="258">
        <v>3502</v>
      </c>
      <c r="M137" s="272"/>
      <c r="N137" s="272"/>
      <c r="O137" s="272">
        <v>3503</v>
      </c>
      <c r="P137" s="272">
        <v>2334</v>
      </c>
      <c r="Q137" s="272"/>
      <c r="R137" s="272">
        <v>1285</v>
      </c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</row>
    <row r="138" spans="1:37" s="3" customFormat="1" ht="18.600000000000001" thickBot="1" x14ac:dyDescent="0.4">
      <c r="A138" s="228" t="s">
        <v>133</v>
      </c>
      <c r="B138" s="205" t="s">
        <v>311</v>
      </c>
      <c r="C138" s="243">
        <v>6055.4551304407323</v>
      </c>
      <c r="D138" s="211"/>
      <c r="E138" s="243"/>
      <c r="F138" s="243">
        <f t="shared" si="4"/>
        <v>6055</v>
      </c>
      <c r="G138" s="243">
        <f t="shared" si="5"/>
        <v>0</v>
      </c>
      <c r="H138" s="272"/>
      <c r="I138" s="272"/>
      <c r="J138" s="258"/>
      <c r="K138" s="272"/>
      <c r="L138" s="272"/>
      <c r="M138" s="272"/>
      <c r="N138" s="272"/>
      <c r="O138" s="272"/>
      <c r="P138" s="272">
        <v>3033</v>
      </c>
      <c r="Q138" s="272"/>
      <c r="R138" s="272"/>
      <c r="S138" s="272">
        <v>2022</v>
      </c>
      <c r="T138" s="272"/>
      <c r="U138" s="272"/>
      <c r="V138" s="272">
        <v>1000</v>
      </c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</row>
    <row r="139" spans="1:37" s="3" customFormat="1" ht="18.600000000000001" thickBot="1" x14ac:dyDescent="0.4">
      <c r="A139" s="228" t="s">
        <v>134</v>
      </c>
      <c r="B139" s="205" t="s">
        <v>312</v>
      </c>
      <c r="C139" s="243">
        <v>8453.8519742405661</v>
      </c>
      <c r="D139" s="211"/>
      <c r="E139" s="243"/>
      <c r="F139" s="243">
        <f t="shared" si="4"/>
        <v>8454</v>
      </c>
      <c r="G139" s="243">
        <f t="shared" si="5"/>
        <v>0</v>
      </c>
      <c r="H139" s="272"/>
      <c r="I139" s="272"/>
      <c r="J139" s="258"/>
      <c r="K139" s="272"/>
      <c r="L139" s="272"/>
      <c r="M139" s="272"/>
      <c r="N139" s="272"/>
      <c r="O139" s="272"/>
      <c r="P139" s="272"/>
      <c r="Q139" s="272"/>
      <c r="R139" s="272"/>
      <c r="S139" s="272">
        <v>8454</v>
      </c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</row>
    <row r="140" spans="1:37" s="3" customFormat="1" ht="18.600000000000001" thickBot="1" x14ac:dyDescent="0.4">
      <c r="A140" s="228" t="s">
        <v>135</v>
      </c>
      <c r="B140" s="205" t="s">
        <v>313</v>
      </c>
      <c r="C140" s="243">
        <v>45583.955514260255</v>
      </c>
      <c r="D140" s="211"/>
      <c r="E140" s="243"/>
      <c r="F140" s="243">
        <f t="shared" si="4"/>
        <v>45584</v>
      </c>
      <c r="G140" s="243">
        <f t="shared" si="5"/>
        <v>0</v>
      </c>
      <c r="H140" s="272"/>
      <c r="I140" s="272"/>
      <c r="J140" s="258"/>
      <c r="K140" s="272"/>
      <c r="L140" s="272"/>
      <c r="M140" s="272"/>
      <c r="N140" s="272">
        <v>18890</v>
      </c>
      <c r="O140" s="272"/>
      <c r="P140" s="272">
        <v>26694</v>
      </c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</row>
    <row r="141" spans="1:37" s="3" customFormat="1" ht="18.600000000000001" thickBot="1" x14ac:dyDescent="0.4">
      <c r="A141" s="228" t="s">
        <v>136</v>
      </c>
      <c r="B141" s="205" t="s">
        <v>314</v>
      </c>
      <c r="C141" s="243">
        <v>17512.426050755905</v>
      </c>
      <c r="D141" s="211"/>
      <c r="E141" s="243"/>
      <c r="F141" s="243">
        <f t="shared" si="4"/>
        <v>17512</v>
      </c>
      <c r="G141" s="243">
        <f t="shared" si="5"/>
        <v>0</v>
      </c>
      <c r="H141" s="272"/>
      <c r="I141" s="272"/>
      <c r="J141" s="258"/>
      <c r="K141" s="272"/>
      <c r="L141" s="272">
        <v>4787</v>
      </c>
      <c r="M141" s="272">
        <v>1123</v>
      </c>
      <c r="N141" s="272"/>
      <c r="O141" s="272">
        <v>3185</v>
      </c>
      <c r="P141" s="272"/>
      <c r="Q141" s="272"/>
      <c r="R141" s="272"/>
      <c r="S141" s="272">
        <v>8173</v>
      </c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>
        <v>244</v>
      </c>
      <c r="AE141" s="272"/>
      <c r="AF141" s="272"/>
      <c r="AG141" s="272"/>
      <c r="AH141" s="272"/>
      <c r="AI141" s="272"/>
      <c r="AJ141" s="272"/>
      <c r="AK141" s="272"/>
    </row>
    <row r="142" spans="1:37" s="3" customFormat="1" ht="18.600000000000001" thickBot="1" x14ac:dyDescent="0.4">
      <c r="A142" s="228" t="s">
        <v>137</v>
      </c>
      <c r="B142" s="205" t="s">
        <v>315</v>
      </c>
      <c r="C142" s="243">
        <v>19778.115239867315</v>
      </c>
      <c r="D142" s="211"/>
      <c r="E142" s="243"/>
      <c r="F142" s="243">
        <f t="shared" ref="F142:F197" si="7">SUM(H142:AL142)</f>
        <v>19778</v>
      </c>
      <c r="G142" s="243">
        <f t="shared" ref="G142:G197" si="8">ROUND(IF(ISBLANK(E142),C142-F142,C142-E142),0)</f>
        <v>0</v>
      </c>
      <c r="H142" s="272"/>
      <c r="I142" s="272"/>
      <c r="J142" s="258"/>
      <c r="K142" s="272"/>
      <c r="L142" s="272"/>
      <c r="M142" s="272"/>
      <c r="N142" s="272"/>
      <c r="O142" s="272"/>
      <c r="P142" s="272"/>
      <c r="Q142" s="272">
        <v>19778</v>
      </c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</row>
    <row r="143" spans="1:37" s="3" customFormat="1" ht="18.600000000000001" thickBot="1" x14ac:dyDescent="0.4">
      <c r="A143" s="228" t="s">
        <v>138</v>
      </c>
      <c r="B143" s="205" t="s">
        <v>316</v>
      </c>
      <c r="C143" s="243">
        <v>8983.1324965531712</v>
      </c>
      <c r="D143" s="211" t="s">
        <v>376</v>
      </c>
      <c r="E143" s="243">
        <f t="shared" ref="E143:E190" si="9">IF(ISBLANK(D143),,C143)</f>
        <v>8983.1324965531712</v>
      </c>
      <c r="F143" s="243">
        <f t="shared" si="7"/>
        <v>0</v>
      </c>
      <c r="G143" s="243">
        <f t="shared" si="8"/>
        <v>0</v>
      </c>
      <c r="H143" s="272"/>
      <c r="I143" s="272"/>
      <c r="J143" s="258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</row>
    <row r="144" spans="1:37" s="3" customFormat="1" ht="18.600000000000001" thickBot="1" x14ac:dyDescent="0.4">
      <c r="A144" s="228" t="s">
        <v>139</v>
      </c>
      <c r="B144" s="205" t="s">
        <v>394</v>
      </c>
      <c r="C144" s="243">
        <v>25126.505725625044</v>
      </c>
      <c r="D144" s="211"/>
      <c r="E144" s="243"/>
      <c r="F144" s="243">
        <f t="shared" si="7"/>
        <v>25127</v>
      </c>
      <c r="G144" s="243">
        <f t="shared" si="8"/>
        <v>0</v>
      </c>
      <c r="H144" s="272"/>
      <c r="I144" s="272"/>
      <c r="J144" s="258"/>
      <c r="K144" s="272"/>
      <c r="L144" s="272"/>
      <c r="M144" s="272"/>
      <c r="N144" s="272"/>
      <c r="O144" s="272"/>
      <c r="P144" s="272">
        <v>16800</v>
      </c>
      <c r="Q144" s="272"/>
      <c r="R144" s="272"/>
      <c r="S144" s="272">
        <v>8327</v>
      </c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</row>
    <row r="145" spans="1:37" s="3" customFormat="1" ht="18.600000000000001" thickBot="1" x14ac:dyDescent="0.4">
      <c r="A145" s="228" t="s">
        <v>140</v>
      </c>
      <c r="B145" s="205" t="s">
        <v>318</v>
      </c>
      <c r="C145" s="243">
        <v>14580.961560731026</v>
      </c>
      <c r="D145" s="211"/>
      <c r="E145" s="243"/>
      <c r="F145" s="243">
        <f t="shared" si="7"/>
        <v>14581</v>
      </c>
      <c r="G145" s="243">
        <f t="shared" si="8"/>
        <v>0</v>
      </c>
      <c r="H145" s="272"/>
      <c r="I145" s="272"/>
      <c r="J145" s="258"/>
      <c r="K145" s="272"/>
      <c r="L145" s="272"/>
      <c r="M145" s="272">
        <v>4097</v>
      </c>
      <c r="N145" s="272"/>
      <c r="O145" s="272"/>
      <c r="P145" s="272"/>
      <c r="Q145" s="272"/>
      <c r="R145" s="272"/>
      <c r="S145" s="272"/>
      <c r="T145" s="272"/>
      <c r="U145" s="272"/>
      <c r="V145" s="272"/>
      <c r="W145" s="272">
        <v>10484</v>
      </c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</row>
    <row r="146" spans="1:37" s="3" customFormat="1" ht="18.600000000000001" thickBot="1" x14ac:dyDescent="0.4">
      <c r="A146" s="228" t="s">
        <v>141</v>
      </c>
      <c r="B146" s="205" t="s">
        <v>319</v>
      </c>
      <c r="C146" s="243">
        <v>120012.8229593538</v>
      </c>
      <c r="D146" s="211"/>
      <c r="E146" s="243"/>
      <c r="F146" s="243">
        <f t="shared" si="7"/>
        <v>120013</v>
      </c>
      <c r="G146" s="243">
        <f t="shared" si="8"/>
        <v>0</v>
      </c>
      <c r="H146" s="272"/>
      <c r="I146" s="272"/>
      <c r="J146" s="258"/>
      <c r="K146" s="272"/>
      <c r="L146" s="272"/>
      <c r="M146" s="272"/>
      <c r="N146" s="272">
        <v>13018</v>
      </c>
      <c r="O146" s="272"/>
      <c r="P146" s="272">
        <v>2733</v>
      </c>
      <c r="Q146" s="272">
        <v>1375</v>
      </c>
      <c r="R146" s="272">
        <v>1368</v>
      </c>
      <c r="S146" s="272">
        <f>1367+4104</f>
        <v>5471</v>
      </c>
      <c r="T146" s="272"/>
      <c r="U146" s="272"/>
      <c r="V146" s="272">
        <v>81377</v>
      </c>
      <c r="W146" s="272"/>
      <c r="X146" s="272">
        <v>14671</v>
      </c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</row>
    <row r="147" spans="1:37" s="3" customFormat="1" ht="18.600000000000001" thickBot="1" x14ac:dyDescent="0.4">
      <c r="A147" s="228" t="s">
        <v>142</v>
      </c>
      <c r="B147" s="205" t="s">
        <v>320</v>
      </c>
      <c r="C147" s="243">
        <v>15074.173106580845</v>
      </c>
      <c r="D147" s="211"/>
      <c r="E147" s="243"/>
      <c r="F147" s="243">
        <f t="shared" si="7"/>
        <v>15074</v>
      </c>
      <c r="G147" s="243">
        <f t="shared" si="8"/>
        <v>0</v>
      </c>
      <c r="H147" s="272"/>
      <c r="I147" s="272"/>
      <c r="J147" s="258"/>
      <c r="K147" s="272"/>
      <c r="L147" s="272"/>
      <c r="M147" s="272"/>
      <c r="N147" s="272"/>
      <c r="O147" s="272"/>
      <c r="P147" s="272">
        <v>15074</v>
      </c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</row>
    <row r="148" spans="1:37" s="3" customFormat="1" ht="18.600000000000001" thickBot="1" x14ac:dyDescent="0.4">
      <c r="A148" s="228" t="s">
        <v>143</v>
      </c>
      <c r="B148" s="205" t="s">
        <v>321</v>
      </c>
      <c r="C148" s="243">
        <v>13109.594822827745</v>
      </c>
      <c r="D148" s="211"/>
      <c r="E148" s="243"/>
      <c r="F148" s="243">
        <f t="shared" si="7"/>
        <v>13110</v>
      </c>
      <c r="G148" s="243">
        <f t="shared" si="8"/>
        <v>0</v>
      </c>
      <c r="H148" s="272"/>
      <c r="I148" s="272"/>
      <c r="J148" s="258"/>
      <c r="K148" s="272">
        <v>5427</v>
      </c>
      <c r="L148" s="272"/>
      <c r="M148" s="272"/>
      <c r="N148" s="272"/>
      <c r="O148" s="272"/>
      <c r="P148" s="272"/>
      <c r="Q148" s="272"/>
      <c r="R148" s="272">
        <v>3030</v>
      </c>
      <c r="S148" s="272"/>
      <c r="T148" s="272"/>
      <c r="U148" s="272">
        <v>1484</v>
      </c>
      <c r="V148" s="272"/>
      <c r="W148" s="272"/>
      <c r="X148" s="272">
        <v>3169</v>
      </c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</row>
    <row r="149" spans="1:37" s="3" customFormat="1" ht="18.600000000000001" thickBot="1" x14ac:dyDescent="0.4">
      <c r="A149" s="228" t="s">
        <v>144</v>
      </c>
      <c r="B149" s="205" t="s">
        <v>322</v>
      </c>
      <c r="C149" s="243">
        <v>1123339.0497934686</v>
      </c>
      <c r="D149" s="211"/>
      <c r="E149" s="243"/>
      <c r="F149" s="243">
        <f t="shared" si="7"/>
        <v>1123339</v>
      </c>
      <c r="G149" s="243">
        <f t="shared" si="8"/>
        <v>0</v>
      </c>
      <c r="H149" s="272"/>
      <c r="I149" s="272"/>
      <c r="J149" s="258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>
        <v>21628</v>
      </c>
      <c r="U149" s="272">
        <v>51772</v>
      </c>
      <c r="V149" s="272">
        <f>101005+1131</f>
        <v>102136</v>
      </c>
      <c r="W149" s="272">
        <f>2777+245871</f>
        <v>248648</v>
      </c>
      <c r="X149" s="272">
        <v>85212</v>
      </c>
      <c r="Y149" s="272">
        <v>124118</v>
      </c>
      <c r="Z149" s="272">
        <v>101361</v>
      </c>
      <c r="AA149" s="272">
        <v>137528</v>
      </c>
      <c r="AB149" s="272">
        <v>65299</v>
      </c>
      <c r="AC149" s="272">
        <v>81516</v>
      </c>
      <c r="AD149" s="272">
        <v>104121</v>
      </c>
      <c r="AE149" s="272"/>
      <c r="AF149" s="272"/>
      <c r="AG149" s="272"/>
      <c r="AH149" s="272"/>
      <c r="AI149" s="272"/>
      <c r="AJ149" s="272"/>
      <c r="AK149" s="272"/>
    </row>
    <row r="150" spans="1:37" s="3" customFormat="1" ht="18.600000000000001" thickBot="1" x14ac:dyDescent="0.4">
      <c r="A150" s="228" t="s">
        <v>145</v>
      </c>
      <c r="B150" s="205" t="s">
        <v>323</v>
      </c>
      <c r="C150" s="243">
        <v>189818.79012213368</v>
      </c>
      <c r="D150" s="211"/>
      <c r="E150" s="243"/>
      <c r="F150" s="243">
        <f t="shared" si="7"/>
        <v>189819</v>
      </c>
      <c r="G150" s="243">
        <f t="shared" si="8"/>
        <v>0</v>
      </c>
      <c r="H150" s="272"/>
      <c r="I150" s="272"/>
      <c r="J150" s="258"/>
      <c r="K150" s="272"/>
      <c r="L150" s="272"/>
      <c r="M150" s="272">
        <v>17506</v>
      </c>
      <c r="N150" s="272">
        <v>20176</v>
      </c>
      <c r="O150" s="272">
        <v>15250</v>
      </c>
      <c r="P150" s="272">
        <v>14413</v>
      </c>
      <c r="Q150" s="272">
        <v>20161</v>
      </c>
      <c r="R150" s="272">
        <v>18006</v>
      </c>
      <c r="S150" s="272">
        <v>14413</v>
      </c>
      <c r="T150" s="272">
        <v>14416</v>
      </c>
      <c r="U150" s="272"/>
      <c r="V150" s="272"/>
      <c r="W150" s="272"/>
      <c r="X150" s="272">
        <v>43107</v>
      </c>
      <c r="Y150" s="272"/>
      <c r="Z150" s="272">
        <v>12371</v>
      </c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</row>
    <row r="151" spans="1:37" s="3" customFormat="1" ht="18.600000000000001" thickBot="1" x14ac:dyDescent="0.4">
      <c r="A151" s="228" t="s">
        <v>146</v>
      </c>
      <c r="B151" s="205" t="s">
        <v>324</v>
      </c>
      <c r="C151" s="243">
        <v>25034.463615637742</v>
      </c>
      <c r="D151" s="211"/>
      <c r="E151" s="243"/>
      <c r="F151" s="243">
        <f t="shared" si="7"/>
        <v>25034</v>
      </c>
      <c r="G151" s="243">
        <f t="shared" si="8"/>
        <v>0</v>
      </c>
      <c r="H151" s="272"/>
      <c r="I151" s="272"/>
      <c r="J151" s="258"/>
      <c r="K151" s="272"/>
      <c r="L151" s="272">
        <v>6259</v>
      </c>
      <c r="M151" s="272"/>
      <c r="N151" s="272">
        <v>6258</v>
      </c>
      <c r="O151" s="272"/>
      <c r="P151" s="272"/>
      <c r="Q151" s="272">
        <v>6259</v>
      </c>
      <c r="R151" s="272"/>
      <c r="S151" s="272">
        <v>6258</v>
      </c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</row>
    <row r="152" spans="1:37" s="3" customFormat="1" ht="18.600000000000001" thickBot="1" x14ac:dyDescent="0.4">
      <c r="A152" s="228" t="s">
        <v>147</v>
      </c>
      <c r="B152" s="205" t="s">
        <v>325</v>
      </c>
      <c r="C152" s="243">
        <v>13342.586357381224</v>
      </c>
      <c r="D152" s="211"/>
      <c r="E152" s="243"/>
      <c r="F152" s="243">
        <f t="shared" si="7"/>
        <v>13343</v>
      </c>
      <c r="G152" s="243">
        <f t="shared" si="8"/>
        <v>0</v>
      </c>
      <c r="H152" s="272"/>
      <c r="I152" s="272"/>
      <c r="J152" s="258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>
        <v>12095</v>
      </c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>
        <v>1248</v>
      </c>
      <c r="AF152" s="272"/>
      <c r="AG152" s="272"/>
      <c r="AH152" s="272"/>
      <c r="AI152" s="272"/>
      <c r="AJ152" s="272"/>
      <c r="AK152" s="272"/>
    </row>
    <row r="153" spans="1:37" s="3" customFormat="1" ht="18.600000000000001" thickBot="1" x14ac:dyDescent="0.4">
      <c r="A153" s="228" t="s">
        <v>148</v>
      </c>
      <c r="B153" s="205" t="s">
        <v>326</v>
      </c>
      <c r="C153" s="243">
        <v>40133.416994699997</v>
      </c>
      <c r="D153" s="211"/>
      <c r="E153" s="243"/>
      <c r="F153" s="243">
        <f t="shared" si="7"/>
        <v>40133</v>
      </c>
      <c r="G153" s="243">
        <f t="shared" si="8"/>
        <v>0</v>
      </c>
      <c r="H153" s="272"/>
      <c r="I153" s="272"/>
      <c r="J153" s="258"/>
      <c r="K153" s="272"/>
      <c r="L153" s="272"/>
      <c r="M153" s="272">
        <v>22880</v>
      </c>
      <c r="N153" s="272"/>
      <c r="O153" s="272"/>
      <c r="P153" s="272"/>
      <c r="Q153" s="272"/>
      <c r="R153" s="272">
        <v>15449</v>
      </c>
      <c r="S153" s="272"/>
      <c r="T153" s="272"/>
      <c r="U153" s="272"/>
      <c r="V153" s="272"/>
      <c r="W153" s="272">
        <v>1804</v>
      </c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</row>
    <row r="154" spans="1:37" s="3" customFormat="1" ht="18.600000000000001" thickBot="1" x14ac:dyDescent="0.4">
      <c r="A154" s="228" t="s">
        <v>149</v>
      </c>
      <c r="B154" s="205" t="s">
        <v>327</v>
      </c>
      <c r="C154" s="243">
        <v>92843.115085145633</v>
      </c>
      <c r="D154" s="211"/>
      <c r="E154" s="243"/>
      <c r="F154" s="243">
        <f t="shared" si="7"/>
        <v>92843</v>
      </c>
      <c r="G154" s="243">
        <f t="shared" si="8"/>
        <v>0</v>
      </c>
      <c r="H154" s="272"/>
      <c r="I154" s="272"/>
      <c r="J154" s="258"/>
      <c r="K154" s="272">
        <v>15556</v>
      </c>
      <c r="L154" s="272"/>
      <c r="M154" s="272"/>
      <c r="N154" s="272"/>
      <c r="O154" s="272"/>
      <c r="P154" s="272">
        <v>2528</v>
      </c>
      <c r="Q154" s="272">
        <v>6327</v>
      </c>
      <c r="R154" s="272">
        <v>7473</v>
      </c>
      <c r="S154" s="272">
        <v>10137</v>
      </c>
      <c r="T154" s="272">
        <v>5951</v>
      </c>
      <c r="U154" s="272"/>
      <c r="V154" s="272">
        <v>12645</v>
      </c>
      <c r="W154" s="272">
        <v>10002</v>
      </c>
      <c r="X154" s="272">
        <v>6620</v>
      </c>
      <c r="Y154" s="272">
        <v>6489</v>
      </c>
      <c r="Z154" s="272">
        <v>9115</v>
      </c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</row>
    <row r="155" spans="1:37" s="3" customFormat="1" ht="18.600000000000001" thickBot="1" x14ac:dyDescent="0.4">
      <c r="A155" s="228" t="s">
        <v>150</v>
      </c>
      <c r="B155" s="205" t="s">
        <v>328</v>
      </c>
      <c r="C155" s="243">
        <v>14630.958886850629</v>
      </c>
      <c r="D155" s="211"/>
      <c r="E155" s="243"/>
      <c r="F155" s="243">
        <f t="shared" si="7"/>
        <v>14631</v>
      </c>
      <c r="G155" s="243">
        <f t="shared" si="8"/>
        <v>0</v>
      </c>
      <c r="H155" s="272"/>
      <c r="I155" s="272"/>
      <c r="J155" s="258"/>
      <c r="K155" s="272"/>
      <c r="L155" s="272"/>
      <c r="M155" s="272"/>
      <c r="N155" s="272"/>
      <c r="O155" s="272"/>
      <c r="P155" s="272"/>
      <c r="Q155" s="272"/>
      <c r="R155" s="272"/>
      <c r="S155" s="272">
        <v>14433</v>
      </c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>
        <v>198</v>
      </c>
      <c r="AF155" s="272"/>
      <c r="AG155" s="272"/>
      <c r="AH155" s="272"/>
      <c r="AI155" s="272"/>
      <c r="AJ155" s="272"/>
      <c r="AK155" s="272"/>
    </row>
    <row r="156" spans="1:37" s="3" customFormat="1" ht="18.600000000000001" thickBot="1" x14ac:dyDescent="0.4">
      <c r="A156" s="228" t="s">
        <v>151</v>
      </c>
      <c r="B156" s="205" t="s">
        <v>329</v>
      </c>
      <c r="C156" s="243">
        <v>10799.514417743236</v>
      </c>
      <c r="D156" s="211" t="s">
        <v>377</v>
      </c>
      <c r="E156" s="243">
        <f t="shared" si="9"/>
        <v>10799.514417743236</v>
      </c>
      <c r="F156" s="243">
        <f t="shared" si="7"/>
        <v>0</v>
      </c>
      <c r="G156" s="243">
        <f t="shared" si="8"/>
        <v>0</v>
      </c>
      <c r="H156" s="272"/>
      <c r="I156" s="272"/>
      <c r="J156" s="258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</row>
    <row r="157" spans="1:37" s="3" customFormat="1" ht="18.600000000000001" thickBot="1" x14ac:dyDescent="0.4">
      <c r="A157" s="228" t="s">
        <v>152</v>
      </c>
      <c r="B157" s="205" t="s">
        <v>330</v>
      </c>
      <c r="C157" s="243">
        <v>48952.47704576666</v>
      </c>
      <c r="D157" s="211"/>
      <c r="E157" s="243"/>
      <c r="F157" s="243">
        <f t="shared" si="7"/>
        <v>48952</v>
      </c>
      <c r="G157" s="243">
        <f t="shared" si="8"/>
        <v>0</v>
      </c>
      <c r="H157" s="272"/>
      <c r="I157" s="272"/>
      <c r="J157" s="258"/>
      <c r="K157" s="272"/>
      <c r="L157" s="272"/>
      <c r="M157" s="272"/>
      <c r="N157" s="272"/>
      <c r="O157" s="272">
        <v>35086</v>
      </c>
      <c r="P157" s="272"/>
      <c r="Q157" s="272"/>
      <c r="R157" s="272"/>
      <c r="S157" s="272">
        <v>13490</v>
      </c>
      <c r="T157" s="272"/>
      <c r="U157" s="272">
        <v>376</v>
      </c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</row>
    <row r="158" spans="1:37" s="3" customFormat="1" ht="18.600000000000001" thickBot="1" x14ac:dyDescent="0.4">
      <c r="A158" s="228" t="s">
        <v>153</v>
      </c>
      <c r="B158" s="205" t="s">
        <v>331</v>
      </c>
      <c r="C158" s="243">
        <v>10906.344554154412</v>
      </c>
      <c r="D158" s="211" t="s">
        <v>377</v>
      </c>
      <c r="E158" s="243">
        <f t="shared" si="9"/>
        <v>10906.344554154412</v>
      </c>
      <c r="F158" s="243">
        <f t="shared" si="7"/>
        <v>0</v>
      </c>
      <c r="G158" s="243">
        <f t="shared" si="8"/>
        <v>0</v>
      </c>
      <c r="H158" s="272"/>
      <c r="I158" s="272"/>
      <c r="J158" s="258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</row>
    <row r="159" spans="1:37" s="3" customFormat="1" ht="18.600000000000001" thickBot="1" x14ac:dyDescent="0.4">
      <c r="A159" s="228" t="s">
        <v>154</v>
      </c>
      <c r="B159" s="205" t="s">
        <v>332</v>
      </c>
      <c r="C159" s="243">
        <v>19414.125827381944</v>
      </c>
      <c r="D159" s="211"/>
      <c r="E159" s="243"/>
      <c r="F159" s="243">
        <f t="shared" si="7"/>
        <v>19414</v>
      </c>
      <c r="G159" s="243">
        <f t="shared" si="8"/>
        <v>0</v>
      </c>
      <c r="H159" s="272"/>
      <c r="I159" s="272"/>
      <c r="J159" s="258"/>
      <c r="K159" s="272"/>
      <c r="L159" s="272"/>
      <c r="M159" s="272"/>
      <c r="N159" s="272">
        <v>9000</v>
      </c>
      <c r="O159" s="272"/>
      <c r="P159" s="272"/>
      <c r="Q159" s="272"/>
      <c r="R159" s="272">
        <v>10414</v>
      </c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</row>
    <row r="160" spans="1:37" s="3" customFormat="1" ht="18.600000000000001" thickBot="1" x14ac:dyDescent="0.4">
      <c r="A160" s="228" t="s">
        <v>155</v>
      </c>
      <c r="B160" s="205" t="s">
        <v>333</v>
      </c>
      <c r="C160" s="243">
        <v>10605.837211246897</v>
      </c>
      <c r="D160" s="211"/>
      <c r="E160" s="243"/>
      <c r="F160" s="243">
        <f t="shared" si="7"/>
        <v>8687</v>
      </c>
      <c r="G160" s="243">
        <f t="shared" si="8"/>
        <v>1919</v>
      </c>
      <c r="H160" s="272"/>
      <c r="I160" s="272"/>
      <c r="J160" s="258"/>
      <c r="K160" s="272"/>
      <c r="L160" s="272"/>
      <c r="M160" s="272"/>
      <c r="N160" s="272"/>
      <c r="O160" s="272"/>
      <c r="P160" s="272"/>
      <c r="Q160" s="272"/>
      <c r="R160" s="272"/>
      <c r="S160" s="272">
        <v>1869</v>
      </c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>
        <v>6818</v>
      </c>
      <c r="AF160" s="272"/>
      <c r="AG160" s="272"/>
      <c r="AH160" s="272"/>
      <c r="AI160" s="272"/>
      <c r="AJ160" s="272"/>
      <c r="AK160" s="272"/>
    </row>
    <row r="161" spans="1:37" s="3" customFormat="1" ht="18.600000000000001" thickBot="1" x14ac:dyDescent="0.4">
      <c r="A161" s="228" t="s">
        <v>156</v>
      </c>
      <c r="B161" s="205" t="s">
        <v>334</v>
      </c>
      <c r="C161" s="243">
        <v>60702.462210543643</v>
      </c>
      <c r="D161" s="211"/>
      <c r="E161" s="243"/>
      <c r="F161" s="243">
        <f t="shared" si="7"/>
        <v>60702</v>
      </c>
      <c r="G161" s="243">
        <f t="shared" si="8"/>
        <v>0</v>
      </c>
      <c r="H161" s="272"/>
      <c r="I161" s="272"/>
      <c r="J161" s="258"/>
      <c r="K161" s="272"/>
      <c r="L161" s="272">
        <v>28004</v>
      </c>
      <c r="M161" s="272"/>
      <c r="N161" s="272">
        <v>14378</v>
      </c>
      <c r="O161" s="272"/>
      <c r="P161" s="272">
        <v>14263</v>
      </c>
      <c r="Q161" s="272"/>
      <c r="R161" s="272">
        <v>4057</v>
      </c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</row>
    <row r="162" spans="1:37" s="3" customFormat="1" ht="18.600000000000001" thickBot="1" x14ac:dyDescent="0.4">
      <c r="A162" s="228" t="s">
        <v>157</v>
      </c>
      <c r="B162" s="205" t="s">
        <v>335</v>
      </c>
      <c r="C162" s="243">
        <v>6253.8872439210072</v>
      </c>
      <c r="D162" s="211"/>
      <c r="E162" s="243"/>
      <c r="F162" s="243">
        <f t="shared" si="7"/>
        <v>6254</v>
      </c>
      <c r="G162" s="243">
        <f t="shared" si="8"/>
        <v>0</v>
      </c>
      <c r="H162" s="272"/>
      <c r="I162" s="272"/>
      <c r="J162" s="258"/>
      <c r="K162" s="272"/>
      <c r="L162" s="272"/>
      <c r="M162" s="272"/>
      <c r="N162" s="272"/>
      <c r="O162" s="272"/>
      <c r="P162" s="272"/>
      <c r="Q162" s="272"/>
      <c r="R162" s="272"/>
      <c r="S162" s="272">
        <v>3790</v>
      </c>
      <c r="T162" s="272">
        <v>2464</v>
      </c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</row>
    <row r="163" spans="1:37" s="3" customFormat="1" ht="18.600000000000001" thickBot="1" x14ac:dyDescent="0.4">
      <c r="A163" s="228" t="s">
        <v>158</v>
      </c>
      <c r="B163" s="205" t="s">
        <v>336</v>
      </c>
      <c r="C163" s="243">
        <v>18510.377954538933</v>
      </c>
      <c r="D163" s="211"/>
      <c r="E163" s="243"/>
      <c r="F163" s="243">
        <f t="shared" si="7"/>
        <v>18510</v>
      </c>
      <c r="G163" s="243">
        <f t="shared" si="8"/>
        <v>0</v>
      </c>
      <c r="H163" s="272"/>
      <c r="I163" s="272"/>
      <c r="J163" s="258"/>
      <c r="K163" s="272"/>
      <c r="L163" s="272"/>
      <c r="M163" s="272"/>
      <c r="N163" s="272"/>
      <c r="O163" s="272"/>
      <c r="P163" s="272"/>
      <c r="Q163" s="272"/>
      <c r="R163" s="272"/>
      <c r="S163" s="272">
        <v>18510</v>
      </c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</row>
    <row r="164" spans="1:37" s="3" customFormat="1" ht="18.600000000000001" thickBot="1" x14ac:dyDescent="0.4">
      <c r="A164" s="228" t="s">
        <v>159</v>
      </c>
      <c r="B164" s="205" t="s">
        <v>337</v>
      </c>
      <c r="C164" s="243">
        <v>10020.181109765945</v>
      </c>
      <c r="D164" s="211"/>
      <c r="E164" s="243"/>
      <c r="F164" s="243">
        <f t="shared" si="7"/>
        <v>10020</v>
      </c>
      <c r="G164" s="243">
        <f t="shared" si="8"/>
        <v>0</v>
      </c>
      <c r="H164" s="272"/>
      <c r="I164" s="272"/>
      <c r="J164" s="258"/>
      <c r="K164" s="272"/>
      <c r="L164" s="272"/>
      <c r="M164" s="272"/>
      <c r="N164" s="272"/>
      <c r="O164" s="272"/>
      <c r="P164" s="272"/>
      <c r="Q164" s="272"/>
      <c r="R164" s="272">
        <v>2745</v>
      </c>
      <c r="S164" s="272">
        <v>666</v>
      </c>
      <c r="T164" s="272"/>
      <c r="U164" s="272"/>
      <c r="V164" s="272"/>
      <c r="W164" s="272"/>
      <c r="X164" s="272">
        <v>6286</v>
      </c>
      <c r="Y164" s="272"/>
      <c r="Z164" s="272"/>
      <c r="AA164" s="272"/>
      <c r="AB164" s="272"/>
      <c r="AC164" s="272"/>
      <c r="AD164" s="272"/>
      <c r="AE164" s="272">
        <v>323</v>
      </c>
      <c r="AF164" s="272"/>
      <c r="AG164" s="272"/>
      <c r="AH164" s="272"/>
      <c r="AI164" s="272"/>
      <c r="AJ164" s="272"/>
      <c r="AK164" s="272"/>
    </row>
    <row r="165" spans="1:37" s="3" customFormat="1" ht="18.600000000000001" thickBot="1" x14ac:dyDescent="0.4">
      <c r="A165" s="228" t="s">
        <v>160</v>
      </c>
      <c r="B165" s="205" t="s">
        <v>338</v>
      </c>
      <c r="C165" s="243">
        <v>10816.410877855707</v>
      </c>
      <c r="D165" s="211" t="s">
        <v>376</v>
      </c>
      <c r="E165" s="243">
        <f t="shared" si="9"/>
        <v>10816.410877855707</v>
      </c>
      <c r="F165" s="243">
        <f t="shared" si="7"/>
        <v>0</v>
      </c>
      <c r="G165" s="243">
        <f t="shared" si="8"/>
        <v>0</v>
      </c>
      <c r="H165" s="272"/>
      <c r="I165" s="272"/>
      <c r="J165" s="258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</row>
    <row r="166" spans="1:37" s="3" customFormat="1" ht="18.600000000000001" thickBot="1" x14ac:dyDescent="0.4">
      <c r="A166" s="228" t="s">
        <v>161</v>
      </c>
      <c r="B166" s="205" t="s">
        <v>339</v>
      </c>
      <c r="C166" s="243">
        <v>7978.7945929619864</v>
      </c>
      <c r="D166" s="211" t="s">
        <v>376</v>
      </c>
      <c r="E166" s="243">
        <f t="shared" si="9"/>
        <v>7978.7945929619864</v>
      </c>
      <c r="F166" s="243">
        <f t="shared" si="7"/>
        <v>0</v>
      </c>
      <c r="G166" s="243">
        <f t="shared" si="8"/>
        <v>0</v>
      </c>
      <c r="H166" s="272"/>
      <c r="I166" s="272"/>
      <c r="J166" s="258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</row>
    <row r="167" spans="1:37" s="3" customFormat="1" ht="18.600000000000001" thickBot="1" x14ac:dyDescent="0.4">
      <c r="A167" s="228" t="s">
        <v>162</v>
      </c>
      <c r="B167" s="205" t="s">
        <v>340</v>
      </c>
      <c r="C167" s="243">
        <v>55789.600004527638</v>
      </c>
      <c r="D167" s="211"/>
      <c r="E167" s="243"/>
      <c r="F167" s="243">
        <f t="shared" si="7"/>
        <v>55790</v>
      </c>
      <c r="G167" s="243">
        <f t="shared" si="8"/>
        <v>0</v>
      </c>
      <c r="H167" s="272"/>
      <c r="I167" s="272"/>
      <c r="J167" s="258"/>
      <c r="K167" s="272"/>
      <c r="L167" s="272"/>
      <c r="M167" s="272">
        <v>19729</v>
      </c>
      <c r="N167" s="272"/>
      <c r="O167" s="272">
        <v>9630</v>
      </c>
      <c r="P167" s="272"/>
      <c r="Q167" s="272"/>
      <c r="R167" s="272">
        <v>15196</v>
      </c>
      <c r="S167" s="272">
        <v>11235</v>
      </c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</row>
    <row r="168" spans="1:37" s="3" customFormat="1" ht="18.600000000000001" thickBot="1" x14ac:dyDescent="0.4">
      <c r="A168" s="228" t="s">
        <v>163</v>
      </c>
      <c r="B168" s="205" t="s">
        <v>341</v>
      </c>
      <c r="C168" s="243">
        <v>16104.854096693787</v>
      </c>
      <c r="D168" s="211"/>
      <c r="E168" s="243"/>
      <c r="F168" s="243">
        <f t="shared" si="7"/>
        <v>16105</v>
      </c>
      <c r="G168" s="243">
        <f t="shared" si="8"/>
        <v>0</v>
      </c>
      <c r="H168" s="272"/>
      <c r="I168" s="272"/>
      <c r="J168" s="258"/>
      <c r="K168" s="272"/>
      <c r="L168" s="272">
        <v>1288</v>
      </c>
      <c r="M168" s="272"/>
      <c r="N168" s="272"/>
      <c r="O168" s="272"/>
      <c r="P168" s="272">
        <v>275</v>
      </c>
      <c r="Q168" s="272"/>
      <c r="R168" s="272">
        <v>1097</v>
      </c>
      <c r="S168" s="272">
        <v>2315</v>
      </c>
      <c r="T168" s="272">
        <v>11130</v>
      </c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</row>
    <row r="169" spans="1:37" s="3" customFormat="1" ht="18.600000000000001" thickBot="1" x14ac:dyDescent="0.4">
      <c r="A169" s="228" t="s">
        <v>164</v>
      </c>
      <c r="B169" s="205" t="s">
        <v>342</v>
      </c>
      <c r="C169" s="243">
        <v>101200.22121938074</v>
      </c>
      <c r="D169" s="211"/>
      <c r="E169" s="243"/>
      <c r="F169" s="243">
        <f t="shared" si="7"/>
        <v>101200</v>
      </c>
      <c r="G169" s="243">
        <f t="shared" si="8"/>
        <v>0</v>
      </c>
      <c r="H169" s="272"/>
      <c r="I169" s="272"/>
      <c r="J169" s="258"/>
      <c r="K169" s="272"/>
      <c r="L169" s="272">
        <v>25095</v>
      </c>
      <c r="M169" s="272"/>
      <c r="N169" s="272"/>
      <c r="O169" s="272"/>
      <c r="P169" s="272">
        <v>50583</v>
      </c>
      <c r="Q169" s="272"/>
      <c r="R169" s="272"/>
      <c r="S169" s="272">
        <v>16850</v>
      </c>
      <c r="T169" s="272"/>
      <c r="U169" s="272"/>
      <c r="V169" s="272"/>
      <c r="W169" s="272"/>
      <c r="X169" s="272"/>
      <c r="Y169" s="272"/>
      <c r="Z169" s="272"/>
      <c r="AA169" s="272">
        <f>5533+3139</f>
        <v>8672</v>
      </c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</row>
    <row r="170" spans="1:37" s="3" customFormat="1" ht="18.600000000000001" thickBot="1" x14ac:dyDescent="0.4">
      <c r="A170" s="228" t="s">
        <v>165</v>
      </c>
      <c r="B170" s="205" t="s">
        <v>343</v>
      </c>
      <c r="C170" s="243">
        <v>18097.022787716392</v>
      </c>
      <c r="D170" s="211"/>
      <c r="E170" s="243"/>
      <c r="F170" s="243">
        <f t="shared" si="7"/>
        <v>18097</v>
      </c>
      <c r="G170" s="243">
        <f t="shared" si="8"/>
        <v>0</v>
      </c>
      <c r="H170" s="272"/>
      <c r="I170" s="272"/>
      <c r="J170" s="258"/>
      <c r="K170" s="272"/>
      <c r="L170" s="272"/>
      <c r="M170" s="272"/>
      <c r="N170" s="272"/>
      <c r="O170" s="272"/>
      <c r="P170" s="272">
        <v>5690</v>
      </c>
      <c r="Q170" s="272"/>
      <c r="R170" s="272"/>
      <c r="S170" s="272">
        <v>12407</v>
      </c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</row>
    <row r="171" spans="1:37" s="3" customFormat="1" ht="18.600000000000001" thickBot="1" x14ac:dyDescent="0.4">
      <c r="A171" s="228" t="s">
        <v>166</v>
      </c>
      <c r="B171" s="205" t="s">
        <v>344</v>
      </c>
      <c r="C171" s="243">
        <v>3839.706947552058</v>
      </c>
      <c r="D171" s="211" t="s">
        <v>374</v>
      </c>
      <c r="E171" s="243">
        <f t="shared" si="9"/>
        <v>3839.706947552058</v>
      </c>
      <c r="F171" s="243">
        <f t="shared" si="7"/>
        <v>0</v>
      </c>
      <c r="G171" s="243">
        <f t="shared" si="8"/>
        <v>0</v>
      </c>
      <c r="H171" s="272"/>
      <c r="I171" s="272"/>
      <c r="J171" s="258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</row>
    <row r="172" spans="1:37" s="3" customFormat="1" ht="18.600000000000001" thickBot="1" x14ac:dyDescent="0.4">
      <c r="A172" s="228" t="s">
        <v>167</v>
      </c>
      <c r="B172" s="205" t="s">
        <v>345</v>
      </c>
      <c r="C172" s="243">
        <v>4792.2450330588863</v>
      </c>
      <c r="D172" s="211" t="s">
        <v>376</v>
      </c>
      <c r="E172" s="243">
        <f t="shared" si="9"/>
        <v>4792.2450330588863</v>
      </c>
      <c r="F172" s="243">
        <f t="shared" si="7"/>
        <v>0</v>
      </c>
      <c r="G172" s="243">
        <f t="shared" si="8"/>
        <v>0</v>
      </c>
      <c r="H172" s="272"/>
      <c r="I172" s="272"/>
      <c r="J172" s="258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</row>
    <row r="173" spans="1:37" s="3" customFormat="1" ht="18.600000000000001" thickBot="1" x14ac:dyDescent="0.4">
      <c r="A173" s="228" t="s">
        <v>168</v>
      </c>
      <c r="B173" s="205" t="s">
        <v>346</v>
      </c>
      <c r="C173" s="243">
        <v>2440.3904425130663</v>
      </c>
      <c r="D173" s="211" t="s">
        <v>376</v>
      </c>
      <c r="E173" s="243">
        <f t="shared" si="9"/>
        <v>2440.3904425130663</v>
      </c>
      <c r="F173" s="243">
        <f t="shared" si="7"/>
        <v>0</v>
      </c>
      <c r="G173" s="243">
        <f t="shared" si="8"/>
        <v>0</v>
      </c>
      <c r="H173" s="272"/>
      <c r="I173" s="272"/>
      <c r="J173" s="258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</row>
    <row r="174" spans="1:37" s="3" customFormat="1" ht="18.600000000000001" thickBot="1" x14ac:dyDescent="0.4">
      <c r="A174" s="228" t="s">
        <v>169</v>
      </c>
      <c r="B174" s="205" t="s">
        <v>347</v>
      </c>
      <c r="C174" s="243">
        <v>3900.1827748887699</v>
      </c>
      <c r="D174" s="211" t="s">
        <v>374</v>
      </c>
      <c r="E174" s="243">
        <f t="shared" si="9"/>
        <v>3900.1827748887699</v>
      </c>
      <c r="F174" s="243">
        <f t="shared" si="7"/>
        <v>0</v>
      </c>
      <c r="G174" s="243">
        <f t="shared" si="8"/>
        <v>0</v>
      </c>
      <c r="H174" s="272"/>
      <c r="I174" s="272"/>
      <c r="J174" s="258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</row>
    <row r="175" spans="1:37" s="3" customFormat="1" ht="18.600000000000001" thickBot="1" x14ac:dyDescent="0.4">
      <c r="A175" s="228" t="s">
        <v>170</v>
      </c>
      <c r="B175" s="205" t="s">
        <v>348</v>
      </c>
      <c r="C175" s="243">
        <v>61415.210076624557</v>
      </c>
      <c r="D175" s="211" t="s">
        <v>375</v>
      </c>
      <c r="E175" s="243">
        <f t="shared" si="9"/>
        <v>61415.210076624557</v>
      </c>
      <c r="F175" s="243">
        <f t="shared" si="7"/>
        <v>0</v>
      </c>
      <c r="G175" s="243">
        <f t="shared" si="8"/>
        <v>0</v>
      </c>
      <c r="H175" s="272"/>
      <c r="I175" s="272"/>
      <c r="J175" s="258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</row>
    <row r="176" spans="1:37" s="3" customFormat="1" ht="18.600000000000001" thickBot="1" x14ac:dyDescent="0.4">
      <c r="A176" s="228" t="s">
        <v>171</v>
      </c>
      <c r="B176" s="205" t="s">
        <v>349</v>
      </c>
      <c r="C176" s="243">
        <v>34164.269703638747</v>
      </c>
      <c r="D176" s="211"/>
      <c r="E176" s="243"/>
      <c r="F176" s="243">
        <f t="shared" si="7"/>
        <v>34164</v>
      </c>
      <c r="G176" s="243">
        <f t="shared" si="8"/>
        <v>0</v>
      </c>
      <c r="H176" s="272"/>
      <c r="I176" s="272"/>
      <c r="J176" s="258"/>
      <c r="K176" s="272"/>
      <c r="L176" s="272"/>
      <c r="M176" s="272"/>
      <c r="N176" s="272"/>
      <c r="O176" s="272"/>
      <c r="P176" s="272"/>
      <c r="Q176" s="272"/>
      <c r="R176" s="272"/>
      <c r="S176" s="272">
        <f>26159+2914</f>
        <v>29073</v>
      </c>
      <c r="T176" s="272"/>
      <c r="U176" s="272">
        <v>5091</v>
      </c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</row>
    <row r="177" spans="1:37" s="3" customFormat="1" ht="18.600000000000001" thickBot="1" x14ac:dyDescent="0.4">
      <c r="A177" s="228" t="s">
        <v>172</v>
      </c>
      <c r="B177" s="205" t="s">
        <v>477</v>
      </c>
      <c r="C177" s="243">
        <v>52816.90254414254</v>
      </c>
      <c r="D177" s="211"/>
      <c r="E177" s="243"/>
      <c r="F177" s="243">
        <f t="shared" si="7"/>
        <v>52817</v>
      </c>
      <c r="G177" s="243">
        <f t="shared" si="8"/>
        <v>0</v>
      </c>
      <c r="H177" s="272"/>
      <c r="I177" s="272"/>
      <c r="J177" s="258"/>
      <c r="K177" s="272"/>
      <c r="L177" s="272">
        <v>4503</v>
      </c>
      <c r="M177" s="272">
        <v>500</v>
      </c>
      <c r="N177" s="272"/>
      <c r="O177" s="272"/>
      <c r="P177" s="272"/>
      <c r="Q177" s="272"/>
      <c r="R177" s="272"/>
      <c r="S177" s="272">
        <v>6300</v>
      </c>
      <c r="T177" s="272"/>
      <c r="U177" s="272"/>
      <c r="V177" s="272"/>
      <c r="W177" s="272"/>
      <c r="X177" s="272"/>
      <c r="Y177" s="272"/>
      <c r="Z177" s="272"/>
      <c r="AA177" s="272"/>
      <c r="AB177" s="272">
        <v>33629</v>
      </c>
      <c r="AC177" s="272">
        <v>4000</v>
      </c>
      <c r="AD177" s="272"/>
      <c r="AE177" s="272"/>
      <c r="AF177" s="272">
        <v>3885</v>
      </c>
      <c r="AG177" s="272"/>
      <c r="AH177" s="272"/>
      <c r="AI177" s="272"/>
      <c r="AJ177" s="272"/>
      <c r="AK177" s="272"/>
    </row>
    <row r="178" spans="1:37" s="3" customFormat="1" ht="18.600000000000001" thickBot="1" x14ac:dyDescent="0.4">
      <c r="A178" s="228" t="s">
        <v>173</v>
      </c>
      <c r="B178" s="205" t="s">
        <v>350</v>
      </c>
      <c r="C178" s="243">
        <v>53190.765439162795</v>
      </c>
      <c r="D178" s="211"/>
      <c r="E178" s="243"/>
      <c r="F178" s="243">
        <f t="shared" si="7"/>
        <v>53191</v>
      </c>
      <c r="G178" s="243">
        <f t="shared" si="8"/>
        <v>0</v>
      </c>
      <c r="H178" s="272"/>
      <c r="I178" s="272"/>
      <c r="J178" s="258"/>
      <c r="K178" s="272">
        <v>8720</v>
      </c>
      <c r="L178" s="272"/>
      <c r="M178" s="272"/>
      <c r="N178" s="272"/>
      <c r="O178" s="272">
        <v>6604</v>
      </c>
      <c r="P178" s="272"/>
      <c r="Q178" s="272">
        <v>9503</v>
      </c>
      <c r="R178" s="272">
        <v>4752</v>
      </c>
      <c r="S178" s="272"/>
      <c r="T178" s="272">
        <v>4752</v>
      </c>
      <c r="U178" s="272">
        <v>12760</v>
      </c>
      <c r="V178" s="272"/>
      <c r="W178" s="272"/>
      <c r="X178" s="272">
        <v>6100</v>
      </c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</row>
    <row r="179" spans="1:37" s="3" customFormat="1" ht="18.600000000000001" thickBot="1" x14ac:dyDescent="0.4">
      <c r="A179" s="228" t="s">
        <v>174</v>
      </c>
      <c r="B179" s="205" t="s">
        <v>351</v>
      </c>
      <c r="C179" s="243">
        <v>52991.066430410559</v>
      </c>
      <c r="D179" s="211"/>
      <c r="E179" s="243"/>
      <c r="F179" s="243">
        <f t="shared" si="7"/>
        <v>52991</v>
      </c>
      <c r="G179" s="243">
        <f t="shared" si="8"/>
        <v>0</v>
      </c>
      <c r="H179" s="272"/>
      <c r="I179" s="272"/>
      <c r="J179" s="258"/>
      <c r="K179" s="272"/>
      <c r="L179" s="272"/>
      <c r="M179" s="272"/>
      <c r="N179" s="272"/>
      <c r="O179" s="272"/>
      <c r="P179" s="272"/>
      <c r="Q179" s="272"/>
      <c r="R179" s="272"/>
      <c r="S179" s="272">
        <v>52991</v>
      </c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</row>
    <row r="180" spans="1:37" s="3" customFormat="1" ht="18.600000000000001" thickBot="1" x14ac:dyDescent="0.4">
      <c r="A180" s="228" t="s">
        <v>175</v>
      </c>
      <c r="B180" s="205" t="s">
        <v>352</v>
      </c>
      <c r="C180" s="243">
        <v>670993.01328303479</v>
      </c>
      <c r="D180" s="211"/>
      <c r="E180" s="243"/>
      <c r="F180" s="243">
        <f t="shared" si="7"/>
        <v>670993</v>
      </c>
      <c r="G180" s="243">
        <f t="shared" si="8"/>
        <v>0</v>
      </c>
      <c r="H180" s="272"/>
      <c r="I180" s="272"/>
      <c r="J180" s="258"/>
      <c r="K180" s="272">
        <v>86206</v>
      </c>
      <c r="L180" s="272"/>
      <c r="M180" s="272">
        <v>59465</v>
      </c>
      <c r="N180" s="272">
        <v>38083</v>
      </c>
      <c r="O180" s="272">
        <v>41329</v>
      </c>
      <c r="P180" s="272">
        <v>80015</v>
      </c>
      <c r="Q180" s="272">
        <v>43062</v>
      </c>
      <c r="R180" s="272">
        <v>47274</v>
      </c>
      <c r="S180" s="272">
        <v>63908</v>
      </c>
      <c r="T180" s="272">
        <v>81574</v>
      </c>
      <c r="U180" s="272"/>
      <c r="V180" s="272">
        <v>106468</v>
      </c>
      <c r="W180" s="272">
        <v>23609</v>
      </c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</row>
    <row r="181" spans="1:37" s="3" customFormat="1" ht="18.600000000000001" thickBot="1" x14ac:dyDescent="0.4">
      <c r="A181" s="228" t="s">
        <v>176</v>
      </c>
      <c r="B181" s="205" t="s">
        <v>353</v>
      </c>
      <c r="C181" s="243">
        <v>20535.98563667959</v>
      </c>
      <c r="D181" s="211" t="s">
        <v>375</v>
      </c>
      <c r="E181" s="243">
        <f t="shared" si="9"/>
        <v>20535.98563667959</v>
      </c>
      <c r="F181" s="243">
        <f t="shared" si="7"/>
        <v>0</v>
      </c>
      <c r="G181" s="243">
        <f t="shared" si="8"/>
        <v>0</v>
      </c>
      <c r="H181" s="272"/>
      <c r="I181" s="272"/>
      <c r="J181" s="258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</row>
    <row r="182" spans="1:37" s="3" customFormat="1" ht="18.600000000000001" thickBot="1" x14ac:dyDescent="0.4">
      <c r="A182" s="228" t="s">
        <v>177</v>
      </c>
      <c r="B182" s="205" t="s">
        <v>354</v>
      </c>
      <c r="C182" s="243">
        <v>102203.51017712118</v>
      </c>
      <c r="D182" s="211"/>
      <c r="E182" s="243"/>
      <c r="F182" s="243">
        <f t="shared" si="7"/>
        <v>102204</v>
      </c>
      <c r="G182" s="243">
        <f t="shared" si="8"/>
        <v>0</v>
      </c>
      <c r="H182" s="272"/>
      <c r="I182" s="272"/>
      <c r="J182" s="258"/>
      <c r="K182" s="272"/>
      <c r="L182" s="272"/>
      <c r="M182" s="272"/>
      <c r="N182" s="272">
        <v>9146</v>
      </c>
      <c r="O182" s="272"/>
      <c r="P182" s="272"/>
      <c r="Q182" s="272"/>
      <c r="R182" s="272"/>
      <c r="S182" s="272">
        <v>48102</v>
      </c>
      <c r="T182" s="272"/>
      <c r="U182" s="272"/>
      <c r="V182" s="272"/>
      <c r="W182" s="272">
        <v>28108</v>
      </c>
      <c r="X182" s="272"/>
      <c r="Y182" s="272"/>
      <c r="Z182" s="272">
        <v>16848</v>
      </c>
      <c r="AA182" s="272"/>
      <c r="AB182" s="272"/>
      <c r="AC182" s="272"/>
      <c r="AD182" s="272"/>
      <c r="AE182" s="272"/>
      <c r="AF182" s="272"/>
      <c r="AG182" s="272"/>
      <c r="AH182" s="272"/>
      <c r="AI182" s="272"/>
      <c r="AJ182" s="272"/>
      <c r="AK182" s="272"/>
    </row>
    <row r="183" spans="1:37" s="3" customFormat="1" ht="18.600000000000001" thickBot="1" x14ac:dyDescent="0.4">
      <c r="A183" s="228" t="s">
        <v>178</v>
      </c>
      <c r="B183" s="205" t="s">
        <v>355</v>
      </c>
      <c r="C183" s="243">
        <v>45109.954817817757</v>
      </c>
      <c r="D183" s="211"/>
      <c r="E183" s="243"/>
      <c r="F183" s="243">
        <f t="shared" si="7"/>
        <v>45110</v>
      </c>
      <c r="G183" s="243">
        <f t="shared" si="8"/>
        <v>0</v>
      </c>
      <c r="H183" s="272"/>
      <c r="I183" s="272"/>
      <c r="J183" s="258"/>
      <c r="K183" s="272"/>
      <c r="L183" s="272">
        <v>6485</v>
      </c>
      <c r="M183" s="272"/>
      <c r="N183" s="272">
        <v>6267</v>
      </c>
      <c r="O183" s="272">
        <v>4005</v>
      </c>
      <c r="P183" s="272"/>
      <c r="Q183" s="272">
        <v>6740</v>
      </c>
      <c r="R183" s="272"/>
      <c r="S183" s="272">
        <v>5159</v>
      </c>
      <c r="T183" s="272"/>
      <c r="U183" s="272">
        <v>5750</v>
      </c>
      <c r="V183" s="272">
        <v>54</v>
      </c>
      <c r="W183" s="272"/>
      <c r="X183" s="272">
        <v>10650</v>
      </c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  <c r="AJ183" s="272"/>
      <c r="AK183" s="272"/>
    </row>
    <row r="184" spans="1:37" s="3" customFormat="1" ht="18.600000000000001" thickBot="1" x14ac:dyDescent="0.4">
      <c r="A184" s="228" t="s">
        <v>179</v>
      </c>
      <c r="B184" s="205" t="s">
        <v>356</v>
      </c>
      <c r="C184" s="243">
        <v>3731.1217963501626</v>
      </c>
      <c r="D184" s="211" t="s">
        <v>375</v>
      </c>
      <c r="E184" s="243">
        <f t="shared" si="9"/>
        <v>3731.1217963501626</v>
      </c>
      <c r="F184" s="243">
        <f t="shared" si="7"/>
        <v>0</v>
      </c>
      <c r="G184" s="243">
        <f t="shared" si="8"/>
        <v>0</v>
      </c>
      <c r="H184" s="272"/>
      <c r="I184" s="272"/>
      <c r="J184" s="258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  <c r="AI184" s="272"/>
      <c r="AJ184" s="272"/>
      <c r="AK184" s="272"/>
    </row>
    <row r="185" spans="1:37" s="3" customFormat="1" ht="18.600000000000001" thickBot="1" x14ac:dyDescent="0.4">
      <c r="A185" s="228" t="s">
        <v>180</v>
      </c>
      <c r="B185" s="205" t="s">
        <v>357</v>
      </c>
      <c r="C185" s="243">
        <v>5614.7152729881263</v>
      </c>
      <c r="D185" s="211" t="s">
        <v>375</v>
      </c>
      <c r="E185" s="243">
        <f t="shared" si="9"/>
        <v>5614.7152729881263</v>
      </c>
      <c r="F185" s="243">
        <f t="shared" si="7"/>
        <v>0</v>
      </c>
      <c r="G185" s="243">
        <f t="shared" si="8"/>
        <v>0</v>
      </c>
      <c r="H185" s="272"/>
      <c r="I185" s="272"/>
      <c r="J185" s="258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  <c r="AJ185" s="272"/>
      <c r="AK185" s="272"/>
    </row>
    <row r="186" spans="1:37" s="3" customFormat="1" ht="18.600000000000001" thickBot="1" x14ac:dyDescent="0.4">
      <c r="A186" s="228" t="s">
        <v>181</v>
      </c>
      <c r="B186" s="205" t="s">
        <v>358</v>
      </c>
      <c r="C186" s="243">
        <v>4883.3991194055898</v>
      </c>
      <c r="D186" s="211" t="s">
        <v>375</v>
      </c>
      <c r="E186" s="243">
        <f t="shared" si="9"/>
        <v>4883.3991194055898</v>
      </c>
      <c r="F186" s="243">
        <f t="shared" si="7"/>
        <v>0</v>
      </c>
      <c r="G186" s="243">
        <f t="shared" si="8"/>
        <v>0</v>
      </c>
      <c r="H186" s="272"/>
      <c r="I186" s="272"/>
      <c r="J186" s="258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</row>
    <row r="187" spans="1:37" s="3" customFormat="1" ht="18.600000000000001" thickBot="1" x14ac:dyDescent="0.4">
      <c r="A187" s="228" t="s">
        <v>182</v>
      </c>
      <c r="B187" s="205" t="s">
        <v>359</v>
      </c>
      <c r="C187" s="243">
        <v>35202.355074407533</v>
      </c>
      <c r="D187" s="211"/>
      <c r="E187" s="243"/>
      <c r="F187" s="243">
        <f t="shared" si="7"/>
        <v>35202</v>
      </c>
      <c r="G187" s="243">
        <f t="shared" si="8"/>
        <v>0</v>
      </c>
      <c r="H187" s="272"/>
      <c r="I187" s="272"/>
      <c r="J187" s="258"/>
      <c r="K187" s="272"/>
      <c r="L187" s="272">
        <v>236</v>
      </c>
      <c r="M187" s="272"/>
      <c r="N187" s="272"/>
      <c r="O187" s="272">
        <v>7322</v>
      </c>
      <c r="P187" s="272">
        <v>3000</v>
      </c>
      <c r="Q187" s="272"/>
      <c r="R187" s="272"/>
      <c r="S187" s="272">
        <v>24644</v>
      </c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  <c r="AI187" s="272"/>
      <c r="AJ187" s="272"/>
      <c r="AK187" s="272"/>
    </row>
    <row r="188" spans="1:37" s="3" customFormat="1" ht="18.600000000000001" thickBot="1" x14ac:dyDescent="0.4">
      <c r="A188" s="228" t="s">
        <v>183</v>
      </c>
      <c r="B188" s="205" t="s">
        <v>360</v>
      </c>
      <c r="C188" s="243">
        <v>22022.472822082749</v>
      </c>
      <c r="D188" s="211"/>
      <c r="E188" s="243"/>
      <c r="F188" s="243">
        <f t="shared" si="7"/>
        <v>22022</v>
      </c>
      <c r="G188" s="243">
        <f t="shared" si="8"/>
        <v>0</v>
      </c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>
        <v>11199</v>
      </c>
      <c r="S188" s="272"/>
      <c r="T188" s="272"/>
      <c r="U188" s="272"/>
      <c r="V188" s="272"/>
      <c r="W188" s="272"/>
      <c r="X188" s="272">
        <v>6786</v>
      </c>
      <c r="Y188" s="272"/>
      <c r="Z188" s="272"/>
      <c r="AA188" s="272">
        <v>4022</v>
      </c>
      <c r="AB188" s="272"/>
      <c r="AC188" s="272">
        <v>15</v>
      </c>
      <c r="AD188" s="272"/>
      <c r="AE188" s="272"/>
      <c r="AF188" s="272"/>
      <c r="AG188" s="272"/>
      <c r="AH188" s="272"/>
      <c r="AI188" s="272"/>
      <c r="AJ188" s="272"/>
      <c r="AK188" s="272"/>
    </row>
    <row r="189" spans="1:37" s="3" customFormat="1" ht="18.600000000000001" thickBot="1" x14ac:dyDescent="0.4">
      <c r="A189" s="228" t="s">
        <v>184</v>
      </c>
      <c r="B189" s="205" t="s">
        <v>361</v>
      </c>
      <c r="C189" s="243">
        <v>6449.8844051016522</v>
      </c>
      <c r="D189" s="211" t="s">
        <v>374</v>
      </c>
      <c r="E189" s="243">
        <f t="shared" si="9"/>
        <v>6449.8844051016522</v>
      </c>
      <c r="F189" s="243">
        <f t="shared" si="7"/>
        <v>0</v>
      </c>
      <c r="G189" s="243">
        <f t="shared" si="8"/>
        <v>0</v>
      </c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  <c r="AJ189" s="272"/>
      <c r="AK189" s="272"/>
    </row>
    <row r="190" spans="1:37" s="3" customFormat="1" ht="18.600000000000001" thickBot="1" x14ac:dyDescent="0.4">
      <c r="A190" s="228" t="s">
        <v>185</v>
      </c>
      <c r="B190" s="205" t="s">
        <v>362</v>
      </c>
      <c r="C190" s="243">
        <v>5051.7159750849123</v>
      </c>
      <c r="D190" s="246" t="s">
        <v>374</v>
      </c>
      <c r="E190" s="243">
        <f t="shared" si="9"/>
        <v>5051.7159750849123</v>
      </c>
      <c r="F190" s="243">
        <f t="shared" si="7"/>
        <v>0</v>
      </c>
      <c r="G190" s="243">
        <f t="shared" si="8"/>
        <v>0</v>
      </c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  <c r="AJ190" s="272"/>
      <c r="AK190" s="272"/>
    </row>
    <row r="191" spans="1:37" s="3" customFormat="1" ht="18.600000000000001" thickBot="1" x14ac:dyDescent="0.4">
      <c r="A191" s="229" t="s">
        <v>522</v>
      </c>
      <c r="B191" s="205" t="s">
        <v>364</v>
      </c>
      <c r="C191" s="243">
        <v>35575</v>
      </c>
      <c r="D191" s="211"/>
      <c r="E191" s="243"/>
      <c r="F191" s="243">
        <f t="shared" si="7"/>
        <v>35575</v>
      </c>
      <c r="G191" s="243">
        <f t="shared" si="8"/>
        <v>0</v>
      </c>
      <c r="H191" s="272"/>
      <c r="I191" s="272"/>
      <c r="J191" s="272"/>
      <c r="K191" s="272"/>
      <c r="L191" s="272"/>
      <c r="M191" s="272"/>
      <c r="N191" s="272"/>
      <c r="O191" s="272"/>
      <c r="P191" s="272">
        <v>35575</v>
      </c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  <c r="AI191" s="272"/>
      <c r="AJ191" s="272"/>
      <c r="AK191" s="272"/>
    </row>
    <row r="192" spans="1:37" s="3" customFormat="1" ht="18.600000000000001" thickBot="1" x14ac:dyDescent="0.4">
      <c r="A192" s="228" t="s">
        <v>366</v>
      </c>
      <c r="B192" s="205" t="s">
        <v>365</v>
      </c>
      <c r="C192" s="243">
        <v>9869</v>
      </c>
      <c r="D192" s="211"/>
      <c r="E192" s="243"/>
      <c r="F192" s="243">
        <f t="shared" si="7"/>
        <v>9869</v>
      </c>
      <c r="G192" s="243">
        <f t="shared" si="8"/>
        <v>0</v>
      </c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>
        <v>388</v>
      </c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>
        <v>9481</v>
      </c>
      <c r="AH192" s="272"/>
      <c r="AI192" s="272"/>
      <c r="AJ192" s="272"/>
      <c r="AK192" s="272"/>
    </row>
    <row r="193" spans="1:37" s="3" customFormat="1" ht="18.600000000000001" thickBot="1" x14ac:dyDescent="0.4">
      <c r="A193" s="230" t="s">
        <v>374</v>
      </c>
      <c r="B193" s="206" t="s">
        <v>379</v>
      </c>
      <c r="C193" s="243">
        <f>SUMIF(D13:D192,"9025",E13:E192)+1</f>
        <v>177945.0675581253</v>
      </c>
      <c r="D193" s="80"/>
      <c r="E193" s="243"/>
      <c r="F193" s="243">
        <f t="shared" si="7"/>
        <v>177945</v>
      </c>
      <c r="G193" s="243">
        <f t="shared" si="8"/>
        <v>0</v>
      </c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>
        <v>5387</v>
      </c>
      <c r="U193" s="272"/>
      <c r="V193" s="272">
        <v>45214</v>
      </c>
      <c r="W193" s="272"/>
      <c r="X193" s="272">
        <v>38121</v>
      </c>
      <c r="Y193" s="272">
        <v>10142</v>
      </c>
      <c r="Z193" s="272"/>
      <c r="AA193" s="272">
        <v>27769</v>
      </c>
      <c r="AB193" s="272">
        <v>15852</v>
      </c>
      <c r="AC193" s="272">
        <v>13385</v>
      </c>
      <c r="AD193" s="272">
        <v>10225</v>
      </c>
      <c r="AE193" s="272">
        <v>11850</v>
      </c>
      <c r="AF193" s="272"/>
      <c r="AG193" s="272"/>
      <c r="AH193" s="272"/>
      <c r="AI193" s="272"/>
      <c r="AJ193" s="272"/>
      <c r="AK193" s="272"/>
    </row>
    <row r="194" spans="1:37" s="3" customFormat="1" ht="18.600000000000001" thickBot="1" x14ac:dyDescent="0.4">
      <c r="A194" s="230" t="s">
        <v>375</v>
      </c>
      <c r="B194" s="206" t="s">
        <v>380</v>
      </c>
      <c r="C194" s="243">
        <f>SUMIF(D13:D192,"9035",E13:E192)</f>
        <v>172921.325420537</v>
      </c>
      <c r="D194" s="80"/>
      <c r="E194" s="243"/>
      <c r="F194" s="243">
        <f t="shared" si="7"/>
        <v>172921</v>
      </c>
      <c r="G194" s="243">
        <f t="shared" si="8"/>
        <v>0</v>
      </c>
      <c r="H194" s="272"/>
      <c r="I194" s="272"/>
      <c r="J194" s="272"/>
      <c r="K194" s="272">
        <v>673</v>
      </c>
      <c r="L194" s="272"/>
      <c r="M194" s="272"/>
      <c r="N194" s="272">
        <v>6069</v>
      </c>
      <c r="O194" s="272">
        <v>28850</v>
      </c>
      <c r="P194" s="272">
        <v>22500</v>
      </c>
      <c r="Q194" s="272">
        <v>15000</v>
      </c>
      <c r="R194" s="272">
        <v>34000</v>
      </c>
      <c r="S194" s="272">
        <v>1500</v>
      </c>
      <c r="T194" s="272">
        <v>23000</v>
      </c>
      <c r="U194" s="272">
        <v>7000</v>
      </c>
      <c r="V194" s="272">
        <f>10033+523</f>
        <v>10556</v>
      </c>
      <c r="W194" s="272">
        <v>175</v>
      </c>
      <c r="X194" s="272">
        <v>174</v>
      </c>
      <c r="Y194" s="272">
        <v>174</v>
      </c>
      <c r="Z194" s="272">
        <v>23250</v>
      </c>
      <c r="AA194" s="272"/>
      <c r="AB194" s="272"/>
      <c r="AC194" s="272"/>
      <c r="AD194" s="272"/>
      <c r="AE194" s="272"/>
      <c r="AF194" s="272"/>
      <c r="AG194" s="272"/>
      <c r="AH194" s="272"/>
      <c r="AI194" s="272"/>
      <c r="AJ194" s="272"/>
      <c r="AK194" s="272"/>
    </row>
    <row r="195" spans="1:37" s="14" customFormat="1" ht="16.2" thickBot="1" x14ac:dyDescent="0.35">
      <c r="A195" s="230" t="s">
        <v>376</v>
      </c>
      <c r="B195" s="57" t="s">
        <v>381</v>
      </c>
      <c r="C195" s="243">
        <f>SUMIF(D13:D192,"9040",E13:E192)-1</f>
        <v>46125.55788372735</v>
      </c>
      <c r="D195" s="80"/>
      <c r="E195" s="243"/>
      <c r="F195" s="243">
        <f t="shared" si="7"/>
        <v>46125</v>
      </c>
      <c r="G195" s="243">
        <f t="shared" si="8"/>
        <v>1</v>
      </c>
      <c r="H195" s="272"/>
      <c r="I195" s="272"/>
      <c r="J195" s="272"/>
      <c r="K195" s="272"/>
      <c r="L195" s="272"/>
      <c r="M195" s="272"/>
      <c r="N195" s="272"/>
      <c r="O195" s="272"/>
      <c r="P195" s="272"/>
      <c r="Q195" s="272">
        <v>917</v>
      </c>
      <c r="R195" s="272">
        <v>2406</v>
      </c>
      <c r="S195" s="272">
        <v>214</v>
      </c>
      <c r="T195" s="272">
        <v>26806</v>
      </c>
      <c r="U195" s="272"/>
      <c r="V195" s="272">
        <v>5619</v>
      </c>
      <c r="W195" s="272"/>
      <c r="X195" s="272"/>
      <c r="Y195" s="272"/>
      <c r="Z195" s="272">
        <v>3196</v>
      </c>
      <c r="AA195" s="272">
        <f>150+2906</f>
        <v>3056</v>
      </c>
      <c r="AB195" s="272"/>
      <c r="AC195" s="272">
        <v>2929</v>
      </c>
      <c r="AD195" s="272">
        <v>982</v>
      </c>
      <c r="AE195" s="272"/>
      <c r="AF195" s="272"/>
      <c r="AG195" s="272"/>
      <c r="AH195" s="272"/>
      <c r="AI195" s="272"/>
      <c r="AJ195" s="272"/>
      <c r="AK195" s="272"/>
    </row>
    <row r="196" spans="1:37" s="14" customFormat="1" ht="16.2" thickBot="1" x14ac:dyDescent="0.35">
      <c r="A196" s="230" t="s">
        <v>377</v>
      </c>
      <c r="B196" s="206" t="s">
        <v>382</v>
      </c>
      <c r="C196" s="243">
        <f>SUMIF(D13:D192,"9095",E13:E192)</f>
        <v>32846.967892677021</v>
      </c>
      <c r="D196" s="80"/>
      <c r="E196" s="243"/>
      <c r="F196" s="243">
        <f t="shared" si="7"/>
        <v>32847</v>
      </c>
      <c r="G196" s="243">
        <f t="shared" si="8"/>
        <v>0</v>
      </c>
      <c r="H196" s="258"/>
      <c r="I196" s="258"/>
      <c r="J196" s="258"/>
      <c r="K196" s="258"/>
      <c r="L196" s="258"/>
      <c r="M196" s="258"/>
      <c r="N196" s="272"/>
      <c r="O196" s="272"/>
      <c r="P196" s="272"/>
      <c r="Q196" s="272"/>
      <c r="R196" s="272"/>
      <c r="S196" s="272"/>
      <c r="T196" s="272">
        <v>32847</v>
      </c>
      <c r="U196" s="272"/>
      <c r="V196" s="272"/>
      <c r="W196" s="258"/>
      <c r="X196" s="272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</row>
    <row r="197" spans="1:37" s="14" customFormat="1" ht="16.2" thickBot="1" x14ac:dyDescent="0.35">
      <c r="A197" s="230" t="s">
        <v>378</v>
      </c>
      <c r="B197" s="206" t="s">
        <v>383</v>
      </c>
      <c r="C197" s="243">
        <f>SUMIF(D13:D192,"9125",E13:E192)</f>
        <v>0</v>
      </c>
      <c r="D197" s="80"/>
      <c r="E197" s="243"/>
      <c r="F197" s="243">
        <f t="shared" si="7"/>
        <v>0</v>
      </c>
      <c r="G197" s="243">
        <f t="shared" si="8"/>
        <v>0</v>
      </c>
      <c r="H197" s="258"/>
      <c r="I197" s="258"/>
      <c r="J197" s="258"/>
      <c r="K197" s="258"/>
      <c r="L197" s="258"/>
      <c r="M197" s="258"/>
      <c r="N197" s="272"/>
      <c r="O197" s="258"/>
      <c r="P197" s="258"/>
      <c r="Q197" s="258"/>
      <c r="R197" s="258"/>
      <c r="S197" s="258"/>
      <c r="T197" s="258"/>
      <c r="U197" s="258"/>
      <c r="V197" s="258"/>
      <c r="W197" s="258"/>
      <c r="X197" s="272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</row>
    <row r="198" spans="1:37" s="14" customFormat="1" ht="16.2" thickBot="1" x14ac:dyDescent="0.35">
      <c r="A198" s="112"/>
      <c r="B198" s="206"/>
      <c r="C198" s="243"/>
      <c r="D198" s="80"/>
      <c r="E198" s="243"/>
      <c r="F198" s="243"/>
      <c r="G198" s="243"/>
      <c r="H198" s="258"/>
      <c r="I198" s="258"/>
      <c r="J198" s="258"/>
      <c r="K198" s="258"/>
      <c r="L198" s="258"/>
      <c r="M198" s="258"/>
      <c r="N198" s="273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</row>
    <row r="199" spans="1:37" s="142" customFormat="1" ht="16.2" thickBot="1" x14ac:dyDescent="0.35">
      <c r="A199" s="209" t="s">
        <v>537</v>
      </c>
      <c r="B199" s="209"/>
      <c r="C199" s="253">
        <f>SUM(C10:C197)-E199</f>
        <v>24071199.7893783</v>
      </c>
      <c r="D199" s="242"/>
      <c r="E199" s="252">
        <f>SUM(E10:E197)</f>
        <v>429838.91875506664</v>
      </c>
      <c r="F199" s="252">
        <f>SUM(F10:F197)</f>
        <v>24052575</v>
      </c>
      <c r="G199" s="252">
        <f>SUM(G10:G197)</f>
        <v>18621</v>
      </c>
      <c r="H199" s="274">
        <f t="shared" ref="H199:AH199" si="10">SUM(H10:H197)</f>
        <v>0</v>
      </c>
      <c r="I199" s="274">
        <f t="shared" si="10"/>
        <v>0</v>
      </c>
      <c r="J199" s="274">
        <f t="shared" si="10"/>
        <v>66828</v>
      </c>
      <c r="K199" s="274">
        <f t="shared" si="10"/>
        <v>948545</v>
      </c>
      <c r="L199" s="274">
        <f>SUM(L13:L198)</f>
        <v>788177</v>
      </c>
      <c r="M199" s="274">
        <f t="shared" si="10"/>
        <v>593195</v>
      </c>
      <c r="N199" s="274">
        <f t="shared" si="10"/>
        <v>851508</v>
      </c>
      <c r="O199" s="274">
        <f t="shared" si="10"/>
        <v>2116044</v>
      </c>
      <c r="P199" s="274">
        <f t="shared" si="10"/>
        <v>1495361</v>
      </c>
      <c r="Q199" s="274">
        <f t="shared" si="10"/>
        <v>1990623</v>
      </c>
      <c r="R199" s="274">
        <f>SUM(R13:R197)</f>
        <v>1882241</v>
      </c>
      <c r="S199" s="274">
        <f t="shared" si="10"/>
        <v>2267882</v>
      </c>
      <c r="T199" s="274">
        <f t="shared" si="10"/>
        <v>2586473</v>
      </c>
      <c r="U199" s="274">
        <f t="shared" si="10"/>
        <v>855576</v>
      </c>
      <c r="V199" s="274">
        <f t="shared" si="10"/>
        <v>960634</v>
      </c>
      <c r="W199" s="274">
        <f t="shared" si="10"/>
        <v>1381901</v>
      </c>
      <c r="X199" s="274">
        <f t="shared" si="10"/>
        <v>2622308</v>
      </c>
      <c r="Y199" s="274">
        <f t="shared" si="10"/>
        <v>1011301</v>
      </c>
      <c r="Z199" s="274">
        <f t="shared" si="10"/>
        <v>447991</v>
      </c>
      <c r="AA199" s="274">
        <f t="shared" si="10"/>
        <v>326115</v>
      </c>
      <c r="AB199" s="274">
        <f t="shared" si="10"/>
        <v>382955</v>
      </c>
      <c r="AC199" s="274">
        <f t="shared" si="10"/>
        <v>169800</v>
      </c>
      <c r="AD199" s="274">
        <f t="shared" si="10"/>
        <v>139038</v>
      </c>
      <c r="AE199" s="274">
        <f t="shared" si="10"/>
        <v>28283</v>
      </c>
      <c r="AF199" s="274">
        <f t="shared" si="10"/>
        <v>46937</v>
      </c>
      <c r="AG199" s="274">
        <f t="shared" si="10"/>
        <v>41563</v>
      </c>
      <c r="AH199" s="274">
        <f t="shared" si="10"/>
        <v>0</v>
      </c>
      <c r="AI199" s="274">
        <f t="shared" ref="AI199:AJ199" si="11">SUM(AI10:AI197)</f>
        <v>31437</v>
      </c>
      <c r="AJ199" s="274">
        <f t="shared" si="11"/>
        <v>6376</v>
      </c>
      <c r="AK199" s="274">
        <f t="shared" ref="AK199" si="12">SUM(AK10:AK197)</f>
        <v>13483</v>
      </c>
    </row>
    <row r="200" spans="1:37" s="14" customFormat="1" x14ac:dyDescent="0.3">
      <c r="D200" s="8"/>
      <c r="M200" s="189"/>
    </row>
    <row r="201" spans="1:37" s="14" customFormat="1" x14ac:dyDescent="0.3">
      <c r="D201" s="8"/>
      <c r="K201" s="189"/>
      <c r="L201" s="189"/>
      <c r="N201" s="189"/>
      <c r="O201" s="189"/>
      <c r="P201" s="189"/>
      <c r="Q201" s="189"/>
      <c r="R201" s="189"/>
      <c r="S201" s="189"/>
      <c r="V201" s="189"/>
      <c r="W201" s="189"/>
    </row>
    <row r="202" spans="1:37" s="14" customFormat="1" x14ac:dyDescent="0.3">
      <c r="A202" s="14" t="s">
        <v>363</v>
      </c>
      <c r="B202" s="14" t="s">
        <v>395</v>
      </c>
      <c r="D202" s="8"/>
      <c r="J202" s="189"/>
      <c r="L202" s="189"/>
      <c r="Q202" s="189"/>
      <c r="R202" s="189"/>
      <c r="S202" s="189"/>
      <c r="T202" s="189"/>
      <c r="U202" s="189"/>
    </row>
    <row r="203" spans="1:37" s="14" customFormat="1" x14ac:dyDescent="0.3">
      <c r="D203" s="8"/>
    </row>
    <row r="204" spans="1:37" s="14" customFormat="1" x14ac:dyDescent="0.3">
      <c r="D204" s="8"/>
    </row>
    <row r="205" spans="1:37" s="14" customFormat="1" x14ac:dyDescent="0.3">
      <c r="D205" s="8"/>
    </row>
    <row r="206" spans="1:37" s="14" customFormat="1" x14ac:dyDescent="0.3">
      <c r="D206" s="8"/>
    </row>
    <row r="207" spans="1:37" s="14" customFormat="1" x14ac:dyDescent="0.3">
      <c r="D207" s="8"/>
    </row>
    <row r="208" spans="1:37" s="14" customFormat="1" x14ac:dyDescent="0.3">
      <c r="D208" s="8"/>
    </row>
    <row r="209" spans="4:4" s="14" customFormat="1" x14ac:dyDescent="0.3">
      <c r="D209" s="8"/>
    </row>
    <row r="210" spans="4:4" s="14" customFormat="1" x14ac:dyDescent="0.3">
      <c r="D210" s="8"/>
    </row>
    <row r="211" spans="4:4" s="14" customFormat="1" x14ac:dyDescent="0.3">
      <c r="D211" s="8"/>
    </row>
    <row r="212" spans="4:4" s="14" customFormat="1" x14ac:dyDescent="0.3">
      <c r="D212" s="8"/>
    </row>
    <row r="213" spans="4:4" s="14" customFormat="1" x14ac:dyDescent="0.3">
      <c r="D213" s="8"/>
    </row>
    <row r="214" spans="4:4" s="14" customFormat="1" x14ac:dyDescent="0.3">
      <c r="D214" s="8"/>
    </row>
    <row r="215" spans="4:4" s="14" customFormat="1" x14ac:dyDescent="0.3">
      <c r="D215" s="8"/>
    </row>
    <row r="216" spans="4:4" s="14" customFormat="1" x14ac:dyDescent="0.3">
      <c r="D216" s="8"/>
    </row>
    <row r="217" spans="4:4" s="14" customFormat="1" x14ac:dyDescent="0.3">
      <c r="D217" s="8"/>
    </row>
    <row r="218" spans="4:4" s="14" customFormat="1" x14ac:dyDescent="0.3">
      <c r="D218" s="8"/>
    </row>
    <row r="219" spans="4:4" s="14" customFormat="1" x14ac:dyDescent="0.3">
      <c r="D219" s="8"/>
    </row>
    <row r="220" spans="4:4" s="14" customFormat="1" x14ac:dyDescent="0.3">
      <c r="D220" s="8"/>
    </row>
    <row r="221" spans="4:4" s="14" customFormat="1" x14ac:dyDescent="0.3">
      <c r="D221" s="8"/>
    </row>
    <row r="222" spans="4:4" s="14" customFormat="1" x14ac:dyDescent="0.3">
      <c r="D222" s="8"/>
    </row>
    <row r="223" spans="4:4" s="14" customFormat="1" x14ac:dyDescent="0.3">
      <c r="D223" s="8"/>
    </row>
    <row r="224" spans="4:4" s="14" customFormat="1" x14ac:dyDescent="0.3">
      <c r="D224" s="8"/>
    </row>
    <row r="225" spans="4:4" s="14" customFormat="1" x14ac:dyDescent="0.3">
      <c r="D225" s="8"/>
    </row>
    <row r="226" spans="4:4" s="14" customFormat="1" x14ac:dyDescent="0.3">
      <c r="D226" s="8"/>
    </row>
    <row r="227" spans="4:4" x14ac:dyDescent="0.3">
      <c r="D227" s="9"/>
    </row>
    <row r="228" spans="4:4" x14ac:dyDescent="0.3">
      <c r="D228" s="9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9CCFF"/>
  </sheetPr>
  <dimension ref="A1:AI268"/>
  <sheetViews>
    <sheetView zoomScaleNormal="100" workbookViewId="0">
      <pane xSplit="7" ySplit="12" topLeftCell="H13" activePane="bottomRight" state="frozen"/>
      <selection activeCell="E155" sqref="E155"/>
      <selection pane="topRight" activeCell="E155" sqref="E155"/>
      <selection pane="bottomLeft" activeCell="E155" sqref="E155"/>
      <selection pane="bottomRight" activeCell="H13" sqref="H13"/>
    </sheetView>
  </sheetViews>
  <sheetFormatPr defaultColWidth="9.109375" defaultRowHeight="14.4" x14ac:dyDescent="0.3"/>
  <cols>
    <col min="1" max="1" width="9.109375" style="1"/>
    <col min="2" max="2" width="30.44140625" style="1" customWidth="1"/>
    <col min="3" max="3" width="16.44140625" style="16" customWidth="1"/>
    <col min="4" max="4" width="20" style="5" customWidth="1"/>
    <col min="5" max="5" width="17.5546875" style="16" customWidth="1"/>
    <col min="6" max="6" width="15.6640625" style="16" customWidth="1"/>
    <col min="7" max="7" width="17" style="16" customWidth="1"/>
    <col min="8" max="35" width="15.6640625" style="1" customWidth="1"/>
    <col min="36" max="16384" width="9.109375" style="1"/>
  </cols>
  <sheetData>
    <row r="1" spans="1:35" ht="21" x14ac:dyDescent="0.4">
      <c r="A1" s="18" t="s">
        <v>0</v>
      </c>
      <c r="B1" s="34"/>
      <c r="C1" s="20" t="s">
        <v>398</v>
      </c>
      <c r="D1" s="35"/>
      <c r="E1" s="45"/>
      <c r="F1" s="45"/>
      <c r="G1" s="46"/>
      <c r="H1" s="38"/>
      <c r="I1" s="38"/>
      <c r="J1" s="20" t="str">
        <f>C1</f>
        <v>Title III-A Formula</v>
      </c>
      <c r="K1" s="20"/>
      <c r="L1" s="18"/>
      <c r="M1" s="18"/>
      <c r="N1" s="21"/>
      <c r="O1" s="21"/>
      <c r="P1" s="196" t="str">
        <f>C1</f>
        <v>Title III-A Formula</v>
      </c>
      <c r="Q1" s="38"/>
      <c r="R1" s="20"/>
      <c r="S1" s="20"/>
      <c r="T1" s="18"/>
      <c r="U1" s="18"/>
      <c r="V1" s="196" t="str">
        <f>C1</f>
        <v>Title III-A Formula</v>
      </c>
      <c r="W1" s="21"/>
      <c r="X1" s="38"/>
      <c r="Y1" s="38"/>
      <c r="Z1" s="20"/>
      <c r="AA1" s="20"/>
      <c r="AB1" s="38"/>
      <c r="AC1" s="196" t="str">
        <f>C1</f>
        <v>Title III-A Formula</v>
      </c>
      <c r="AD1" s="21"/>
      <c r="AE1" s="21"/>
      <c r="AF1" s="38"/>
      <c r="AG1" s="38"/>
      <c r="AH1" s="20"/>
      <c r="AI1" s="196"/>
    </row>
    <row r="2" spans="1:35" ht="15.6" x14ac:dyDescent="0.3">
      <c r="A2" s="23" t="s">
        <v>1</v>
      </c>
      <c r="B2" s="34"/>
      <c r="C2" s="24" t="s">
        <v>397</v>
      </c>
      <c r="D2" s="47"/>
      <c r="E2" s="48"/>
      <c r="F2" s="36"/>
      <c r="G2" s="37"/>
      <c r="H2" s="38"/>
      <c r="I2" s="38"/>
      <c r="J2" s="23" t="str">
        <f>"FY"&amp;C4</f>
        <v>FY2014-15</v>
      </c>
      <c r="K2" s="23"/>
      <c r="L2" s="26"/>
      <c r="M2" s="26"/>
      <c r="N2" s="25"/>
      <c r="O2" s="25"/>
      <c r="P2" s="199" t="str">
        <f>"FY"&amp;C4</f>
        <v>FY2014-15</v>
      </c>
      <c r="Q2" s="25"/>
      <c r="R2" s="23"/>
      <c r="S2" s="23"/>
      <c r="T2" s="26"/>
      <c r="U2" s="26"/>
      <c r="V2" s="199" t="str">
        <f>"FY"&amp;C4</f>
        <v>FY2014-15</v>
      </c>
      <c r="W2" s="25"/>
      <c r="X2" s="25"/>
      <c r="Y2" s="25"/>
      <c r="Z2" s="23"/>
      <c r="AA2" s="23"/>
      <c r="AB2" s="38"/>
      <c r="AC2" s="199" t="str">
        <f>"FY"&amp;C4</f>
        <v>FY2014-15</v>
      </c>
      <c r="AD2" s="25"/>
      <c r="AE2" s="25"/>
      <c r="AF2" s="25"/>
      <c r="AG2" s="25"/>
      <c r="AH2" s="23"/>
      <c r="AI2" s="199"/>
    </row>
    <row r="3" spans="1:35" ht="15.6" x14ac:dyDescent="0.3">
      <c r="A3" s="23" t="s">
        <v>4</v>
      </c>
      <c r="B3" s="34"/>
      <c r="C3" s="26">
        <v>4365</v>
      </c>
      <c r="D3" s="35"/>
      <c r="E3" s="36"/>
      <c r="F3" s="36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21" x14ac:dyDescent="0.4">
      <c r="A4" s="23" t="s">
        <v>2</v>
      </c>
      <c r="B4" s="34"/>
      <c r="C4" s="20" t="str">
        <f>'NCLB Title I-A Formula'!$C$4</f>
        <v>2014-15</v>
      </c>
      <c r="D4" s="35"/>
      <c r="E4" s="36"/>
      <c r="F4" s="37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ht="15.6" x14ac:dyDescent="0.3">
      <c r="A5" s="23" t="s">
        <v>435</v>
      </c>
      <c r="B5" s="34"/>
      <c r="C5" s="181" t="s">
        <v>536</v>
      </c>
      <c r="D5" s="35"/>
      <c r="E5" s="36"/>
      <c r="F5" s="36"/>
      <c r="G5" s="39"/>
      <c r="H5" s="27"/>
      <c r="I5" s="27"/>
      <c r="J5" s="27"/>
      <c r="K5" s="27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5.6" x14ac:dyDescent="0.3">
      <c r="A6" s="23" t="s">
        <v>5</v>
      </c>
      <c r="B6" s="34"/>
      <c r="C6" s="181" t="s">
        <v>368</v>
      </c>
      <c r="D6" s="35"/>
      <c r="E6" s="36"/>
      <c r="F6" s="36"/>
      <c r="G6" s="39"/>
      <c r="H6" s="27"/>
      <c r="I6" s="27"/>
      <c r="J6" s="27"/>
      <c r="K6" s="27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5.6" x14ac:dyDescent="0.3">
      <c r="A7" s="23"/>
      <c r="B7" s="34"/>
      <c r="C7" s="181" t="s">
        <v>459</v>
      </c>
      <c r="D7" s="35"/>
      <c r="E7" s="36"/>
      <c r="F7" s="36"/>
      <c r="G7" s="39"/>
      <c r="H7" s="27"/>
      <c r="I7" s="27"/>
      <c r="J7" s="27"/>
      <c r="K7" s="27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15.6" x14ac:dyDescent="0.3">
      <c r="A8" s="23"/>
      <c r="B8" s="34"/>
      <c r="C8" s="26"/>
      <c r="D8" s="35"/>
      <c r="E8" s="36"/>
      <c r="F8" s="36"/>
      <c r="G8" s="39"/>
      <c r="H8" s="27"/>
      <c r="I8" s="27"/>
      <c r="J8" s="27"/>
      <c r="K8" s="27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15.6" x14ac:dyDescent="0.3">
      <c r="A9" s="23" t="s">
        <v>384</v>
      </c>
      <c r="B9" s="34"/>
      <c r="C9" s="202" t="s">
        <v>471</v>
      </c>
      <c r="D9" s="35"/>
      <c r="E9" s="36"/>
      <c r="F9" s="37"/>
      <c r="G9" s="4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15.6" x14ac:dyDescent="0.3">
      <c r="A10" s="23" t="s">
        <v>385</v>
      </c>
      <c r="B10" s="34"/>
      <c r="C10" s="26" t="s">
        <v>386</v>
      </c>
      <c r="D10" s="35"/>
      <c r="E10" s="36"/>
      <c r="F10" s="37"/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16.2" thickBot="1" x14ac:dyDescent="0.35">
      <c r="A11" s="23" t="s">
        <v>436</v>
      </c>
      <c r="B11" s="19"/>
      <c r="C11" s="199" t="s">
        <v>470</v>
      </c>
      <c r="D11" s="35"/>
      <c r="E11" s="36"/>
      <c r="F11" s="37"/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s="15" customFormat="1" ht="32.25" customHeight="1" thickBot="1" x14ac:dyDescent="0.35">
      <c r="A12" s="107" t="s">
        <v>369</v>
      </c>
      <c r="B12" s="108" t="s">
        <v>370</v>
      </c>
      <c r="C12" s="208" t="s">
        <v>371</v>
      </c>
      <c r="D12" s="116" t="s">
        <v>431</v>
      </c>
      <c r="E12" s="116" t="s">
        <v>433</v>
      </c>
      <c r="F12" s="110" t="s">
        <v>372</v>
      </c>
      <c r="G12" s="63" t="s">
        <v>373</v>
      </c>
      <c r="H12" s="111" t="s">
        <v>442</v>
      </c>
      <c r="I12" s="111" t="s">
        <v>443</v>
      </c>
      <c r="J12" s="111" t="s">
        <v>444</v>
      </c>
      <c r="K12" s="111" t="s">
        <v>446</v>
      </c>
      <c r="L12" s="111" t="s">
        <v>447</v>
      </c>
      <c r="M12" s="111" t="s">
        <v>448</v>
      </c>
      <c r="N12" s="111" t="s">
        <v>449</v>
      </c>
      <c r="O12" s="111" t="s">
        <v>450</v>
      </c>
      <c r="P12" s="111" t="s">
        <v>451</v>
      </c>
      <c r="Q12" s="111" t="s">
        <v>452</v>
      </c>
      <c r="R12" s="111" t="s">
        <v>453</v>
      </c>
      <c r="S12" s="111" t="s">
        <v>454</v>
      </c>
      <c r="T12" s="111" t="s">
        <v>455</v>
      </c>
      <c r="U12" s="111" t="s">
        <v>456</v>
      </c>
      <c r="V12" s="111" t="s">
        <v>457</v>
      </c>
      <c r="W12" s="111" t="s">
        <v>464</v>
      </c>
      <c r="X12" s="111" t="s">
        <v>465</v>
      </c>
      <c r="Y12" s="111" t="s">
        <v>466</v>
      </c>
      <c r="Z12" s="111" t="s">
        <v>527</v>
      </c>
      <c r="AA12" s="111" t="s">
        <v>528</v>
      </c>
      <c r="AB12" s="111" t="s">
        <v>529</v>
      </c>
      <c r="AC12" s="111" t="s">
        <v>530</v>
      </c>
      <c r="AD12" s="111" t="s">
        <v>531</v>
      </c>
      <c r="AE12" s="111" t="s">
        <v>532</v>
      </c>
      <c r="AF12" s="111" t="s">
        <v>533</v>
      </c>
      <c r="AG12" s="111" t="s">
        <v>534</v>
      </c>
      <c r="AH12" s="111" t="s">
        <v>535</v>
      </c>
      <c r="AI12" s="111" t="s">
        <v>543</v>
      </c>
    </row>
    <row r="13" spans="1:35" s="3" customFormat="1" ht="18.600000000000001" thickBot="1" x14ac:dyDescent="0.4">
      <c r="A13" s="232" t="s">
        <v>8</v>
      </c>
      <c r="B13" s="49" t="s">
        <v>186</v>
      </c>
      <c r="C13" s="243">
        <v>149679.98040558668</v>
      </c>
      <c r="D13" s="213"/>
      <c r="E13" s="243"/>
      <c r="F13" s="243">
        <f>SUM(I13:AI13)</f>
        <v>149680</v>
      </c>
      <c r="G13" s="243">
        <f>ROUND(IF(ISBLANK(E13),C13-F13,C13-E13),0)</f>
        <v>0</v>
      </c>
      <c r="H13" s="275"/>
      <c r="I13" s="272"/>
      <c r="J13" s="272"/>
      <c r="K13" s="272"/>
      <c r="L13" s="272"/>
      <c r="M13" s="272">
        <f>17529+10923</f>
        <v>28452</v>
      </c>
      <c r="N13" s="272">
        <v>10923</v>
      </c>
      <c r="O13" s="272"/>
      <c r="P13" s="272">
        <f>20733+10999</f>
        <v>31732</v>
      </c>
      <c r="Q13" s="272">
        <v>10999</v>
      </c>
      <c r="R13" s="272">
        <v>14103</v>
      </c>
      <c r="S13" s="272"/>
      <c r="T13" s="272">
        <v>20116</v>
      </c>
      <c r="U13" s="272"/>
      <c r="V13" s="272">
        <v>33303</v>
      </c>
      <c r="W13" s="272"/>
      <c r="X13" s="258">
        <v>52</v>
      </c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</row>
    <row r="14" spans="1:35" s="3" customFormat="1" ht="18.600000000000001" thickBot="1" x14ac:dyDescent="0.4">
      <c r="A14" s="233" t="s">
        <v>9</v>
      </c>
      <c r="B14" s="51" t="s">
        <v>187</v>
      </c>
      <c r="C14" s="243">
        <v>419358.03152213368</v>
      </c>
      <c r="D14" s="214"/>
      <c r="E14" s="243"/>
      <c r="F14" s="243">
        <f t="shared" ref="F14:F77" si="0">SUM(I14:AI14)</f>
        <v>419358</v>
      </c>
      <c r="G14" s="243">
        <f t="shared" ref="G14:G77" si="1">ROUND(IF(ISBLANK(E14),C14-F14,C14-E14),0)</f>
        <v>0</v>
      </c>
      <c r="H14" s="275"/>
      <c r="I14" s="272"/>
      <c r="J14" s="272"/>
      <c r="K14" s="272"/>
      <c r="L14" s="272">
        <v>389</v>
      </c>
      <c r="M14" s="272"/>
      <c r="N14" s="272">
        <v>87504</v>
      </c>
      <c r="O14" s="272">
        <v>71288</v>
      </c>
      <c r="P14" s="272"/>
      <c r="Q14" s="272">
        <v>81912</v>
      </c>
      <c r="R14" s="272"/>
      <c r="S14" s="245">
        <v>77843</v>
      </c>
      <c r="T14" s="272"/>
      <c r="U14" s="272"/>
      <c r="V14" s="272"/>
      <c r="W14" s="272">
        <v>60716</v>
      </c>
      <c r="X14" s="258">
        <v>39706</v>
      </c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</row>
    <row r="15" spans="1:35" s="3" customFormat="1" ht="18.600000000000001" thickBot="1" x14ac:dyDescent="0.4">
      <c r="A15" s="233" t="s">
        <v>10</v>
      </c>
      <c r="B15" s="51" t="s">
        <v>188</v>
      </c>
      <c r="C15" s="243">
        <v>185714.04976248718</v>
      </c>
      <c r="D15" s="214"/>
      <c r="E15" s="243"/>
      <c r="F15" s="243">
        <f t="shared" si="0"/>
        <v>185714</v>
      </c>
      <c r="G15" s="243">
        <f t="shared" si="1"/>
        <v>0</v>
      </c>
      <c r="H15" s="275"/>
      <c r="I15" s="272"/>
      <c r="J15" s="272"/>
      <c r="K15" s="272"/>
      <c r="L15" s="272"/>
      <c r="M15" s="272"/>
      <c r="N15" s="272"/>
      <c r="O15" s="272"/>
      <c r="P15" s="272">
        <v>7307</v>
      </c>
      <c r="Q15" s="272">
        <v>29479</v>
      </c>
      <c r="R15" s="272">
        <v>41296</v>
      </c>
      <c r="S15" s="245">
        <v>12084</v>
      </c>
      <c r="T15" s="272">
        <v>16972</v>
      </c>
      <c r="U15" s="272">
        <v>8070</v>
      </c>
      <c r="V15" s="272"/>
      <c r="W15" s="272"/>
      <c r="X15" s="258"/>
      <c r="Y15" s="272">
        <f>45663+14861</f>
        <v>60524</v>
      </c>
      <c r="Z15" s="272"/>
      <c r="AA15" s="272"/>
      <c r="AB15" s="272">
        <v>9982</v>
      </c>
      <c r="AC15" s="272"/>
      <c r="AD15" s="272"/>
      <c r="AE15" s="272"/>
      <c r="AF15" s="272"/>
      <c r="AG15" s="272"/>
      <c r="AH15" s="272"/>
      <c r="AI15" s="272"/>
    </row>
    <row r="16" spans="1:35" s="3" customFormat="1" ht="18.600000000000001" thickBot="1" x14ac:dyDescent="0.4">
      <c r="A16" s="233" t="s">
        <v>11</v>
      </c>
      <c r="B16" s="205" t="s">
        <v>460</v>
      </c>
      <c r="C16" s="243">
        <v>138072.85229543122</v>
      </c>
      <c r="D16" s="214"/>
      <c r="E16" s="243"/>
      <c r="F16" s="243">
        <f t="shared" si="0"/>
        <v>138073</v>
      </c>
      <c r="G16" s="243">
        <f t="shared" si="1"/>
        <v>0</v>
      </c>
      <c r="H16" s="275"/>
      <c r="I16" s="272"/>
      <c r="J16" s="272"/>
      <c r="K16" s="272"/>
      <c r="L16" s="272"/>
      <c r="M16" s="272"/>
      <c r="N16" s="272">
        <v>47959</v>
      </c>
      <c r="O16" s="272">
        <v>12438</v>
      </c>
      <c r="P16" s="272"/>
      <c r="Q16" s="272">
        <v>13198</v>
      </c>
      <c r="R16" s="272"/>
      <c r="S16" s="224"/>
      <c r="T16" s="272"/>
      <c r="U16" s="272"/>
      <c r="V16" s="272">
        <v>32117</v>
      </c>
      <c r="W16" s="272"/>
      <c r="X16" s="258"/>
      <c r="Y16" s="272"/>
      <c r="Z16" s="272">
        <v>32361</v>
      </c>
      <c r="AA16" s="272"/>
      <c r="AB16" s="272"/>
      <c r="AC16" s="272"/>
      <c r="AD16" s="272"/>
      <c r="AE16" s="272"/>
      <c r="AF16" s="272"/>
      <c r="AG16" s="272"/>
      <c r="AH16" s="272"/>
      <c r="AI16" s="272"/>
    </row>
    <row r="17" spans="1:35" s="3" customFormat="1" ht="18.600000000000001" thickBot="1" x14ac:dyDescent="0.4">
      <c r="A17" s="233" t="s">
        <v>12</v>
      </c>
      <c r="B17" s="51" t="s">
        <v>190</v>
      </c>
      <c r="C17" s="243">
        <v>4331.0179515505406</v>
      </c>
      <c r="D17" s="214">
        <v>9025</v>
      </c>
      <c r="E17" s="243">
        <f>IF(ISBLANK(D17),,C17)</f>
        <v>4331.0179515505406</v>
      </c>
      <c r="F17" s="243">
        <f t="shared" si="0"/>
        <v>0</v>
      </c>
      <c r="G17" s="243">
        <f t="shared" si="1"/>
        <v>0</v>
      </c>
      <c r="H17" s="275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24"/>
      <c r="T17" s="272"/>
      <c r="U17" s="272"/>
      <c r="V17" s="272"/>
      <c r="W17" s="272"/>
      <c r="X17" s="258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</row>
    <row r="18" spans="1:35" s="3" customFormat="1" ht="18.600000000000001" thickBot="1" x14ac:dyDescent="0.4">
      <c r="A18" s="233" t="s">
        <v>13</v>
      </c>
      <c r="B18" s="51" t="s">
        <v>191</v>
      </c>
      <c r="C18" s="243">
        <v>2483.1169588889766</v>
      </c>
      <c r="D18" s="214">
        <v>9025</v>
      </c>
      <c r="E18" s="243">
        <f>IF(ISBLANK(D18),,C18)</f>
        <v>2483.1169588889766</v>
      </c>
      <c r="F18" s="243">
        <f t="shared" si="0"/>
        <v>0</v>
      </c>
      <c r="G18" s="243">
        <f t="shared" si="1"/>
        <v>0</v>
      </c>
      <c r="H18" s="275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24"/>
      <c r="T18" s="272"/>
      <c r="U18" s="272"/>
      <c r="V18" s="272"/>
      <c r="W18" s="272"/>
      <c r="X18" s="258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</row>
    <row r="19" spans="1:35" s="3" customFormat="1" ht="18.600000000000001" thickBot="1" x14ac:dyDescent="0.4">
      <c r="A19" s="233" t="s">
        <v>14</v>
      </c>
      <c r="B19" s="51" t="s">
        <v>192</v>
      </c>
      <c r="C19" s="243">
        <v>230005.92668034404</v>
      </c>
      <c r="D19" s="214"/>
      <c r="E19" s="243"/>
      <c r="F19" s="243">
        <f t="shared" si="0"/>
        <v>230006</v>
      </c>
      <c r="G19" s="243">
        <f t="shared" si="1"/>
        <v>0</v>
      </c>
      <c r="H19" s="275"/>
      <c r="I19" s="272"/>
      <c r="J19" s="272"/>
      <c r="K19" s="272"/>
      <c r="L19" s="272"/>
      <c r="M19" s="272">
        <v>2008</v>
      </c>
      <c r="N19" s="272">
        <v>22708</v>
      </c>
      <c r="O19" s="272">
        <v>29299</v>
      </c>
      <c r="P19" s="272">
        <v>24457</v>
      </c>
      <c r="Q19" s="272">
        <v>23239</v>
      </c>
      <c r="R19" s="272">
        <v>20941</v>
      </c>
      <c r="S19" s="245">
        <v>23220</v>
      </c>
      <c r="T19" s="272">
        <v>29656</v>
      </c>
      <c r="U19" s="272">
        <v>9350</v>
      </c>
      <c r="V19" s="272">
        <v>18700</v>
      </c>
      <c r="W19" s="272">
        <v>18438</v>
      </c>
      <c r="X19" s="258">
        <v>7990</v>
      </c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</row>
    <row r="20" spans="1:35" s="3" customFormat="1" ht="18.600000000000001" thickBot="1" x14ac:dyDescent="0.4">
      <c r="A20" s="233" t="s">
        <v>15</v>
      </c>
      <c r="B20" s="51" t="s">
        <v>193</v>
      </c>
      <c r="C20" s="243">
        <v>16862.096558036774</v>
      </c>
      <c r="D20" s="214"/>
      <c r="E20" s="243"/>
      <c r="F20" s="243">
        <f t="shared" si="0"/>
        <v>16862</v>
      </c>
      <c r="G20" s="243">
        <f t="shared" si="1"/>
        <v>0</v>
      </c>
      <c r="H20" s="275"/>
      <c r="I20" s="272"/>
      <c r="J20" s="272"/>
      <c r="K20" s="272">
        <v>1631</v>
      </c>
      <c r="L20" s="272">
        <v>2746</v>
      </c>
      <c r="M20" s="272">
        <v>1792</v>
      </c>
      <c r="N20" s="272">
        <v>5612</v>
      </c>
      <c r="O20" s="272"/>
      <c r="P20" s="272">
        <v>4670</v>
      </c>
      <c r="Q20" s="272"/>
      <c r="R20" s="272"/>
      <c r="S20" s="224"/>
      <c r="T20" s="272">
        <v>411</v>
      </c>
      <c r="U20" s="272"/>
      <c r="V20" s="272"/>
      <c r="W20" s="272"/>
      <c r="X20" s="258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</row>
    <row r="21" spans="1:35" s="3" customFormat="1" ht="18.600000000000001" thickBot="1" x14ac:dyDescent="0.4">
      <c r="A21" s="233" t="s">
        <v>16</v>
      </c>
      <c r="B21" s="51" t="s">
        <v>194</v>
      </c>
      <c r="C21" s="243">
        <v>2309.8762408269549</v>
      </c>
      <c r="D21" s="214">
        <v>9055</v>
      </c>
      <c r="E21" s="243">
        <f>IF(ISBLANK(D21),,C21)</f>
        <v>2309.8762408269549</v>
      </c>
      <c r="F21" s="243">
        <f t="shared" si="0"/>
        <v>0</v>
      </c>
      <c r="G21" s="243">
        <f t="shared" si="1"/>
        <v>0</v>
      </c>
      <c r="H21" s="275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24"/>
      <c r="T21" s="272"/>
      <c r="U21" s="272"/>
      <c r="V21" s="272"/>
      <c r="W21" s="272"/>
      <c r="X21" s="258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</row>
    <row r="22" spans="1:35" s="3" customFormat="1" ht="18.600000000000001" thickBot="1" x14ac:dyDescent="0.4">
      <c r="A22" s="233" t="s">
        <v>17</v>
      </c>
      <c r="B22" s="51" t="s">
        <v>195</v>
      </c>
      <c r="C22" s="243">
        <v>22983.268596228205</v>
      </c>
      <c r="D22" s="214"/>
      <c r="E22" s="243"/>
      <c r="F22" s="243">
        <f t="shared" si="0"/>
        <v>22983</v>
      </c>
      <c r="G22" s="243">
        <f t="shared" si="1"/>
        <v>0</v>
      </c>
      <c r="H22" s="275"/>
      <c r="I22" s="272"/>
      <c r="J22" s="272"/>
      <c r="K22" s="272">
        <v>3868</v>
      </c>
      <c r="L22" s="272">
        <v>1933</v>
      </c>
      <c r="M22" s="272">
        <v>1934</v>
      </c>
      <c r="N22" s="272">
        <v>1818</v>
      </c>
      <c r="O22" s="272">
        <v>1828</v>
      </c>
      <c r="P22" s="272">
        <v>1828</v>
      </c>
      <c r="Q22" s="272">
        <v>1828</v>
      </c>
      <c r="R22" s="272">
        <v>1828</v>
      </c>
      <c r="S22" s="245">
        <f>1828+1828</f>
        <v>3656</v>
      </c>
      <c r="T22" s="272"/>
      <c r="U22" s="272">
        <v>2274</v>
      </c>
      <c r="V22" s="272">
        <v>188</v>
      </c>
      <c r="W22" s="272"/>
      <c r="X22" s="258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</row>
    <row r="23" spans="1:35" s="3" customFormat="1" ht="18.600000000000001" thickBot="1" x14ac:dyDescent="0.4">
      <c r="A23" s="233" t="s">
        <v>18</v>
      </c>
      <c r="B23" s="51" t="s">
        <v>196</v>
      </c>
      <c r="C23" s="243">
        <v>34705.890518425003</v>
      </c>
      <c r="D23" s="214"/>
      <c r="E23" s="243"/>
      <c r="F23" s="243">
        <f t="shared" si="0"/>
        <v>34706</v>
      </c>
      <c r="G23" s="243">
        <f t="shared" si="1"/>
        <v>0</v>
      </c>
      <c r="H23" s="275"/>
      <c r="I23" s="272"/>
      <c r="J23" s="272"/>
      <c r="K23" s="272"/>
      <c r="L23" s="272">
        <v>1367</v>
      </c>
      <c r="M23" s="272"/>
      <c r="N23" s="272"/>
      <c r="O23" s="272">
        <v>17800</v>
      </c>
      <c r="P23" s="272"/>
      <c r="Q23" s="272"/>
      <c r="R23" s="272">
        <v>7698</v>
      </c>
      <c r="S23" s="224"/>
      <c r="T23" s="272"/>
      <c r="U23" s="272">
        <v>3081</v>
      </c>
      <c r="V23" s="272"/>
      <c r="W23" s="272">
        <v>2155</v>
      </c>
      <c r="X23" s="258"/>
      <c r="Y23" s="272">
        <v>2605</v>
      </c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</row>
    <row r="24" spans="1:35" s="3" customFormat="1" ht="18.600000000000001" thickBot="1" x14ac:dyDescent="0.4">
      <c r="A24" s="233" t="s">
        <v>19</v>
      </c>
      <c r="B24" s="51" t="s">
        <v>197</v>
      </c>
      <c r="C24" s="243">
        <v>328348.90763355169</v>
      </c>
      <c r="D24" s="214"/>
      <c r="E24" s="243"/>
      <c r="F24" s="243">
        <f t="shared" si="0"/>
        <v>328349</v>
      </c>
      <c r="G24" s="243">
        <f t="shared" si="1"/>
        <v>0</v>
      </c>
      <c r="H24" s="275"/>
      <c r="I24" s="272"/>
      <c r="J24" s="272"/>
      <c r="K24" s="272"/>
      <c r="L24" s="272"/>
      <c r="M24" s="272"/>
      <c r="N24" s="272">
        <v>116369</v>
      </c>
      <c r="O24" s="272">
        <v>19385</v>
      </c>
      <c r="P24" s="272">
        <v>27512</v>
      </c>
      <c r="Q24" s="272">
        <v>25199</v>
      </c>
      <c r="R24" s="272"/>
      <c r="S24" s="245">
        <f>28987+28983</f>
        <v>57970</v>
      </c>
      <c r="T24" s="272">
        <v>29371</v>
      </c>
      <c r="U24" s="272">
        <v>4971</v>
      </c>
      <c r="V24" s="272"/>
      <c r="W24" s="272"/>
      <c r="X24" s="272">
        <f>9511+38061</f>
        <v>47572</v>
      </c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</row>
    <row r="25" spans="1:35" s="3" customFormat="1" ht="18.600000000000001" thickBot="1" x14ac:dyDescent="0.4">
      <c r="A25" s="233" t="s">
        <v>20</v>
      </c>
      <c r="B25" s="51" t="s">
        <v>198</v>
      </c>
      <c r="C25" s="243">
        <v>45620.05575633236</v>
      </c>
      <c r="D25" s="214"/>
      <c r="E25" s="243"/>
      <c r="F25" s="243">
        <f t="shared" si="0"/>
        <v>45620</v>
      </c>
      <c r="G25" s="243">
        <f t="shared" si="1"/>
        <v>0</v>
      </c>
      <c r="H25" s="275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24"/>
      <c r="T25" s="272"/>
      <c r="U25" s="272"/>
      <c r="V25" s="272"/>
      <c r="W25" s="272"/>
      <c r="X25" s="272"/>
      <c r="Y25" s="272"/>
      <c r="Z25" s="272">
        <v>26312</v>
      </c>
      <c r="AA25" s="272">
        <v>2675</v>
      </c>
      <c r="AB25" s="272">
        <v>2675</v>
      </c>
      <c r="AC25" s="272">
        <v>3544</v>
      </c>
      <c r="AD25" s="272">
        <v>2675</v>
      </c>
      <c r="AE25" s="272">
        <v>3312</v>
      </c>
      <c r="AF25" s="272">
        <v>4427</v>
      </c>
      <c r="AG25" s="272"/>
      <c r="AH25" s="272"/>
      <c r="AI25" s="272"/>
    </row>
    <row r="26" spans="1:35" s="3" customFormat="1" ht="18.600000000000001" thickBot="1" x14ac:dyDescent="0.4">
      <c r="A26" s="233" t="s">
        <v>21</v>
      </c>
      <c r="B26" s="51" t="s">
        <v>199</v>
      </c>
      <c r="C26" s="243">
        <v>981.69740235145582</v>
      </c>
      <c r="D26" s="214">
        <v>9025</v>
      </c>
      <c r="E26" s="243">
        <f>IF(ISBLANK(D26),,C26)</f>
        <v>981.69740235145582</v>
      </c>
      <c r="F26" s="243">
        <f t="shared" si="0"/>
        <v>0</v>
      </c>
      <c r="G26" s="243">
        <f t="shared" si="1"/>
        <v>0</v>
      </c>
      <c r="H26" s="275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24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</row>
    <row r="27" spans="1:35" s="3" customFormat="1" ht="18.600000000000001" thickBot="1" x14ac:dyDescent="0.4">
      <c r="A27" s="233" t="s">
        <v>22</v>
      </c>
      <c r="B27" s="51" t="s">
        <v>200</v>
      </c>
      <c r="C27" s="243">
        <v>910148.98579184094</v>
      </c>
      <c r="D27" s="214"/>
      <c r="E27" s="243"/>
      <c r="F27" s="243">
        <f t="shared" si="0"/>
        <v>910149</v>
      </c>
      <c r="G27" s="243">
        <f t="shared" si="1"/>
        <v>0</v>
      </c>
      <c r="H27" s="275"/>
      <c r="I27" s="272"/>
      <c r="J27" s="272"/>
      <c r="K27" s="272"/>
      <c r="L27" s="272">
        <v>290831</v>
      </c>
      <c r="M27" s="272"/>
      <c r="N27" s="272"/>
      <c r="O27" s="272"/>
      <c r="P27" s="272">
        <v>1296</v>
      </c>
      <c r="Q27" s="272">
        <v>96807</v>
      </c>
      <c r="R27" s="272">
        <v>101377</v>
      </c>
      <c r="S27" s="245">
        <v>100500</v>
      </c>
      <c r="T27" s="272">
        <v>81314</v>
      </c>
      <c r="U27" s="272">
        <v>442</v>
      </c>
      <c r="V27" s="272">
        <v>114</v>
      </c>
      <c r="W27" s="272">
        <v>89687</v>
      </c>
      <c r="X27" s="272">
        <v>147781</v>
      </c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</row>
    <row r="28" spans="1:35" s="3" customFormat="1" ht="18.600000000000001" thickBot="1" x14ac:dyDescent="0.4">
      <c r="A28" s="233" t="s">
        <v>23</v>
      </c>
      <c r="B28" s="51" t="s">
        <v>201</v>
      </c>
      <c r="C28" s="243">
        <v>923.95049633078202</v>
      </c>
      <c r="D28" s="214">
        <v>9025</v>
      </c>
      <c r="E28" s="243">
        <f>IF(ISBLANK(D28),,C28)</f>
        <v>923.95049633078202</v>
      </c>
      <c r="F28" s="243">
        <f t="shared" si="0"/>
        <v>0</v>
      </c>
      <c r="G28" s="243">
        <f t="shared" si="1"/>
        <v>0</v>
      </c>
      <c r="H28" s="275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24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</row>
    <row r="29" spans="1:35" s="3" customFormat="1" ht="18.600000000000001" thickBot="1" x14ac:dyDescent="0.4">
      <c r="A29" s="233" t="s">
        <v>24</v>
      </c>
      <c r="B29" s="51" t="s">
        <v>202</v>
      </c>
      <c r="C29" s="243">
        <v>7102.8694405428869</v>
      </c>
      <c r="D29" s="214">
        <v>1520</v>
      </c>
      <c r="E29" s="243">
        <f>IF(ISBLANK(D29),,C29)</f>
        <v>7102.8694405428869</v>
      </c>
      <c r="F29" s="243">
        <f t="shared" si="0"/>
        <v>0</v>
      </c>
      <c r="G29" s="243">
        <f t="shared" si="1"/>
        <v>0</v>
      </c>
      <c r="H29" s="275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24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</row>
    <row r="30" spans="1:35" s="3" customFormat="1" ht="18.600000000000001" thickBot="1" x14ac:dyDescent="0.4">
      <c r="A30" s="233" t="s">
        <v>25</v>
      </c>
      <c r="B30" s="51" t="s">
        <v>203</v>
      </c>
      <c r="C30" s="243">
        <v>692.96287224808646</v>
      </c>
      <c r="D30" s="214">
        <v>9075</v>
      </c>
      <c r="E30" s="243">
        <f>IF(ISBLANK(D30),,C30)</f>
        <v>692.96287224808646</v>
      </c>
      <c r="F30" s="243">
        <f t="shared" si="0"/>
        <v>0</v>
      </c>
      <c r="G30" s="243">
        <f t="shared" si="1"/>
        <v>0</v>
      </c>
      <c r="H30" s="275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24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</row>
    <row r="31" spans="1:35" s="3" customFormat="1" ht="18.600000000000001" thickBot="1" x14ac:dyDescent="0.4">
      <c r="A31" s="233" t="s">
        <v>26</v>
      </c>
      <c r="B31" s="51" t="s">
        <v>204</v>
      </c>
      <c r="C31" s="243">
        <v>0</v>
      </c>
      <c r="D31" s="214"/>
      <c r="E31" s="243"/>
      <c r="F31" s="243">
        <f t="shared" si="0"/>
        <v>0</v>
      </c>
      <c r="G31" s="243">
        <f t="shared" si="1"/>
        <v>0</v>
      </c>
      <c r="H31" s="275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24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</row>
    <row r="32" spans="1:35" s="3" customFormat="1" ht="18.600000000000001" thickBot="1" x14ac:dyDescent="0.4">
      <c r="A32" s="233" t="s">
        <v>27</v>
      </c>
      <c r="B32" s="51" t="s">
        <v>205</v>
      </c>
      <c r="C32" s="243">
        <v>115.49381204134775</v>
      </c>
      <c r="D32" s="214">
        <v>9075</v>
      </c>
      <c r="E32" s="243">
        <f>IF(ISBLANK(D32),,C32)</f>
        <v>115.49381204134775</v>
      </c>
      <c r="F32" s="243">
        <f t="shared" si="0"/>
        <v>0</v>
      </c>
      <c r="G32" s="243">
        <f t="shared" si="1"/>
        <v>0</v>
      </c>
      <c r="H32" s="275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24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</row>
    <row r="33" spans="1:35" s="3" customFormat="1" ht="18.600000000000001" thickBot="1" x14ac:dyDescent="0.4">
      <c r="A33" s="233" t="s">
        <v>28</v>
      </c>
      <c r="B33" s="51" t="s">
        <v>206</v>
      </c>
      <c r="C33" s="243">
        <v>57.746906020673876</v>
      </c>
      <c r="D33" s="214">
        <v>9075</v>
      </c>
      <c r="E33" s="243">
        <f>IF(ISBLANK(D33),,C33)</f>
        <v>57.746906020673876</v>
      </c>
      <c r="F33" s="243">
        <f t="shared" si="0"/>
        <v>0</v>
      </c>
      <c r="G33" s="243">
        <f t="shared" si="1"/>
        <v>0</v>
      </c>
      <c r="H33" s="275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24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</row>
    <row r="34" spans="1:35" s="3" customFormat="1" ht="18.600000000000001" thickBot="1" x14ac:dyDescent="0.4">
      <c r="A34" s="233" t="s">
        <v>29</v>
      </c>
      <c r="B34" s="51" t="s">
        <v>207</v>
      </c>
      <c r="C34" s="243">
        <v>0</v>
      </c>
      <c r="D34" s="214"/>
      <c r="E34" s="243"/>
      <c r="F34" s="243">
        <f t="shared" si="0"/>
        <v>0</v>
      </c>
      <c r="G34" s="243">
        <f t="shared" si="1"/>
        <v>0</v>
      </c>
      <c r="H34" s="275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24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</row>
    <row r="35" spans="1:35" s="3" customFormat="1" ht="18.600000000000001" thickBot="1" x14ac:dyDescent="0.4">
      <c r="A35" s="233" t="s">
        <v>30</v>
      </c>
      <c r="B35" s="51" t="s">
        <v>208</v>
      </c>
      <c r="C35" s="243">
        <v>115.49381204134775</v>
      </c>
      <c r="D35" s="214">
        <v>9060</v>
      </c>
      <c r="E35" s="243">
        <f>IF(ISBLANK(D35),,C35)</f>
        <v>115.49381204134775</v>
      </c>
      <c r="F35" s="243">
        <f t="shared" si="0"/>
        <v>0</v>
      </c>
      <c r="G35" s="243">
        <f t="shared" si="1"/>
        <v>0</v>
      </c>
      <c r="H35" s="275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24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</row>
    <row r="36" spans="1:35" s="3" customFormat="1" ht="18.600000000000001" thickBot="1" x14ac:dyDescent="0.4">
      <c r="A36" s="233" t="s">
        <v>31</v>
      </c>
      <c r="B36" s="51" t="s">
        <v>209</v>
      </c>
      <c r="C36" s="243">
        <v>1385.9257444961729</v>
      </c>
      <c r="D36" s="214">
        <v>9075</v>
      </c>
      <c r="E36" s="243">
        <f>IF(ISBLANK(D36),,C36)</f>
        <v>1385.9257444961729</v>
      </c>
      <c r="F36" s="243">
        <f t="shared" si="0"/>
        <v>0</v>
      </c>
      <c r="G36" s="243">
        <f t="shared" si="1"/>
        <v>0</v>
      </c>
      <c r="H36" s="275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24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</row>
    <row r="37" spans="1:35" s="3" customFormat="1" ht="18.600000000000001" thickBot="1" x14ac:dyDescent="0.4">
      <c r="A37" s="233" t="s">
        <v>32</v>
      </c>
      <c r="B37" s="51" t="s">
        <v>210</v>
      </c>
      <c r="C37" s="243">
        <v>257031.4786980194</v>
      </c>
      <c r="D37" s="214"/>
      <c r="E37" s="243"/>
      <c r="F37" s="243">
        <f t="shared" si="0"/>
        <v>257031</v>
      </c>
      <c r="G37" s="243">
        <f t="shared" si="1"/>
        <v>0</v>
      </c>
      <c r="H37" s="275"/>
      <c r="I37" s="272"/>
      <c r="J37" s="272"/>
      <c r="K37" s="272"/>
      <c r="L37" s="272"/>
      <c r="M37" s="272"/>
      <c r="N37" s="272"/>
      <c r="O37" s="272"/>
      <c r="P37" s="272">
        <v>161409</v>
      </c>
      <c r="Q37" s="272"/>
      <c r="R37" s="272"/>
      <c r="S37" s="224"/>
      <c r="T37" s="272">
        <v>49900</v>
      </c>
      <c r="U37" s="272"/>
      <c r="V37" s="272"/>
      <c r="W37" s="272">
        <v>39519</v>
      </c>
      <c r="X37" s="272"/>
      <c r="Y37" s="272"/>
      <c r="Z37" s="272">
        <v>6203</v>
      </c>
      <c r="AA37" s="272"/>
      <c r="AB37" s="272"/>
      <c r="AC37" s="272"/>
      <c r="AD37" s="272"/>
      <c r="AE37" s="272"/>
      <c r="AF37" s="272"/>
      <c r="AG37" s="272"/>
      <c r="AH37" s="272"/>
      <c r="AI37" s="272"/>
    </row>
    <row r="38" spans="1:35" s="3" customFormat="1" ht="18.600000000000001" thickBot="1" x14ac:dyDescent="0.4">
      <c r="A38" s="233" t="s">
        <v>33</v>
      </c>
      <c r="B38" s="51" t="s">
        <v>211</v>
      </c>
      <c r="C38" s="243">
        <v>168216.73723822302</v>
      </c>
      <c r="D38" s="214"/>
      <c r="E38" s="243"/>
      <c r="F38" s="243">
        <f t="shared" si="0"/>
        <v>168217</v>
      </c>
      <c r="G38" s="243">
        <f t="shared" si="1"/>
        <v>0</v>
      </c>
      <c r="H38" s="275"/>
      <c r="I38" s="272"/>
      <c r="J38" s="272"/>
      <c r="K38" s="272">
        <v>10727</v>
      </c>
      <c r="L38" s="272"/>
      <c r="M38" s="272"/>
      <c r="N38" s="272"/>
      <c r="O38" s="272">
        <v>4013</v>
      </c>
      <c r="P38" s="272">
        <v>15997</v>
      </c>
      <c r="Q38" s="272">
        <v>38559</v>
      </c>
      <c r="R38" s="272">
        <v>8724</v>
      </c>
      <c r="S38" s="245">
        <v>12664</v>
      </c>
      <c r="T38" s="272">
        <v>13280</v>
      </c>
      <c r="U38" s="272"/>
      <c r="V38" s="272">
        <v>24714</v>
      </c>
      <c r="W38" s="272">
        <v>19463</v>
      </c>
      <c r="X38" s="272">
        <v>20076</v>
      </c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</row>
    <row r="39" spans="1:35" s="3" customFormat="1" ht="18.600000000000001" thickBot="1" x14ac:dyDescent="0.4">
      <c r="A39" s="233" t="s">
        <v>34</v>
      </c>
      <c r="B39" s="51" t="s">
        <v>412</v>
      </c>
      <c r="C39" s="243">
        <v>0</v>
      </c>
      <c r="D39" s="214"/>
      <c r="E39" s="243"/>
      <c r="F39" s="243">
        <f t="shared" si="0"/>
        <v>0</v>
      </c>
      <c r="G39" s="243">
        <f t="shared" si="1"/>
        <v>0</v>
      </c>
      <c r="H39" s="275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24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</row>
    <row r="40" spans="1:35" s="3" customFormat="1" ht="18.600000000000001" thickBot="1" x14ac:dyDescent="0.4">
      <c r="A40" s="233" t="s">
        <v>35</v>
      </c>
      <c r="B40" s="51" t="s">
        <v>213</v>
      </c>
      <c r="C40" s="243">
        <v>1212.6850264341513</v>
      </c>
      <c r="D40" s="214">
        <v>9055</v>
      </c>
      <c r="E40" s="243">
        <f>IF(ISBLANK(D40),,C40)</f>
        <v>1212.6850264341513</v>
      </c>
      <c r="F40" s="243">
        <f t="shared" si="0"/>
        <v>0</v>
      </c>
      <c r="G40" s="243">
        <f t="shared" si="1"/>
        <v>0</v>
      </c>
      <c r="H40" s="275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24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</row>
    <row r="41" spans="1:35" s="3" customFormat="1" ht="18.600000000000001" thickBot="1" x14ac:dyDescent="0.4">
      <c r="A41" s="233" t="s">
        <v>36</v>
      </c>
      <c r="B41" s="51" t="s">
        <v>214</v>
      </c>
      <c r="C41" s="243">
        <v>0</v>
      </c>
      <c r="D41" s="214"/>
      <c r="E41" s="243"/>
      <c r="F41" s="243">
        <f t="shared" si="0"/>
        <v>0</v>
      </c>
      <c r="G41" s="243">
        <f t="shared" si="1"/>
        <v>0</v>
      </c>
      <c r="H41" s="275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24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</row>
    <row r="42" spans="1:35" s="3" customFormat="1" ht="18.600000000000001" thickBot="1" x14ac:dyDescent="0.4">
      <c r="A42" s="233" t="s">
        <v>37</v>
      </c>
      <c r="B42" s="51" t="s">
        <v>215</v>
      </c>
      <c r="C42" s="243">
        <v>866</v>
      </c>
      <c r="D42" s="214">
        <v>9025</v>
      </c>
      <c r="E42" s="243">
        <f>IF(ISBLANK(D42),,C42)</f>
        <v>866</v>
      </c>
      <c r="F42" s="243">
        <f t="shared" si="0"/>
        <v>0</v>
      </c>
      <c r="G42" s="243">
        <f t="shared" si="1"/>
        <v>0</v>
      </c>
      <c r="H42" s="275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24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</row>
    <row r="43" spans="1:35" s="3" customFormat="1" ht="18.600000000000001" thickBot="1" x14ac:dyDescent="0.4">
      <c r="A43" s="233" t="s">
        <v>38</v>
      </c>
      <c r="B43" s="51" t="s">
        <v>413</v>
      </c>
      <c r="C43" s="243">
        <v>0</v>
      </c>
      <c r="D43" s="214"/>
      <c r="E43" s="243"/>
      <c r="F43" s="243">
        <f t="shared" si="0"/>
        <v>0</v>
      </c>
      <c r="G43" s="243">
        <f t="shared" si="1"/>
        <v>0</v>
      </c>
      <c r="H43" s="275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24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</row>
    <row r="44" spans="1:35" s="3" customFormat="1" ht="18.600000000000001" thickBot="1" x14ac:dyDescent="0.4">
      <c r="A44" s="233" t="s">
        <v>39</v>
      </c>
      <c r="B44" s="51" t="s">
        <v>217</v>
      </c>
      <c r="C44" s="243">
        <v>0</v>
      </c>
      <c r="D44" s="214"/>
      <c r="E44" s="243"/>
      <c r="F44" s="243">
        <f t="shared" si="0"/>
        <v>0</v>
      </c>
      <c r="G44" s="243">
        <f t="shared" si="1"/>
        <v>0</v>
      </c>
      <c r="H44" s="275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24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</row>
    <row r="45" spans="1:35" s="3" customFormat="1" ht="18.600000000000001" thickBot="1" x14ac:dyDescent="0.4">
      <c r="A45" s="233" t="s">
        <v>40</v>
      </c>
      <c r="B45" s="51" t="s">
        <v>218</v>
      </c>
      <c r="C45" s="243">
        <v>57.746906020673876</v>
      </c>
      <c r="D45" s="214">
        <v>9055</v>
      </c>
      <c r="E45" s="243">
        <f>IF(ISBLANK(D45),,C45)</f>
        <v>57.746906020673876</v>
      </c>
      <c r="F45" s="243">
        <f t="shared" si="0"/>
        <v>0</v>
      </c>
      <c r="G45" s="243">
        <f t="shared" si="1"/>
        <v>0</v>
      </c>
      <c r="H45" s="275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24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</row>
    <row r="46" spans="1:35" s="3" customFormat="1" ht="18.600000000000001" thickBot="1" x14ac:dyDescent="0.4">
      <c r="A46" s="233" t="s">
        <v>41</v>
      </c>
      <c r="B46" s="51" t="s">
        <v>219</v>
      </c>
      <c r="C46" s="243">
        <v>1674.6602745995424</v>
      </c>
      <c r="D46" s="214">
        <v>9055</v>
      </c>
      <c r="E46" s="243">
        <f>IF(ISBLANK(D46),,C46)</f>
        <v>1674.6602745995424</v>
      </c>
      <c r="F46" s="243">
        <f t="shared" si="0"/>
        <v>0</v>
      </c>
      <c r="G46" s="243">
        <f t="shared" si="1"/>
        <v>0</v>
      </c>
      <c r="H46" s="275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24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</row>
    <row r="47" spans="1:35" s="3" customFormat="1" ht="18.600000000000001" thickBot="1" x14ac:dyDescent="0.4">
      <c r="A47" s="233" t="s">
        <v>42</v>
      </c>
      <c r="B47" s="53" t="s">
        <v>220</v>
      </c>
      <c r="C47" s="243">
        <v>866</v>
      </c>
      <c r="D47" s="214">
        <v>9055</v>
      </c>
      <c r="E47" s="243">
        <f>IF(ISBLANK(D47),,C47)</f>
        <v>866</v>
      </c>
      <c r="F47" s="243">
        <f t="shared" si="0"/>
        <v>0</v>
      </c>
      <c r="G47" s="243">
        <f t="shared" si="1"/>
        <v>0</v>
      </c>
      <c r="H47" s="275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24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</row>
    <row r="48" spans="1:35" s="3" customFormat="1" ht="18.600000000000001" thickBot="1" x14ac:dyDescent="0.4">
      <c r="A48" s="233" t="s">
        <v>43</v>
      </c>
      <c r="B48" s="51" t="s">
        <v>221</v>
      </c>
      <c r="C48" s="243">
        <v>2829.5983950130199</v>
      </c>
      <c r="D48" s="214">
        <v>9055</v>
      </c>
      <c r="E48" s="243">
        <f>IF(ISBLANK(D48),,C48)</f>
        <v>2829.5983950130199</v>
      </c>
      <c r="F48" s="243">
        <f t="shared" si="0"/>
        <v>0</v>
      </c>
      <c r="G48" s="243">
        <f t="shared" si="1"/>
        <v>0</v>
      </c>
      <c r="H48" s="275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24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</row>
    <row r="49" spans="1:35" s="3" customFormat="1" ht="18.600000000000001" thickBot="1" x14ac:dyDescent="0.4">
      <c r="A49" s="233" t="s">
        <v>44</v>
      </c>
      <c r="B49" s="51" t="s">
        <v>222</v>
      </c>
      <c r="C49" s="243">
        <v>173.24071806202161</v>
      </c>
      <c r="D49" s="214">
        <v>9060</v>
      </c>
      <c r="E49" s="243">
        <f>IF(ISBLANK(D49),,C49)</f>
        <v>173.24071806202161</v>
      </c>
      <c r="F49" s="243">
        <f t="shared" si="0"/>
        <v>0</v>
      </c>
      <c r="G49" s="243">
        <f t="shared" si="1"/>
        <v>0</v>
      </c>
      <c r="H49" s="275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24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</row>
    <row r="50" spans="1:35" s="3" customFormat="1" ht="18.600000000000001" thickBot="1" x14ac:dyDescent="0.4">
      <c r="A50" s="233" t="s">
        <v>45</v>
      </c>
      <c r="B50" s="51" t="s">
        <v>223</v>
      </c>
      <c r="C50" s="243">
        <v>0</v>
      </c>
      <c r="D50" s="214"/>
      <c r="E50" s="243"/>
      <c r="F50" s="243">
        <f t="shared" si="0"/>
        <v>0</v>
      </c>
      <c r="G50" s="243">
        <f t="shared" si="1"/>
        <v>0</v>
      </c>
      <c r="H50" s="275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24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</row>
    <row r="51" spans="1:35" s="3" customFormat="1" ht="18.600000000000001" thickBot="1" x14ac:dyDescent="0.4">
      <c r="A51" s="233" t="s">
        <v>46</v>
      </c>
      <c r="B51" s="51" t="s">
        <v>224</v>
      </c>
      <c r="C51" s="243">
        <v>22117.065005918095</v>
      </c>
      <c r="D51" s="214"/>
      <c r="E51" s="243"/>
      <c r="F51" s="243">
        <f t="shared" si="0"/>
        <v>22117</v>
      </c>
      <c r="G51" s="243">
        <f t="shared" si="1"/>
        <v>0</v>
      </c>
      <c r="H51" s="275"/>
      <c r="I51" s="272"/>
      <c r="J51" s="272"/>
      <c r="K51" s="272"/>
      <c r="L51" s="272">
        <v>53</v>
      </c>
      <c r="M51" s="272">
        <v>1968</v>
      </c>
      <c r="N51" s="272">
        <v>1968</v>
      </c>
      <c r="O51" s="272">
        <v>2005</v>
      </c>
      <c r="P51" s="272"/>
      <c r="Q51" s="272">
        <v>2581</v>
      </c>
      <c r="R51" s="272">
        <v>2672</v>
      </c>
      <c r="S51" s="245">
        <v>1774</v>
      </c>
      <c r="T51" s="272">
        <v>5343</v>
      </c>
      <c r="U51" s="272"/>
      <c r="V51" s="272"/>
      <c r="W51" s="272"/>
      <c r="X51" s="272"/>
      <c r="Y51" s="272"/>
      <c r="Z51" s="272"/>
      <c r="AA51" s="272">
        <v>3753</v>
      </c>
      <c r="AB51" s="272"/>
      <c r="AC51" s="272"/>
      <c r="AD51" s="272"/>
      <c r="AE51" s="272"/>
      <c r="AF51" s="272"/>
      <c r="AG51" s="272"/>
      <c r="AH51" s="272"/>
      <c r="AI51" s="272"/>
    </row>
    <row r="52" spans="1:35" s="3" customFormat="1" ht="18.600000000000001" thickBot="1" x14ac:dyDescent="0.4">
      <c r="A52" s="233" t="s">
        <v>47</v>
      </c>
      <c r="B52" s="51" t="s">
        <v>225</v>
      </c>
      <c r="C52" s="243">
        <v>1807882.3867892371</v>
      </c>
      <c r="D52" s="214"/>
      <c r="E52" s="243"/>
      <c r="F52" s="243">
        <f t="shared" si="0"/>
        <v>1807882</v>
      </c>
      <c r="G52" s="243">
        <f t="shared" si="1"/>
        <v>0</v>
      </c>
      <c r="H52" s="275"/>
      <c r="I52" s="272"/>
      <c r="J52" s="272"/>
      <c r="K52" s="272"/>
      <c r="L52" s="272"/>
      <c r="M52" s="272"/>
      <c r="N52" s="272"/>
      <c r="O52" s="272">
        <v>89910</v>
      </c>
      <c r="P52" s="272"/>
      <c r="Q52" s="272">
        <v>515898</v>
      </c>
      <c r="R52" s="272">
        <v>215791</v>
      </c>
      <c r="S52" s="224"/>
      <c r="T52" s="272">
        <v>283841</v>
      </c>
      <c r="U52" s="272"/>
      <c r="V52" s="272"/>
      <c r="W52" s="272"/>
      <c r="X52" s="272">
        <f>304062+264406</f>
        <v>568468</v>
      </c>
      <c r="Y52" s="272">
        <v>133974</v>
      </c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</row>
    <row r="53" spans="1:35" s="3" customFormat="1" ht="18.600000000000001" thickBot="1" x14ac:dyDescent="0.4">
      <c r="A53" s="233" t="s">
        <v>48</v>
      </c>
      <c r="B53" s="51" t="s">
        <v>226</v>
      </c>
      <c r="C53" s="243">
        <v>0</v>
      </c>
      <c r="D53" s="214"/>
      <c r="E53" s="243"/>
      <c r="F53" s="243">
        <f t="shared" si="0"/>
        <v>0</v>
      </c>
      <c r="G53" s="243">
        <f t="shared" si="1"/>
        <v>0</v>
      </c>
      <c r="H53" s="275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24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</row>
    <row r="54" spans="1:35" s="3" customFormat="1" ht="18.600000000000001" thickBot="1" x14ac:dyDescent="0.4">
      <c r="A54" s="233" t="s">
        <v>49</v>
      </c>
      <c r="B54" s="51" t="s">
        <v>227</v>
      </c>
      <c r="C54" s="243">
        <f>192759+SUMIF(D13:D191,"0900",E13:E191)</f>
        <v>195126.62314684762</v>
      </c>
      <c r="D54" s="214"/>
      <c r="E54" s="243"/>
      <c r="F54" s="243">
        <f t="shared" si="0"/>
        <v>195127</v>
      </c>
      <c r="G54" s="243">
        <f t="shared" si="1"/>
        <v>0</v>
      </c>
      <c r="H54" s="275"/>
      <c r="I54" s="272"/>
      <c r="J54" s="272"/>
      <c r="K54" s="272">
        <v>33566</v>
      </c>
      <c r="L54" s="272"/>
      <c r="M54" s="272"/>
      <c r="N54" s="272">
        <v>20221</v>
      </c>
      <c r="O54" s="272"/>
      <c r="P54" s="272">
        <v>25266</v>
      </c>
      <c r="Q54" s="272"/>
      <c r="R54" s="272">
        <v>53141</v>
      </c>
      <c r="S54" s="224"/>
      <c r="T54" s="272">
        <v>56918</v>
      </c>
      <c r="U54" s="272"/>
      <c r="V54" s="272">
        <v>505</v>
      </c>
      <c r="W54" s="272"/>
      <c r="X54" s="272"/>
      <c r="Y54" s="272">
        <v>3142</v>
      </c>
      <c r="Z54" s="272"/>
      <c r="AA54" s="272">
        <v>2368</v>
      </c>
      <c r="AB54" s="272"/>
      <c r="AC54" s="272"/>
      <c r="AD54" s="272"/>
      <c r="AE54" s="272"/>
      <c r="AF54" s="272"/>
      <c r="AG54" s="272"/>
      <c r="AH54" s="272"/>
      <c r="AI54" s="272"/>
    </row>
    <row r="55" spans="1:35" s="3" customFormat="1" ht="18.600000000000001" thickBot="1" x14ac:dyDescent="0.4">
      <c r="A55" s="233" t="s">
        <v>50</v>
      </c>
      <c r="B55" s="51" t="s">
        <v>228</v>
      </c>
      <c r="C55" s="243">
        <v>130219.27307661959</v>
      </c>
      <c r="D55" s="214"/>
      <c r="E55" s="243"/>
      <c r="F55" s="243">
        <f t="shared" si="0"/>
        <v>130219</v>
      </c>
      <c r="G55" s="243">
        <f t="shared" si="1"/>
        <v>0</v>
      </c>
      <c r="H55" s="275"/>
      <c r="I55" s="272"/>
      <c r="J55" s="272"/>
      <c r="K55" s="272"/>
      <c r="L55" s="272"/>
      <c r="M55" s="272">
        <v>18012</v>
      </c>
      <c r="N55" s="272"/>
      <c r="O55" s="272"/>
      <c r="P55" s="272"/>
      <c r="Q55" s="272"/>
      <c r="R55" s="272">
        <v>62982</v>
      </c>
      <c r="S55" s="224"/>
      <c r="T55" s="272"/>
      <c r="U55" s="272">
        <f>26373+15499+885</f>
        <v>42757</v>
      </c>
      <c r="V55" s="272"/>
      <c r="W55" s="272">
        <v>1029</v>
      </c>
      <c r="X55" s="272"/>
      <c r="Y55" s="272"/>
      <c r="Z55" s="272"/>
      <c r="AA55" s="272"/>
      <c r="AB55" s="272">
        <v>5439</v>
      </c>
      <c r="AC55" s="272"/>
      <c r="AD55" s="272"/>
      <c r="AE55" s="272"/>
      <c r="AF55" s="272"/>
      <c r="AG55" s="272"/>
      <c r="AH55" s="272"/>
      <c r="AI55" s="272"/>
    </row>
    <row r="56" spans="1:35" s="3" customFormat="1" ht="18.600000000000001" thickBot="1" x14ac:dyDescent="0.4">
      <c r="A56" s="233" t="s">
        <v>51</v>
      </c>
      <c r="B56" s="205" t="s">
        <v>229</v>
      </c>
      <c r="C56" s="243">
        <v>2367.623146847629</v>
      </c>
      <c r="D56" s="214">
        <v>900</v>
      </c>
      <c r="E56" s="243">
        <f>IF(ISBLANK(D56),,C56)</f>
        <v>2367.623146847629</v>
      </c>
      <c r="F56" s="243">
        <f t="shared" si="0"/>
        <v>0</v>
      </c>
      <c r="G56" s="243">
        <f t="shared" si="1"/>
        <v>0</v>
      </c>
      <c r="H56" s="275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24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</row>
    <row r="57" spans="1:35" s="3" customFormat="1" ht="18.600000000000001" thickBot="1" x14ac:dyDescent="0.4">
      <c r="A57" s="233" t="s">
        <v>52</v>
      </c>
      <c r="B57" s="51" t="s">
        <v>230</v>
      </c>
      <c r="C57" s="243">
        <v>519.72215418606481</v>
      </c>
      <c r="D57" s="214">
        <v>9025</v>
      </c>
      <c r="E57" s="243">
        <f>IF(ISBLANK(D57),,C57)</f>
        <v>519.72215418606481</v>
      </c>
      <c r="F57" s="243">
        <f t="shared" si="0"/>
        <v>0</v>
      </c>
      <c r="G57" s="243">
        <f t="shared" si="1"/>
        <v>0</v>
      </c>
      <c r="H57" s="275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24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</row>
    <row r="58" spans="1:35" s="3" customFormat="1" ht="18.600000000000001" thickBot="1" x14ac:dyDescent="0.4">
      <c r="A58" s="233" t="s">
        <v>53</v>
      </c>
      <c r="B58" s="51" t="s">
        <v>231</v>
      </c>
      <c r="C58" s="243">
        <v>0</v>
      </c>
      <c r="D58" s="214"/>
      <c r="E58" s="243"/>
      <c r="F58" s="243">
        <f t="shared" si="0"/>
        <v>0</v>
      </c>
      <c r="G58" s="243">
        <f t="shared" si="1"/>
        <v>0</v>
      </c>
      <c r="H58" s="275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24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</row>
    <row r="59" spans="1:35" s="3" customFormat="1" ht="18.600000000000001" thickBot="1" x14ac:dyDescent="0.4">
      <c r="A59" s="233" t="s">
        <v>54</v>
      </c>
      <c r="B59" s="51" t="s">
        <v>507</v>
      </c>
      <c r="C59" s="243">
        <v>0</v>
      </c>
      <c r="D59" s="214"/>
      <c r="E59" s="243"/>
      <c r="F59" s="243">
        <f t="shared" si="0"/>
        <v>0</v>
      </c>
      <c r="G59" s="243">
        <f t="shared" si="1"/>
        <v>0</v>
      </c>
      <c r="H59" s="275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24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</row>
    <row r="60" spans="1:35" s="3" customFormat="1" ht="18.600000000000001" thickBot="1" x14ac:dyDescent="0.4">
      <c r="A60" s="233" t="s">
        <v>55</v>
      </c>
      <c r="B60" s="51" t="s">
        <v>233</v>
      </c>
      <c r="C60" s="243">
        <v>0</v>
      </c>
      <c r="D60" s="214"/>
      <c r="E60" s="243"/>
      <c r="F60" s="243">
        <f t="shared" si="0"/>
        <v>0</v>
      </c>
      <c r="G60" s="243">
        <f t="shared" si="1"/>
        <v>0</v>
      </c>
      <c r="H60" s="275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24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</row>
    <row r="61" spans="1:35" s="3" customFormat="1" ht="18.600000000000001" thickBot="1" x14ac:dyDescent="0.4">
      <c r="A61" s="233" t="s">
        <v>56</v>
      </c>
      <c r="B61" s="51" t="s">
        <v>414</v>
      </c>
      <c r="C61" s="243">
        <v>0</v>
      </c>
      <c r="D61" s="214"/>
      <c r="E61" s="243"/>
      <c r="F61" s="243">
        <f t="shared" si="0"/>
        <v>0</v>
      </c>
      <c r="G61" s="243">
        <f t="shared" si="1"/>
        <v>0</v>
      </c>
      <c r="H61" s="275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24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</row>
    <row r="62" spans="1:35" s="3" customFormat="1" ht="18.600000000000001" thickBot="1" x14ac:dyDescent="0.4">
      <c r="A62" s="233" t="s">
        <v>57</v>
      </c>
      <c r="B62" s="51" t="s">
        <v>235</v>
      </c>
      <c r="C62" s="243">
        <v>124386.83556853152</v>
      </c>
      <c r="D62" s="214"/>
      <c r="E62" s="243"/>
      <c r="F62" s="243">
        <f t="shared" si="0"/>
        <v>124387</v>
      </c>
      <c r="G62" s="243">
        <f t="shared" si="1"/>
        <v>0</v>
      </c>
      <c r="H62" s="275"/>
      <c r="I62" s="272"/>
      <c r="J62" s="272"/>
      <c r="K62" s="272">
        <v>20945</v>
      </c>
      <c r="L62" s="272"/>
      <c r="M62" s="272"/>
      <c r="N62" s="272"/>
      <c r="O62" s="272"/>
      <c r="P62" s="272">
        <v>7709</v>
      </c>
      <c r="Q62" s="272">
        <v>4299</v>
      </c>
      <c r="R62" s="272">
        <v>6014</v>
      </c>
      <c r="S62" s="245">
        <v>12765</v>
      </c>
      <c r="T62" s="272">
        <v>4621</v>
      </c>
      <c r="U62" s="272">
        <v>11540</v>
      </c>
      <c r="V62" s="272">
        <f>1939+14214</f>
        <v>16153</v>
      </c>
      <c r="W62" s="272">
        <v>7720</v>
      </c>
      <c r="X62" s="272">
        <v>17750</v>
      </c>
      <c r="Y62" s="272">
        <v>14871</v>
      </c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</row>
    <row r="63" spans="1:35" s="3" customFormat="1" ht="18.600000000000001" thickBot="1" x14ac:dyDescent="0.4">
      <c r="A63" s="233" t="s">
        <v>58</v>
      </c>
      <c r="B63" s="51" t="s">
        <v>236</v>
      </c>
      <c r="C63" s="243">
        <v>12819.813136589601</v>
      </c>
      <c r="D63" s="214"/>
      <c r="E63" s="243"/>
      <c r="F63" s="243">
        <f t="shared" si="0"/>
        <v>12820</v>
      </c>
      <c r="G63" s="243">
        <f t="shared" si="1"/>
        <v>0</v>
      </c>
      <c r="H63" s="275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24"/>
      <c r="T63" s="272"/>
      <c r="U63" s="272"/>
      <c r="V63" s="272"/>
      <c r="W63" s="272"/>
      <c r="X63" s="272"/>
      <c r="Y63" s="272">
        <v>11046</v>
      </c>
      <c r="Z63" s="272"/>
      <c r="AA63" s="272"/>
      <c r="AB63" s="272"/>
      <c r="AC63" s="272">
        <v>1774</v>
      </c>
      <c r="AD63" s="272"/>
      <c r="AE63" s="272"/>
      <c r="AF63" s="272"/>
      <c r="AG63" s="272"/>
      <c r="AH63" s="272"/>
      <c r="AI63" s="272"/>
    </row>
    <row r="64" spans="1:35" s="3" customFormat="1" ht="18.600000000000001" thickBot="1" x14ac:dyDescent="0.4">
      <c r="A64" s="233" t="s">
        <v>59</v>
      </c>
      <c r="B64" s="51" t="s">
        <v>237</v>
      </c>
      <c r="C64" s="243">
        <v>21539.595945711357</v>
      </c>
      <c r="D64" s="214"/>
      <c r="E64" s="243"/>
      <c r="F64" s="243">
        <f t="shared" si="0"/>
        <v>21540</v>
      </c>
      <c r="G64" s="243">
        <f t="shared" si="1"/>
        <v>0</v>
      </c>
      <c r="H64" s="275"/>
      <c r="I64" s="272"/>
      <c r="J64" s="272">
        <v>4792</v>
      </c>
      <c r="K64" s="272">
        <v>3060</v>
      </c>
      <c r="L64" s="272">
        <v>2599</v>
      </c>
      <c r="M64" s="272">
        <v>2555</v>
      </c>
      <c r="N64" s="272">
        <v>2598</v>
      </c>
      <c r="O64" s="272">
        <v>2545</v>
      </c>
      <c r="P64" s="272">
        <v>2616</v>
      </c>
      <c r="Q64" s="272">
        <v>775</v>
      </c>
      <c r="R64" s="272"/>
      <c r="S64" s="224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</row>
    <row r="65" spans="1:35" s="3" customFormat="1" ht="18.600000000000001" thickBot="1" x14ac:dyDescent="0.4">
      <c r="A65" s="233" t="s">
        <v>60</v>
      </c>
      <c r="B65" s="51" t="s">
        <v>238</v>
      </c>
      <c r="C65" s="243">
        <v>151816.61592835162</v>
      </c>
      <c r="D65" s="214"/>
      <c r="E65" s="243"/>
      <c r="F65" s="243">
        <f t="shared" si="0"/>
        <v>151817</v>
      </c>
      <c r="G65" s="243">
        <f t="shared" si="1"/>
        <v>0</v>
      </c>
      <c r="H65" s="275"/>
      <c r="I65" s="272"/>
      <c r="J65" s="272"/>
      <c r="K65" s="272">
        <v>9000</v>
      </c>
      <c r="L65" s="272"/>
      <c r="M65" s="272"/>
      <c r="N65" s="272">
        <v>10873</v>
      </c>
      <c r="O65" s="272"/>
      <c r="P65" s="272">
        <v>9579</v>
      </c>
      <c r="Q65" s="272">
        <v>19073</v>
      </c>
      <c r="R65" s="272">
        <v>5612</v>
      </c>
      <c r="S65" s="245">
        <v>4229</v>
      </c>
      <c r="T65" s="272">
        <v>6318</v>
      </c>
      <c r="U65" s="272">
        <v>312</v>
      </c>
      <c r="V65" s="272"/>
      <c r="W65" s="272">
        <v>28493</v>
      </c>
      <c r="X65" s="272">
        <v>11798</v>
      </c>
      <c r="Y65" s="272">
        <v>38473</v>
      </c>
      <c r="Z65" s="272">
        <v>6999</v>
      </c>
      <c r="AA65" s="272">
        <v>1058</v>
      </c>
      <c r="AB65" s="272"/>
      <c r="AC65" s="272"/>
      <c r="AD65" s="272"/>
      <c r="AE65" s="272"/>
      <c r="AF65" s="272"/>
      <c r="AG65" s="272"/>
      <c r="AH65" s="272"/>
      <c r="AI65" s="272"/>
    </row>
    <row r="66" spans="1:35" s="3" customFormat="1" ht="18.600000000000001" thickBot="1" x14ac:dyDescent="0.4">
      <c r="A66" s="233" t="s">
        <v>61</v>
      </c>
      <c r="B66" s="51" t="s">
        <v>239</v>
      </c>
      <c r="C66" s="243">
        <f>8257+SUMIF(D13:D191,"1020",E13:E191)+1</f>
        <v>10394.635522764933</v>
      </c>
      <c r="D66" s="214"/>
      <c r="E66" s="243"/>
      <c r="F66" s="243">
        <f t="shared" si="0"/>
        <v>10395</v>
      </c>
      <c r="G66" s="243">
        <f t="shared" si="1"/>
        <v>0</v>
      </c>
      <c r="H66" s="275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24">
        <v>8258</v>
      </c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>
        <v>2137</v>
      </c>
      <c r="AG66" s="272"/>
      <c r="AH66" s="272"/>
      <c r="AI66" s="272"/>
    </row>
    <row r="67" spans="1:35" s="3" customFormat="1" ht="18.600000000000001" thickBot="1" x14ac:dyDescent="0.4">
      <c r="A67" s="233" t="s">
        <v>62</v>
      </c>
      <c r="B67" s="51" t="s">
        <v>418</v>
      </c>
      <c r="C67" s="243">
        <v>0</v>
      </c>
      <c r="D67" s="214"/>
      <c r="E67" s="243"/>
      <c r="F67" s="243">
        <f t="shared" si="0"/>
        <v>0</v>
      </c>
      <c r="G67" s="243">
        <f t="shared" si="1"/>
        <v>0</v>
      </c>
      <c r="H67" s="275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24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</row>
    <row r="68" spans="1:35" s="3" customFormat="1" ht="18.600000000000001" thickBot="1" x14ac:dyDescent="0.4">
      <c r="A68" s="233" t="s">
        <v>63</v>
      </c>
      <c r="B68" s="51" t="s">
        <v>241</v>
      </c>
      <c r="C68" s="243">
        <v>29912.897318709067</v>
      </c>
      <c r="D68" s="214"/>
      <c r="E68" s="243"/>
      <c r="F68" s="243">
        <f t="shared" si="0"/>
        <v>29913</v>
      </c>
      <c r="G68" s="243">
        <f t="shared" si="1"/>
        <v>0</v>
      </c>
      <c r="H68" s="275"/>
      <c r="I68" s="272"/>
      <c r="J68" s="272"/>
      <c r="K68" s="272"/>
      <c r="L68" s="272"/>
      <c r="M68" s="272"/>
      <c r="N68" s="272">
        <v>13133</v>
      </c>
      <c r="O68" s="272"/>
      <c r="P68" s="272">
        <v>1884</v>
      </c>
      <c r="Q68" s="272">
        <v>3749</v>
      </c>
      <c r="R68" s="272"/>
      <c r="S68" s="245">
        <v>3064</v>
      </c>
      <c r="T68" s="272"/>
      <c r="U68" s="272">
        <v>330</v>
      </c>
      <c r="V68" s="272"/>
      <c r="W68" s="272"/>
      <c r="X68" s="272">
        <v>505</v>
      </c>
      <c r="Y68" s="272"/>
      <c r="Z68" s="272"/>
      <c r="AA68" s="272">
        <v>7248</v>
      </c>
      <c r="AB68" s="272"/>
      <c r="AC68" s="272"/>
      <c r="AD68" s="272"/>
      <c r="AE68" s="272"/>
      <c r="AF68" s="272"/>
      <c r="AG68" s="272"/>
      <c r="AH68" s="272"/>
      <c r="AI68" s="272"/>
    </row>
    <row r="69" spans="1:35" s="3" customFormat="1" ht="18.600000000000001" thickBot="1" x14ac:dyDescent="0.4">
      <c r="A69" s="233" t="s">
        <v>64</v>
      </c>
      <c r="B69" s="51" t="s">
        <v>415</v>
      </c>
      <c r="C69" s="243">
        <v>6178.9189442121042</v>
      </c>
      <c r="D69" s="214">
        <v>9025</v>
      </c>
      <c r="E69" s="243">
        <f>IF(ISBLANK(D69),,C69)</f>
        <v>6178.9189442121042</v>
      </c>
      <c r="F69" s="243">
        <f t="shared" si="0"/>
        <v>0</v>
      </c>
      <c r="G69" s="243">
        <f t="shared" si="1"/>
        <v>0</v>
      </c>
      <c r="H69" s="275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24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</row>
    <row r="70" spans="1:35" s="3" customFormat="1" ht="18.600000000000001" thickBot="1" x14ac:dyDescent="0.4">
      <c r="A70" s="233" t="s">
        <v>65</v>
      </c>
      <c r="B70" s="51" t="s">
        <v>416</v>
      </c>
      <c r="C70" s="243">
        <v>519.72215418606481</v>
      </c>
      <c r="D70" s="214">
        <v>9060</v>
      </c>
      <c r="E70" s="243">
        <f>IF(ISBLANK(D70),,C70)</f>
        <v>519.72215418606481</v>
      </c>
      <c r="F70" s="243">
        <f t="shared" si="0"/>
        <v>0</v>
      </c>
      <c r="G70" s="243">
        <f t="shared" si="1"/>
        <v>0</v>
      </c>
      <c r="H70" s="275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24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</row>
    <row r="71" spans="1:35" s="3" customFormat="1" ht="18.600000000000001" thickBot="1" x14ac:dyDescent="0.4">
      <c r="A71" s="233" t="s">
        <v>66</v>
      </c>
      <c r="B71" s="51" t="s">
        <v>417</v>
      </c>
      <c r="C71" s="243">
        <v>1905.6478986822381</v>
      </c>
      <c r="D71" s="214">
        <v>9060</v>
      </c>
      <c r="E71" s="243">
        <f>IF(ISBLANK(D71),,C71)</f>
        <v>1905.6478986822381</v>
      </c>
      <c r="F71" s="243">
        <f t="shared" si="0"/>
        <v>0</v>
      </c>
      <c r="G71" s="243">
        <f t="shared" si="1"/>
        <v>0</v>
      </c>
      <c r="H71" s="275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24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</row>
    <row r="72" spans="1:35" s="3" customFormat="1" ht="18.600000000000001" thickBot="1" x14ac:dyDescent="0.4">
      <c r="A72" s="233" t="s">
        <v>67</v>
      </c>
      <c r="B72" s="51" t="s">
        <v>245</v>
      </c>
      <c r="C72" s="243">
        <v>14840.954847313187</v>
      </c>
      <c r="D72" s="214"/>
      <c r="E72" s="243"/>
      <c r="F72" s="243">
        <f t="shared" si="0"/>
        <v>14841</v>
      </c>
      <c r="G72" s="243">
        <f t="shared" si="1"/>
        <v>0</v>
      </c>
      <c r="H72" s="275"/>
      <c r="I72" s="272"/>
      <c r="J72" s="272"/>
      <c r="K72" s="272"/>
      <c r="L72" s="272"/>
      <c r="M72" s="272"/>
      <c r="N72" s="272">
        <v>5232</v>
      </c>
      <c r="O72" s="272">
        <v>355</v>
      </c>
      <c r="P72" s="272"/>
      <c r="Q72" s="272">
        <v>3142</v>
      </c>
      <c r="R72" s="272"/>
      <c r="S72" s="245">
        <v>1498</v>
      </c>
      <c r="T72" s="272">
        <v>336</v>
      </c>
      <c r="U72" s="272"/>
      <c r="V72" s="272"/>
      <c r="W72" s="272"/>
      <c r="X72" s="272"/>
      <c r="Y72" s="272"/>
      <c r="Z72" s="272"/>
      <c r="AA72" s="272">
        <v>4278</v>
      </c>
      <c r="AB72" s="272"/>
      <c r="AC72" s="272"/>
      <c r="AD72" s="272"/>
      <c r="AE72" s="272"/>
      <c r="AF72" s="272"/>
      <c r="AG72" s="272"/>
      <c r="AH72" s="272"/>
      <c r="AI72" s="272"/>
    </row>
    <row r="73" spans="1:35" s="3" customFormat="1" ht="18.600000000000001" thickBot="1" x14ac:dyDescent="0.4">
      <c r="A73" s="233" t="s">
        <v>68</v>
      </c>
      <c r="B73" s="51" t="s">
        <v>246</v>
      </c>
      <c r="C73" s="243">
        <v>58382.121986901293</v>
      </c>
      <c r="D73" s="214"/>
      <c r="E73" s="243"/>
      <c r="F73" s="243">
        <f t="shared" si="0"/>
        <v>58382</v>
      </c>
      <c r="G73" s="243">
        <f t="shared" si="1"/>
        <v>0</v>
      </c>
      <c r="H73" s="275"/>
      <c r="I73" s="272"/>
      <c r="J73" s="272"/>
      <c r="K73" s="272"/>
      <c r="L73" s="272"/>
      <c r="M73" s="272">
        <v>692</v>
      </c>
      <c r="N73" s="272"/>
      <c r="O73" s="272">
        <v>5865</v>
      </c>
      <c r="P73" s="272"/>
      <c r="Q73" s="272">
        <v>14738</v>
      </c>
      <c r="R73" s="272">
        <v>10652</v>
      </c>
      <c r="S73" s="245">
        <v>741</v>
      </c>
      <c r="T73" s="272">
        <v>14655</v>
      </c>
      <c r="U73" s="272">
        <v>915</v>
      </c>
      <c r="V73" s="272"/>
      <c r="W73" s="272">
        <v>3452</v>
      </c>
      <c r="X73" s="272">
        <v>1900</v>
      </c>
      <c r="Y73" s="272">
        <v>4165</v>
      </c>
      <c r="Z73" s="272">
        <v>607</v>
      </c>
      <c r="AA73" s="272"/>
      <c r="AB73" s="272"/>
      <c r="AC73" s="272"/>
      <c r="AD73" s="272"/>
      <c r="AE73" s="272"/>
      <c r="AF73" s="272"/>
      <c r="AG73" s="272"/>
      <c r="AH73" s="272"/>
      <c r="AI73" s="272"/>
    </row>
    <row r="74" spans="1:35" s="3" customFormat="1" ht="18.600000000000001" thickBot="1" x14ac:dyDescent="0.4">
      <c r="A74" s="233" t="s">
        <v>69</v>
      </c>
      <c r="B74" s="51" t="s">
        <v>419</v>
      </c>
      <c r="C74" s="243">
        <v>0</v>
      </c>
      <c r="D74" s="214"/>
      <c r="E74" s="243"/>
      <c r="F74" s="243">
        <f t="shared" si="0"/>
        <v>0</v>
      </c>
      <c r="G74" s="243">
        <f t="shared" si="1"/>
        <v>0</v>
      </c>
      <c r="H74" s="275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24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</row>
    <row r="75" spans="1:35" s="3" customFormat="1" ht="18.600000000000001" thickBot="1" x14ac:dyDescent="0.4">
      <c r="A75" s="233" t="s">
        <v>70</v>
      </c>
      <c r="B75" s="51" t="s">
        <v>508</v>
      </c>
      <c r="C75" s="243">
        <v>0</v>
      </c>
      <c r="D75" s="214"/>
      <c r="E75" s="243"/>
      <c r="F75" s="243">
        <f t="shared" si="0"/>
        <v>0</v>
      </c>
      <c r="G75" s="243">
        <f t="shared" si="1"/>
        <v>0</v>
      </c>
      <c r="H75" s="275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24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</row>
    <row r="76" spans="1:35" s="3" customFormat="1" ht="18.600000000000001" thickBot="1" x14ac:dyDescent="0.4">
      <c r="A76" s="233" t="s">
        <v>71</v>
      </c>
      <c r="B76" s="51" t="s">
        <v>249</v>
      </c>
      <c r="C76" s="243">
        <v>1847.900992661564</v>
      </c>
      <c r="D76" s="214">
        <v>9060</v>
      </c>
      <c r="E76" s="243">
        <f>IF(ISBLANK(D76),,C76)</f>
        <v>1847.900992661564</v>
      </c>
      <c r="F76" s="243">
        <f t="shared" si="0"/>
        <v>0</v>
      </c>
      <c r="G76" s="243">
        <f t="shared" si="1"/>
        <v>0</v>
      </c>
      <c r="H76" s="275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24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</row>
    <row r="77" spans="1:35" s="3" customFormat="1" ht="18.600000000000001" thickBot="1" x14ac:dyDescent="0.4">
      <c r="A77" s="233" t="s">
        <v>72</v>
      </c>
      <c r="B77" s="51" t="s">
        <v>250</v>
      </c>
      <c r="C77" s="243">
        <v>1385.9257444961729</v>
      </c>
      <c r="D77" s="214">
        <v>9060</v>
      </c>
      <c r="E77" s="243">
        <f>IF(ISBLANK(D77),,C77)</f>
        <v>1385.9257444961729</v>
      </c>
      <c r="F77" s="243">
        <f t="shared" si="0"/>
        <v>0</v>
      </c>
      <c r="G77" s="243">
        <f t="shared" si="1"/>
        <v>0</v>
      </c>
      <c r="H77" s="275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24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</row>
    <row r="78" spans="1:35" s="3" customFormat="1" ht="18.600000000000001" thickBot="1" x14ac:dyDescent="0.4">
      <c r="A78" s="233" t="s">
        <v>73</v>
      </c>
      <c r="B78" s="51" t="s">
        <v>251</v>
      </c>
      <c r="C78" s="243">
        <v>0</v>
      </c>
      <c r="D78" s="214"/>
      <c r="E78" s="243"/>
      <c r="F78" s="243">
        <f t="shared" ref="F78:F141" si="2">SUM(I78:AI78)</f>
        <v>0</v>
      </c>
      <c r="G78" s="243">
        <f t="shared" ref="G78:G141" si="3">ROUND(IF(ISBLANK(E78),C78-F78,C78-E78),0)</f>
        <v>0</v>
      </c>
      <c r="H78" s="275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24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</row>
    <row r="79" spans="1:35" s="3" customFormat="1" ht="18.600000000000001" thickBot="1" x14ac:dyDescent="0.4">
      <c r="A79" s="233" t="s">
        <v>74</v>
      </c>
      <c r="B79" s="51" t="s">
        <v>252</v>
      </c>
      <c r="C79" s="243">
        <v>96206.34543044267</v>
      </c>
      <c r="D79" s="214"/>
      <c r="E79" s="243"/>
      <c r="F79" s="243">
        <f t="shared" si="2"/>
        <v>96206</v>
      </c>
      <c r="G79" s="243">
        <f t="shared" si="3"/>
        <v>0</v>
      </c>
      <c r="H79" s="275"/>
      <c r="I79" s="272"/>
      <c r="J79" s="272"/>
      <c r="K79" s="272"/>
      <c r="L79" s="272"/>
      <c r="M79" s="272"/>
      <c r="N79" s="272">
        <v>51415</v>
      </c>
      <c r="O79" s="272"/>
      <c r="P79" s="272"/>
      <c r="Q79" s="272"/>
      <c r="R79" s="272">
        <v>30691</v>
      </c>
      <c r="S79" s="224"/>
      <c r="T79" s="272"/>
      <c r="U79" s="272"/>
      <c r="V79" s="272"/>
      <c r="W79" s="272">
        <v>14100</v>
      </c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</row>
    <row r="80" spans="1:35" s="3" customFormat="1" ht="18.600000000000001" thickBot="1" x14ac:dyDescent="0.4">
      <c r="A80" s="233" t="s">
        <v>75</v>
      </c>
      <c r="B80" s="51" t="s">
        <v>253</v>
      </c>
      <c r="C80" s="243">
        <v>47756.691279097293</v>
      </c>
      <c r="D80" s="214"/>
      <c r="E80" s="243"/>
      <c r="F80" s="243">
        <f t="shared" si="2"/>
        <v>47757</v>
      </c>
      <c r="G80" s="243">
        <f t="shared" si="3"/>
        <v>0</v>
      </c>
      <c r="H80" s="275"/>
      <c r="I80" s="272"/>
      <c r="J80" s="272">
        <v>233</v>
      </c>
      <c r="K80" s="272">
        <v>4391</v>
      </c>
      <c r="L80" s="272">
        <v>12279</v>
      </c>
      <c r="M80" s="272">
        <v>2656</v>
      </c>
      <c r="N80" s="272">
        <v>1558</v>
      </c>
      <c r="O80" s="272">
        <v>1894</v>
      </c>
      <c r="P80" s="272">
        <v>1568</v>
      </c>
      <c r="Q80" s="272">
        <v>1568</v>
      </c>
      <c r="R80" s="272">
        <v>1891</v>
      </c>
      <c r="S80" s="224"/>
      <c r="T80" s="272">
        <v>10609</v>
      </c>
      <c r="U80" s="272"/>
      <c r="V80" s="272">
        <v>1964</v>
      </c>
      <c r="W80" s="272"/>
      <c r="X80" s="272"/>
      <c r="Y80" s="272">
        <v>7146</v>
      </c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</row>
    <row r="81" spans="1:35" s="3" customFormat="1" ht="18.600000000000001" thickBot="1" x14ac:dyDescent="0.4">
      <c r="A81" s="233" t="s">
        <v>76</v>
      </c>
      <c r="B81" s="51" t="s">
        <v>254</v>
      </c>
      <c r="C81" s="243">
        <v>11549.381204134776</v>
      </c>
      <c r="D81" s="214"/>
      <c r="E81" s="243"/>
      <c r="F81" s="243">
        <f t="shared" si="2"/>
        <v>11549</v>
      </c>
      <c r="G81" s="243">
        <f t="shared" si="3"/>
        <v>0</v>
      </c>
      <c r="H81" s="275"/>
      <c r="I81" s="272"/>
      <c r="J81" s="272"/>
      <c r="K81" s="272"/>
      <c r="L81" s="272"/>
      <c r="M81" s="272"/>
      <c r="N81" s="272"/>
      <c r="O81" s="272"/>
      <c r="P81" s="272"/>
      <c r="Q81" s="272"/>
      <c r="R81" s="272">
        <v>11549</v>
      </c>
      <c r="S81" s="224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</row>
    <row r="82" spans="1:35" s="3" customFormat="1" ht="18.600000000000001" thickBot="1" x14ac:dyDescent="0.4">
      <c r="A82" s="233" t="s">
        <v>77</v>
      </c>
      <c r="B82" s="51" t="s">
        <v>420</v>
      </c>
      <c r="C82" s="243">
        <v>0</v>
      </c>
      <c r="D82" s="214"/>
      <c r="E82" s="243"/>
      <c r="F82" s="243">
        <f t="shared" si="2"/>
        <v>0</v>
      </c>
      <c r="G82" s="243">
        <f t="shared" si="3"/>
        <v>0</v>
      </c>
      <c r="H82" s="275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24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</row>
    <row r="83" spans="1:35" s="3" customFormat="1" ht="18.600000000000001" thickBot="1" x14ac:dyDescent="0.4">
      <c r="A83" s="233" t="s">
        <v>78</v>
      </c>
      <c r="B83" s="51" t="s">
        <v>256</v>
      </c>
      <c r="C83" s="243">
        <v>2425.3700528683025</v>
      </c>
      <c r="D83" s="214">
        <v>9095</v>
      </c>
      <c r="E83" s="243">
        <f>IF(ISBLANK(D83),,C83)</f>
        <v>2425.3700528683025</v>
      </c>
      <c r="F83" s="243">
        <f t="shared" si="2"/>
        <v>0</v>
      </c>
      <c r="G83" s="243">
        <f t="shared" si="3"/>
        <v>0</v>
      </c>
      <c r="H83" s="275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24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</row>
    <row r="84" spans="1:35" s="3" customFormat="1" ht="18.600000000000001" thickBot="1" x14ac:dyDescent="0.4">
      <c r="A84" s="233" t="s">
        <v>79</v>
      </c>
      <c r="B84" s="51" t="s">
        <v>257</v>
      </c>
      <c r="C84" s="243">
        <v>6525.4003803361484</v>
      </c>
      <c r="D84" s="214">
        <v>9095</v>
      </c>
      <c r="E84" s="243">
        <f>IF(ISBLANK(D84),,C84)</f>
        <v>6525.4003803361484</v>
      </c>
      <c r="F84" s="243">
        <f t="shared" si="2"/>
        <v>0</v>
      </c>
      <c r="G84" s="243">
        <f t="shared" si="3"/>
        <v>0</v>
      </c>
      <c r="H84" s="275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24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</row>
    <row r="85" spans="1:35" s="3" customFormat="1" ht="18.600000000000001" thickBot="1" x14ac:dyDescent="0.4">
      <c r="A85" s="233" t="s">
        <v>80</v>
      </c>
      <c r="B85" s="51" t="s">
        <v>258</v>
      </c>
      <c r="C85" s="243">
        <v>10105.708553617929</v>
      </c>
      <c r="D85" s="214"/>
      <c r="E85" s="243"/>
      <c r="F85" s="243">
        <f t="shared" si="2"/>
        <v>10106</v>
      </c>
      <c r="G85" s="243">
        <f t="shared" si="3"/>
        <v>0</v>
      </c>
      <c r="H85" s="275"/>
      <c r="I85" s="272"/>
      <c r="J85" s="272"/>
      <c r="K85" s="272"/>
      <c r="L85" s="272"/>
      <c r="M85" s="272"/>
      <c r="N85" s="272"/>
      <c r="O85" s="272"/>
      <c r="P85" s="272">
        <v>10106</v>
      </c>
      <c r="Q85" s="272"/>
      <c r="R85" s="272"/>
      <c r="S85" s="224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</row>
    <row r="86" spans="1:35" s="3" customFormat="1" ht="18.600000000000001" thickBot="1" x14ac:dyDescent="0.4">
      <c r="A86" s="233" t="s">
        <v>81</v>
      </c>
      <c r="B86" s="51" t="s">
        <v>421</v>
      </c>
      <c r="C86" s="243">
        <v>57.746906020673876</v>
      </c>
      <c r="D86" s="214">
        <v>9055</v>
      </c>
      <c r="E86" s="243">
        <f>IF(ISBLANK(D86),,C86)</f>
        <v>57.746906020673876</v>
      </c>
      <c r="F86" s="243">
        <f t="shared" si="2"/>
        <v>0</v>
      </c>
      <c r="G86" s="243">
        <f t="shared" si="3"/>
        <v>0</v>
      </c>
      <c r="H86" s="275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24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</row>
    <row r="87" spans="1:35" s="3" customFormat="1" ht="18.600000000000001" thickBot="1" x14ac:dyDescent="0.4">
      <c r="A87" s="233" t="s">
        <v>82</v>
      </c>
      <c r="B87" s="205" t="s">
        <v>260</v>
      </c>
      <c r="C87" s="243">
        <v>404.22834214471715</v>
      </c>
      <c r="D87" s="214">
        <v>9060</v>
      </c>
      <c r="E87" s="243">
        <f>IF(ISBLANK(D87),,C87)</f>
        <v>404.22834214471715</v>
      </c>
      <c r="F87" s="243">
        <f t="shared" si="2"/>
        <v>0</v>
      </c>
      <c r="G87" s="243">
        <f t="shared" si="3"/>
        <v>0</v>
      </c>
      <c r="H87" s="275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24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</row>
    <row r="88" spans="1:35" s="3" customFormat="1" ht="18.600000000000001" thickBot="1" x14ac:dyDescent="0.4">
      <c r="A88" s="233" t="s">
        <v>83</v>
      </c>
      <c r="B88" s="51" t="s">
        <v>261</v>
      </c>
      <c r="C88" s="243">
        <v>57.746906020673876</v>
      </c>
      <c r="D88" s="214">
        <v>9060</v>
      </c>
      <c r="E88" s="243">
        <f>IF(ISBLANK(D88),,C88)</f>
        <v>57.746906020673876</v>
      </c>
      <c r="F88" s="243">
        <f t="shared" si="2"/>
        <v>0</v>
      </c>
      <c r="G88" s="243">
        <f t="shared" si="3"/>
        <v>0</v>
      </c>
      <c r="H88" s="275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24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</row>
    <row r="89" spans="1:35" s="3" customFormat="1" ht="18.600000000000001" thickBot="1" x14ac:dyDescent="0.4">
      <c r="A89" s="233" t="s">
        <v>84</v>
      </c>
      <c r="B89" s="53" t="s">
        <v>262</v>
      </c>
      <c r="C89" s="243">
        <v>1501.419556537521</v>
      </c>
      <c r="D89" s="214">
        <v>9095</v>
      </c>
      <c r="E89" s="243">
        <f>IF(ISBLANK(D89),,C89)</f>
        <v>1501.419556537521</v>
      </c>
      <c r="F89" s="243">
        <f t="shared" si="2"/>
        <v>0</v>
      </c>
      <c r="G89" s="243">
        <f t="shared" si="3"/>
        <v>0</v>
      </c>
      <c r="H89" s="275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24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</row>
    <row r="90" spans="1:35" s="3" customFormat="1" ht="18.600000000000001" thickBot="1" x14ac:dyDescent="0.4">
      <c r="A90" s="233" t="s">
        <v>85</v>
      </c>
      <c r="B90" s="51" t="s">
        <v>263</v>
      </c>
      <c r="C90" s="243">
        <v>363228.0388700387</v>
      </c>
      <c r="D90" s="214"/>
      <c r="E90" s="243"/>
      <c r="F90" s="243">
        <f t="shared" si="2"/>
        <v>363228</v>
      </c>
      <c r="G90" s="243">
        <f t="shared" si="3"/>
        <v>0</v>
      </c>
      <c r="H90" s="275"/>
      <c r="I90" s="272"/>
      <c r="J90" s="272"/>
      <c r="K90" s="272">
        <v>14707</v>
      </c>
      <c r="L90" s="272">
        <v>97241</v>
      </c>
      <c r="M90" s="272">
        <f>15381-121339</f>
        <v>-105958</v>
      </c>
      <c r="N90" s="272"/>
      <c r="O90" s="272">
        <v>28422</v>
      </c>
      <c r="P90" s="272">
        <v>14052</v>
      </c>
      <c r="Q90" s="272">
        <v>112279</v>
      </c>
      <c r="R90" s="272">
        <v>17429</v>
      </c>
      <c r="S90" s="245">
        <v>15014</v>
      </c>
      <c r="T90" s="272">
        <v>25333</v>
      </c>
      <c r="U90" s="272"/>
      <c r="V90" s="272">
        <v>17321</v>
      </c>
      <c r="W90" s="272">
        <v>34071</v>
      </c>
      <c r="X90" s="272">
        <v>93317</v>
      </c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</row>
    <row r="91" spans="1:35" s="3" customFormat="1" ht="18.600000000000001" thickBot="1" x14ac:dyDescent="0.4">
      <c r="A91" s="233" t="s">
        <v>86</v>
      </c>
      <c r="B91" s="51" t="s">
        <v>264</v>
      </c>
      <c r="C91" s="243">
        <v>173.24071806202161</v>
      </c>
      <c r="D91" s="214">
        <v>9075</v>
      </c>
      <c r="E91" s="243">
        <f t="shared" ref="E91" si="4">IF(ISBLANK(D91),,C91)</f>
        <v>173.24071806202161</v>
      </c>
      <c r="F91" s="243">
        <f t="shared" si="2"/>
        <v>0</v>
      </c>
      <c r="G91" s="243">
        <f t="shared" si="3"/>
        <v>0</v>
      </c>
      <c r="H91" s="275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24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</row>
    <row r="92" spans="1:35" s="3" customFormat="1" ht="18.600000000000001" thickBot="1" x14ac:dyDescent="0.4">
      <c r="A92" s="233" t="s">
        <v>87</v>
      </c>
      <c r="B92" s="205" t="s">
        <v>265</v>
      </c>
      <c r="C92" s="243">
        <v>0</v>
      </c>
      <c r="D92" s="214"/>
      <c r="E92" s="243"/>
      <c r="F92" s="243">
        <f t="shared" si="2"/>
        <v>0</v>
      </c>
      <c r="G92" s="243">
        <f t="shared" si="3"/>
        <v>0</v>
      </c>
      <c r="H92" s="275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24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</row>
    <row r="93" spans="1:35" s="3" customFormat="1" ht="18.600000000000001" thickBot="1" x14ac:dyDescent="0.4">
      <c r="A93" s="233" t="s">
        <v>88</v>
      </c>
      <c r="B93" s="51" t="s">
        <v>266</v>
      </c>
      <c r="C93" s="243">
        <v>0</v>
      </c>
      <c r="D93" s="214"/>
      <c r="E93" s="243"/>
      <c r="F93" s="243">
        <f t="shared" si="2"/>
        <v>0</v>
      </c>
      <c r="G93" s="243">
        <f t="shared" si="3"/>
        <v>0</v>
      </c>
      <c r="H93" s="275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24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</row>
    <row r="94" spans="1:35" s="3" customFormat="1" ht="18.600000000000001" thickBot="1" x14ac:dyDescent="0.4">
      <c r="A94" s="233" t="s">
        <v>89</v>
      </c>
      <c r="B94" s="51" t="s">
        <v>267</v>
      </c>
      <c r="C94" s="243">
        <v>288.73453010336937</v>
      </c>
      <c r="D94" s="214">
        <v>9025</v>
      </c>
      <c r="E94" s="243">
        <f>IF(ISBLANK(D94),,C94)</f>
        <v>288.73453010336937</v>
      </c>
      <c r="F94" s="243">
        <f t="shared" si="2"/>
        <v>0</v>
      </c>
      <c r="G94" s="243">
        <f t="shared" si="3"/>
        <v>0</v>
      </c>
      <c r="H94" s="275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24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</row>
    <row r="95" spans="1:35" s="3" customFormat="1" ht="18.600000000000001" thickBot="1" x14ac:dyDescent="0.4">
      <c r="A95" s="233" t="s">
        <v>90</v>
      </c>
      <c r="B95" s="51" t="s">
        <v>268</v>
      </c>
      <c r="C95" s="243">
        <v>750.70977826876049</v>
      </c>
      <c r="D95" s="214">
        <v>9025</v>
      </c>
      <c r="E95" s="243">
        <f>IF(ISBLANK(D95),,C95)</f>
        <v>750.70977826876049</v>
      </c>
      <c r="F95" s="243">
        <f t="shared" si="2"/>
        <v>0</v>
      </c>
      <c r="G95" s="243">
        <f t="shared" si="3"/>
        <v>0</v>
      </c>
      <c r="H95" s="275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24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</row>
    <row r="96" spans="1:35" s="3" customFormat="1" ht="18.600000000000001" thickBot="1" x14ac:dyDescent="0.4">
      <c r="A96" s="233" t="s">
        <v>91</v>
      </c>
      <c r="B96" s="51" t="s">
        <v>269</v>
      </c>
      <c r="C96" s="243">
        <v>1905.6478986822381</v>
      </c>
      <c r="D96" s="214">
        <v>9025</v>
      </c>
      <c r="E96" s="243">
        <f>IF(ISBLANK(D96),,C96)</f>
        <v>1905.6478986822381</v>
      </c>
      <c r="F96" s="243">
        <f t="shared" si="2"/>
        <v>0</v>
      </c>
      <c r="G96" s="243">
        <f t="shared" si="3"/>
        <v>0</v>
      </c>
      <c r="H96" s="275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24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</row>
    <row r="97" spans="1:35" s="3" customFormat="1" ht="18.600000000000001" thickBot="1" x14ac:dyDescent="0.4">
      <c r="A97" s="233" t="s">
        <v>92</v>
      </c>
      <c r="B97" s="51" t="s">
        <v>270</v>
      </c>
      <c r="C97" s="243">
        <v>9990.2147415765812</v>
      </c>
      <c r="D97" s="214">
        <v>9025</v>
      </c>
      <c r="E97" s="243">
        <f>IF(ISBLANK(D97),,C97)</f>
        <v>9990.2147415765812</v>
      </c>
      <c r="F97" s="243">
        <f t="shared" si="2"/>
        <v>0</v>
      </c>
      <c r="G97" s="243">
        <f t="shared" si="3"/>
        <v>0</v>
      </c>
      <c r="H97" s="275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24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</row>
    <row r="98" spans="1:35" s="3" customFormat="1" ht="18.600000000000001" thickBot="1" x14ac:dyDescent="0.4">
      <c r="A98" s="233" t="s">
        <v>93</v>
      </c>
      <c r="B98" s="51" t="s">
        <v>271</v>
      </c>
      <c r="C98" s="243">
        <v>23502.990750414268</v>
      </c>
      <c r="D98" s="214"/>
      <c r="E98" s="243"/>
      <c r="F98" s="243">
        <f t="shared" si="2"/>
        <v>23503</v>
      </c>
      <c r="G98" s="243">
        <f t="shared" si="3"/>
        <v>0</v>
      </c>
      <c r="H98" s="275"/>
      <c r="I98" s="272"/>
      <c r="J98" s="272"/>
      <c r="K98" s="272"/>
      <c r="L98" s="272"/>
      <c r="M98" s="272"/>
      <c r="N98" s="272"/>
      <c r="O98" s="272"/>
      <c r="P98" s="272">
        <v>171</v>
      </c>
      <c r="Q98" s="272">
        <v>2987</v>
      </c>
      <c r="R98" s="272">
        <v>3052</v>
      </c>
      <c r="S98" s="245">
        <v>6075</v>
      </c>
      <c r="T98" s="272"/>
      <c r="U98" s="272"/>
      <c r="V98" s="272">
        <v>4704</v>
      </c>
      <c r="W98" s="272"/>
      <c r="X98" s="272">
        <v>6514</v>
      </c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</row>
    <row r="99" spans="1:35" s="3" customFormat="1" ht="18.600000000000001" thickBot="1" x14ac:dyDescent="0.4">
      <c r="A99" s="233" t="s">
        <v>94</v>
      </c>
      <c r="B99" s="51" t="s">
        <v>272</v>
      </c>
      <c r="C99" s="243">
        <f>10683+SUMIF(D13:D201,"1520",E13:E201)+1</f>
        <v>32108.102133670011</v>
      </c>
      <c r="D99" s="214"/>
      <c r="E99" s="243"/>
      <c r="F99" s="243">
        <f t="shared" si="2"/>
        <v>32108</v>
      </c>
      <c r="G99" s="243">
        <f t="shared" si="3"/>
        <v>0</v>
      </c>
      <c r="H99" s="275"/>
      <c r="I99" s="272"/>
      <c r="J99" s="272"/>
      <c r="K99" s="272"/>
      <c r="L99" s="272"/>
      <c r="M99" s="272"/>
      <c r="N99" s="272"/>
      <c r="O99" s="272"/>
      <c r="P99" s="272">
        <v>260</v>
      </c>
      <c r="Q99" s="272"/>
      <c r="R99" s="272"/>
      <c r="S99" s="224">
        <f>8072+1559</f>
        <v>9631</v>
      </c>
      <c r="T99" s="272"/>
      <c r="U99" s="272">
        <v>3232</v>
      </c>
      <c r="V99" s="272"/>
      <c r="W99" s="272"/>
      <c r="X99" s="272"/>
      <c r="Y99" s="272">
        <v>18984</v>
      </c>
      <c r="Z99" s="272"/>
      <c r="AA99" s="272"/>
      <c r="AB99" s="272"/>
      <c r="AC99" s="272"/>
      <c r="AD99" s="272"/>
      <c r="AE99" s="272"/>
      <c r="AF99" s="272"/>
      <c r="AG99" s="272"/>
      <c r="AH99" s="272"/>
      <c r="AI99" s="272">
        <v>1</v>
      </c>
    </row>
    <row r="100" spans="1:35" s="3" customFormat="1" ht="18.600000000000001" thickBot="1" x14ac:dyDescent="0.4">
      <c r="A100" s="233" t="s">
        <v>95</v>
      </c>
      <c r="B100" s="51" t="s">
        <v>273</v>
      </c>
      <c r="C100" s="243">
        <v>1154.9381204134775</v>
      </c>
      <c r="D100" s="214">
        <v>1520</v>
      </c>
      <c r="E100" s="243">
        <f>IF(ISBLANK(D100),,C100)</f>
        <v>1154.9381204134775</v>
      </c>
      <c r="F100" s="243">
        <f t="shared" si="2"/>
        <v>0</v>
      </c>
      <c r="G100" s="243">
        <f t="shared" si="3"/>
        <v>0</v>
      </c>
      <c r="H100" s="275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24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</row>
    <row r="101" spans="1:35" s="3" customFormat="1" ht="18.600000000000001" thickBot="1" x14ac:dyDescent="0.4">
      <c r="A101" s="233" t="s">
        <v>96</v>
      </c>
      <c r="B101" s="51" t="s">
        <v>274</v>
      </c>
      <c r="C101" s="243">
        <v>1559.1664625581948</v>
      </c>
      <c r="D101" s="214">
        <v>1520</v>
      </c>
      <c r="E101" s="243">
        <f>IF(ISBLANK(D101),,C101)</f>
        <v>1559.1664625581948</v>
      </c>
      <c r="F101" s="243">
        <f t="shared" si="2"/>
        <v>0</v>
      </c>
      <c r="G101" s="243">
        <f t="shared" si="3"/>
        <v>0</v>
      </c>
      <c r="H101" s="275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24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</row>
    <row r="102" spans="1:35" s="3" customFormat="1" ht="18.600000000000001" thickBot="1" x14ac:dyDescent="0.4">
      <c r="A102" s="233" t="s">
        <v>97</v>
      </c>
      <c r="B102" s="51" t="s">
        <v>275</v>
      </c>
      <c r="C102" s="243">
        <v>118438.90424840213</v>
      </c>
      <c r="D102" s="214"/>
      <c r="E102" s="243"/>
      <c r="F102" s="243">
        <f t="shared" si="2"/>
        <v>118439</v>
      </c>
      <c r="G102" s="243">
        <f t="shared" si="3"/>
        <v>0</v>
      </c>
      <c r="H102" s="275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24"/>
      <c r="T102" s="272">
        <v>18512</v>
      </c>
      <c r="U102" s="272"/>
      <c r="V102" s="272"/>
      <c r="W102" s="272"/>
      <c r="X102" s="272">
        <f>23159+24555</f>
        <v>47714</v>
      </c>
      <c r="Y102" s="272"/>
      <c r="Z102" s="272"/>
      <c r="AA102" s="272">
        <v>52213</v>
      </c>
      <c r="AB102" s="272"/>
      <c r="AC102" s="272"/>
      <c r="AD102" s="272"/>
      <c r="AE102" s="272"/>
      <c r="AF102" s="272"/>
      <c r="AG102" s="272"/>
      <c r="AH102" s="272"/>
      <c r="AI102" s="272"/>
    </row>
    <row r="103" spans="1:35" s="3" customFormat="1" ht="18.600000000000001" thickBot="1" x14ac:dyDescent="0.4">
      <c r="A103" s="233" t="s">
        <v>98</v>
      </c>
      <c r="B103" s="51" t="s">
        <v>276</v>
      </c>
      <c r="C103" s="243">
        <v>30490.366378915809</v>
      </c>
      <c r="D103" s="214"/>
      <c r="E103" s="243"/>
      <c r="F103" s="243">
        <f t="shared" si="2"/>
        <v>30490</v>
      </c>
      <c r="G103" s="243">
        <f t="shared" si="3"/>
        <v>0</v>
      </c>
      <c r="H103" s="275"/>
      <c r="I103" s="272"/>
      <c r="J103" s="272"/>
      <c r="K103" s="272">
        <v>2569</v>
      </c>
      <c r="L103" s="272">
        <v>1242</v>
      </c>
      <c r="M103" s="272">
        <v>2569</v>
      </c>
      <c r="N103" s="272">
        <v>2570</v>
      </c>
      <c r="O103" s="272">
        <v>3066</v>
      </c>
      <c r="P103" s="272">
        <v>2587</v>
      </c>
      <c r="Q103" s="272">
        <v>2586</v>
      </c>
      <c r="R103" s="272">
        <v>2586</v>
      </c>
      <c r="S103" s="245">
        <v>2587</v>
      </c>
      <c r="T103" s="272">
        <v>3203</v>
      </c>
      <c r="U103" s="272">
        <v>2418</v>
      </c>
      <c r="V103" s="272">
        <v>2055</v>
      </c>
      <c r="W103" s="272">
        <v>452</v>
      </c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</row>
    <row r="104" spans="1:35" s="3" customFormat="1" ht="18.600000000000001" thickBot="1" x14ac:dyDescent="0.4">
      <c r="A104" s="233" t="s">
        <v>99</v>
      </c>
      <c r="B104" s="51" t="s">
        <v>277</v>
      </c>
      <c r="C104" s="243">
        <v>9990.2147415765812</v>
      </c>
      <c r="D104" s="214">
        <v>9035</v>
      </c>
      <c r="E104" s="243">
        <f t="shared" ref="E104:E109" si="5">IF(ISBLANK(D104),,C104)</f>
        <v>9990.2147415765812</v>
      </c>
      <c r="F104" s="243">
        <f t="shared" si="2"/>
        <v>0</v>
      </c>
      <c r="G104" s="243">
        <f t="shared" si="3"/>
        <v>0</v>
      </c>
      <c r="H104" s="275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24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</row>
    <row r="105" spans="1:35" s="3" customFormat="1" ht="18.600000000000001" thickBot="1" x14ac:dyDescent="0.4">
      <c r="A105" s="233" t="s">
        <v>100</v>
      </c>
      <c r="B105" s="51" t="s">
        <v>278</v>
      </c>
      <c r="C105" s="243">
        <v>2829.5983950130199</v>
      </c>
      <c r="D105" s="214">
        <v>9060</v>
      </c>
      <c r="E105" s="243">
        <f t="shared" si="5"/>
        <v>2829.5983950130199</v>
      </c>
      <c r="F105" s="243">
        <f t="shared" si="2"/>
        <v>0</v>
      </c>
      <c r="G105" s="243">
        <f t="shared" si="3"/>
        <v>0</v>
      </c>
      <c r="H105" s="275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24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</row>
    <row r="106" spans="1:35" s="3" customFormat="1" ht="18.600000000000001" thickBot="1" x14ac:dyDescent="0.4">
      <c r="A106" s="233" t="s">
        <v>101</v>
      </c>
      <c r="B106" s="51" t="s">
        <v>279</v>
      </c>
      <c r="C106" s="243">
        <v>115.49381204134775</v>
      </c>
      <c r="D106" s="214">
        <v>9060</v>
      </c>
      <c r="E106" s="243">
        <f t="shared" si="5"/>
        <v>115.49381204134775</v>
      </c>
      <c r="F106" s="243">
        <f t="shared" si="2"/>
        <v>0</v>
      </c>
      <c r="G106" s="243">
        <f t="shared" si="3"/>
        <v>0</v>
      </c>
      <c r="H106" s="275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24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</row>
    <row r="107" spans="1:35" s="3" customFormat="1" ht="18.600000000000001" thickBot="1" x14ac:dyDescent="0.4">
      <c r="A107" s="233" t="s">
        <v>102</v>
      </c>
      <c r="B107" s="51" t="s">
        <v>280</v>
      </c>
      <c r="C107" s="243">
        <v>346.48143612404323</v>
      </c>
      <c r="D107" s="214">
        <v>9060</v>
      </c>
      <c r="E107" s="243">
        <f t="shared" si="5"/>
        <v>346.48143612404323</v>
      </c>
      <c r="F107" s="243">
        <f t="shared" si="2"/>
        <v>0</v>
      </c>
      <c r="G107" s="243">
        <f t="shared" si="3"/>
        <v>0</v>
      </c>
      <c r="H107" s="275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24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</row>
    <row r="108" spans="1:35" s="3" customFormat="1" ht="18.600000000000001" thickBot="1" x14ac:dyDescent="0.4">
      <c r="A108" s="233" t="s">
        <v>103</v>
      </c>
      <c r="B108" s="51" t="s">
        <v>281</v>
      </c>
      <c r="C108" s="243">
        <v>173.24071806202161</v>
      </c>
      <c r="D108" s="214">
        <v>9060</v>
      </c>
      <c r="E108" s="243">
        <f t="shared" si="5"/>
        <v>173.24071806202161</v>
      </c>
      <c r="F108" s="243">
        <f t="shared" si="2"/>
        <v>0</v>
      </c>
      <c r="G108" s="243">
        <f t="shared" si="3"/>
        <v>0</v>
      </c>
      <c r="H108" s="275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24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</row>
    <row r="109" spans="1:35" s="3" customFormat="1" ht="18.600000000000001" thickBot="1" x14ac:dyDescent="0.4">
      <c r="A109" s="233" t="s">
        <v>104</v>
      </c>
      <c r="B109" s="51" t="s">
        <v>282</v>
      </c>
      <c r="C109" s="243">
        <v>115.49381204134775</v>
      </c>
      <c r="D109" s="214">
        <v>9060</v>
      </c>
      <c r="E109" s="243">
        <f t="shared" si="5"/>
        <v>115.49381204134775</v>
      </c>
      <c r="F109" s="243">
        <f t="shared" si="2"/>
        <v>0</v>
      </c>
      <c r="G109" s="243">
        <f t="shared" si="3"/>
        <v>0</v>
      </c>
      <c r="H109" s="275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24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</row>
    <row r="110" spans="1:35" s="3" customFormat="1" ht="18.600000000000001" thickBot="1" x14ac:dyDescent="0.4">
      <c r="A110" s="233" t="s">
        <v>105</v>
      </c>
      <c r="B110" s="51" t="s">
        <v>283</v>
      </c>
      <c r="C110" s="243">
        <v>0</v>
      </c>
      <c r="D110" s="214"/>
      <c r="E110" s="243"/>
      <c r="F110" s="243">
        <f t="shared" si="2"/>
        <v>0</v>
      </c>
      <c r="G110" s="243">
        <f t="shared" si="3"/>
        <v>0</v>
      </c>
      <c r="H110" s="275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24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</row>
    <row r="111" spans="1:35" s="3" customFormat="1" ht="18.600000000000001" thickBot="1" x14ac:dyDescent="0.4">
      <c r="A111" s="233" t="s">
        <v>106</v>
      </c>
      <c r="B111" s="51" t="s">
        <v>284</v>
      </c>
      <c r="C111" s="243">
        <v>0</v>
      </c>
      <c r="D111" s="214"/>
      <c r="E111" s="243"/>
      <c r="F111" s="243">
        <f t="shared" si="2"/>
        <v>0</v>
      </c>
      <c r="G111" s="243">
        <f t="shared" si="3"/>
        <v>0</v>
      </c>
      <c r="H111" s="275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24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</row>
    <row r="112" spans="1:35" s="3" customFormat="1" ht="18.600000000000001" thickBot="1" x14ac:dyDescent="0.4">
      <c r="A112" s="233" t="s">
        <v>107</v>
      </c>
      <c r="B112" s="51" t="s">
        <v>285</v>
      </c>
      <c r="C112" s="243">
        <v>1328.1788384754991</v>
      </c>
      <c r="D112" s="214">
        <v>9025</v>
      </c>
      <c r="E112" s="243">
        <f>IF(ISBLANK(D112),,C112)</f>
        <v>1328.1788384754991</v>
      </c>
      <c r="F112" s="243">
        <f t="shared" si="2"/>
        <v>0</v>
      </c>
      <c r="G112" s="243">
        <f t="shared" si="3"/>
        <v>0</v>
      </c>
      <c r="H112" s="275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24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</row>
    <row r="113" spans="1:35" s="3" customFormat="1" ht="18.600000000000001" thickBot="1" x14ac:dyDescent="0.4">
      <c r="A113" s="233" t="s">
        <v>108</v>
      </c>
      <c r="B113" s="51" t="s">
        <v>286</v>
      </c>
      <c r="C113" s="243">
        <v>0</v>
      </c>
      <c r="D113" s="214"/>
      <c r="E113" s="243"/>
      <c r="F113" s="243">
        <f t="shared" si="2"/>
        <v>0</v>
      </c>
      <c r="G113" s="243">
        <f t="shared" si="3"/>
        <v>0</v>
      </c>
      <c r="H113" s="275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24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</row>
    <row r="114" spans="1:35" s="3" customFormat="1" ht="18.600000000000001" thickBot="1" x14ac:dyDescent="0.4">
      <c r="A114" s="233" t="s">
        <v>109</v>
      </c>
      <c r="B114" s="51" t="s">
        <v>287</v>
      </c>
      <c r="C114" s="243">
        <v>6756.3880044188436</v>
      </c>
      <c r="D114" s="214">
        <v>9035</v>
      </c>
      <c r="E114" s="243">
        <f>IF(ISBLANK(D114),,C114)</f>
        <v>6756.3880044188436</v>
      </c>
      <c r="F114" s="243">
        <f t="shared" si="2"/>
        <v>0</v>
      </c>
      <c r="G114" s="243">
        <f t="shared" si="3"/>
        <v>0</v>
      </c>
      <c r="H114" s="275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24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</row>
    <row r="115" spans="1:35" s="3" customFormat="1" ht="18.600000000000001" thickBot="1" x14ac:dyDescent="0.4">
      <c r="A115" s="233" t="s">
        <v>110</v>
      </c>
      <c r="B115" s="51" t="s">
        <v>509</v>
      </c>
      <c r="C115" s="243">
        <v>0</v>
      </c>
      <c r="D115" s="214"/>
      <c r="E115" s="243"/>
      <c r="F115" s="243">
        <f t="shared" si="2"/>
        <v>0</v>
      </c>
      <c r="G115" s="243">
        <f t="shared" si="3"/>
        <v>0</v>
      </c>
      <c r="H115" s="275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24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</row>
    <row r="116" spans="1:35" s="3" customFormat="1" ht="18.600000000000001" thickBot="1" x14ac:dyDescent="0.4">
      <c r="A116" s="233" t="s">
        <v>111</v>
      </c>
      <c r="B116" s="51" t="s">
        <v>422</v>
      </c>
      <c r="C116" s="243">
        <v>0</v>
      </c>
      <c r="D116" s="214"/>
      <c r="E116" s="243"/>
      <c r="F116" s="243">
        <f t="shared" si="2"/>
        <v>0</v>
      </c>
      <c r="G116" s="243">
        <f t="shared" si="3"/>
        <v>0</v>
      </c>
      <c r="H116" s="275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24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</row>
    <row r="117" spans="1:35" s="3" customFormat="1" ht="18.600000000000001" thickBot="1" x14ac:dyDescent="0.4">
      <c r="A117" s="233" t="s">
        <v>112</v>
      </c>
      <c r="B117" s="51" t="s">
        <v>423</v>
      </c>
      <c r="C117" s="243">
        <v>0</v>
      </c>
      <c r="D117" s="214"/>
      <c r="E117" s="243"/>
      <c r="F117" s="243">
        <f t="shared" si="2"/>
        <v>0</v>
      </c>
      <c r="G117" s="243">
        <f t="shared" si="3"/>
        <v>0</v>
      </c>
      <c r="H117" s="275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24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</row>
    <row r="118" spans="1:35" s="3" customFormat="1" ht="18.600000000000001" thickBot="1" x14ac:dyDescent="0.4">
      <c r="A118" s="233" t="s">
        <v>113</v>
      </c>
      <c r="B118" s="51" t="s">
        <v>424</v>
      </c>
      <c r="C118" s="243">
        <v>0</v>
      </c>
      <c r="D118" s="214"/>
      <c r="E118" s="243"/>
      <c r="F118" s="243">
        <f t="shared" si="2"/>
        <v>0</v>
      </c>
      <c r="G118" s="243">
        <f t="shared" si="3"/>
        <v>0</v>
      </c>
      <c r="H118" s="275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24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</row>
    <row r="119" spans="1:35" s="3" customFormat="1" ht="18.600000000000001" thickBot="1" x14ac:dyDescent="0.4">
      <c r="A119" s="233" t="s">
        <v>114</v>
      </c>
      <c r="B119" s="51" t="s">
        <v>425</v>
      </c>
      <c r="C119" s="243">
        <v>0</v>
      </c>
      <c r="D119" s="214"/>
      <c r="E119" s="243"/>
      <c r="F119" s="243">
        <f t="shared" si="2"/>
        <v>0</v>
      </c>
      <c r="G119" s="243">
        <f t="shared" si="3"/>
        <v>0</v>
      </c>
      <c r="H119" s="275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24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</row>
    <row r="120" spans="1:35" s="3" customFormat="1" ht="18.600000000000001" thickBot="1" x14ac:dyDescent="0.4">
      <c r="A120" s="233" t="s">
        <v>115</v>
      </c>
      <c r="B120" s="51" t="s">
        <v>293</v>
      </c>
      <c r="C120" s="243">
        <v>66351.195017754289</v>
      </c>
      <c r="D120" s="214"/>
      <c r="E120" s="243"/>
      <c r="F120" s="243">
        <f t="shared" si="2"/>
        <v>66351</v>
      </c>
      <c r="G120" s="243">
        <f t="shared" si="3"/>
        <v>0</v>
      </c>
      <c r="H120" s="275"/>
      <c r="I120" s="272"/>
      <c r="J120" s="272"/>
      <c r="K120" s="272">
        <v>6109</v>
      </c>
      <c r="L120" s="272"/>
      <c r="M120" s="272">
        <v>6510</v>
      </c>
      <c r="N120" s="272">
        <v>4051</v>
      </c>
      <c r="O120" s="272">
        <v>13773</v>
      </c>
      <c r="P120" s="272">
        <v>1722</v>
      </c>
      <c r="Q120" s="272">
        <v>11852</v>
      </c>
      <c r="R120" s="272">
        <v>13038</v>
      </c>
      <c r="S120" s="245">
        <v>3223</v>
      </c>
      <c r="T120" s="272"/>
      <c r="U120" s="272"/>
      <c r="V120" s="272"/>
      <c r="W120" s="272">
        <v>250</v>
      </c>
      <c r="X120" s="272"/>
      <c r="Y120" s="272">
        <v>5823</v>
      </c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</row>
    <row r="121" spans="1:35" s="3" customFormat="1" ht="18.600000000000001" thickBot="1" x14ac:dyDescent="0.4">
      <c r="A121" s="233" t="s">
        <v>116</v>
      </c>
      <c r="B121" s="51" t="s">
        <v>294</v>
      </c>
      <c r="C121" s="243">
        <v>0</v>
      </c>
      <c r="D121" s="214"/>
      <c r="E121" s="243"/>
      <c r="F121" s="243">
        <f t="shared" si="2"/>
        <v>0</v>
      </c>
      <c r="G121" s="243">
        <f t="shared" si="3"/>
        <v>0</v>
      </c>
      <c r="H121" s="275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24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</row>
    <row r="122" spans="1:35" s="3" customFormat="1" ht="18.600000000000001" thickBot="1" x14ac:dyDescent="0.4">
      <c r="A122" s="233" t="s">
        <v>117</v>
      </c>
      <c r="B122" s="51" t="s">
        <v>438</v>
      </c>
      <c r="C122" s="243">
        <v>12357.837888424208</v>
      </c>
      <c r="D122" s="214"/>
      <c r="E122" s="243"/>
      <c r="F122" s="243">
        <f t="shared" si="2"/>
        <v>12358</v>
      </c>
      <c r="G122" s="243">
        <f t="shared" si="3"/>
        <v>0</v>
      </c>
      <c r="H122" s="275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24">
        <v>11340</v>
      </c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>
        <v>1018</v>
      </c>
      <c r="AD122" s="272"/>
      <c r="AE122" s="272"/>
      <c r="AF122" s="272"/>
      <c r="AG122" s="272"/>
      <c r="AH122" s="272"/>
      <c r="AI122" s="272"/>
    </row>
    <row r="123" spans="1:35" s="3" customFormat="1" ht="18.600000000000001" thickBot="1" x14ac:dyDescent="0.4">
      <c r="A123" s="233" t="s">
        <v>118</v>
      </c>
      <c r="B123" s="51" t="s">
        <v>296</v>
      </c>
      <c r="C123" s="243">
        <v>8431.0482790183869</v>
      </c>
      <c r="D123" s="214">
        <v>1520</v>
      </c>
      <c r="E123" s="243">
        <f>IF(ISBLANK(D123),,C123)</f>
        <v>8431.0482790183869</v>
      </c>
      <c r="F123" s="243">
        <f t="shared" si="2"/>
        <v>0</v>
      </c>
      <c r="G123" s="243">
        <f t="shared" si="3"/>
        <v>0</v>
      </c>
      <c r="H123" s="275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24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</row>
    <row r="124" spans="1:35" s="3" customFormat="1" ht="18.600000000000001" thickBot="1" x14ac:dyDescent="0.4">
      <c r="A124" s="233" t="s">
        <v>119</v>
      </c>
      <c r="B124" s="51" t="s">
        <v>297</v>
      </c>
      <c r="C124" s="243">
        <v>750.70977826876049</v>
      </c>
      <c r="D124" s="214">
        <v>1520</v>
      </c>
      <c r="E124" s="243">
        <f>IF(ISBLANK(D124),,C124)</f>
        <v>750.70977826876049</v>
      </c>
      <c r="F124" s="243">
        <f t="shared" si="2"/>
        <v>0</v>
      </c>
      <c r="G124" s="243">
        <f t="shared" si="3"/>
        <v>0</v>
      </c>
      <c r="H124" s="275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24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</row>
    <row r="125" spans="1:35" s="3" customFormat="1" ht="18.600000000000001" thickBot="1" x14ac:dyDescent="0.4">
      <c r="A125" s="233" t="s">
        <v>120</v>
      </c>
      <c r="B125" s="51" t="s">
        <v>298</v>
      </c>
      <c r="C125" s="243">
        <v>1674.6602745995424</v>
      </c>
      <c r="D125" s="214">
        <v>1520</v>
      </c>
      <c r="E125" s="243">
        <f>IF(ISBLANK(D125),,C125)</f>
        <v>1674.6602745995424</v>
      </c>
      <c r="F125" s="243">
        <f t="shared" si="2"/>
        <v>0</v>
      </c>
      <c r="G125" s="243">
        <f t="shared" si="3"/>
        <v>0</v>
      </c>
      <c r="H125" s="275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24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</row>
    <row r="126" spans="1:35" s="3" customFormat="1" ht="18.600000000000001" thickBot="1" x14ac:dyDescent="0.4">
      <c r="A126" s="233" t="s">
        <v>121</v>
      </c>
      <c r="B126" s="51" t="s">
        <v>299</v>
      </c>
      <c r="C126" s="243">
        <f>58498+SUMIF(D13:D201,"2180",E13:E201)</f>
        <v>63810.715353901993</v>
      </c>
      <c r="D126" s="214"/>
      <c r="E126" s="243"/>
      <c r="F126" s="243">
        <f t="shared" si="2"/>
        <v>63811</v>
      </c>
      <c r="G126" s="243">
        <f t="shared" si="3"/>
        <v>0</v>
      </c>
      <c r="H126" s="275"/>
      <c r="I126" s="272"/>
      <c r="J126" s="272"/>
      <c r="K126" s="272"/>
      <c r="L126" s="272">
        <v>7968</v>
      </c>
      <c r="M126" s="272">
        <v>6258</v>
      </c>
      <c r="N126" s="272">
        <v>4763</v>
      </c>
      <c r="O126" s="272">
        <v>5867</v>
      </c>
      <c r="P126" s="272">
        <v>5279</v>
      </c>
      <c r="Q126" s="272">
        <v>5181</v>
      </c>
      <c r="R126" s="272">
        <v>4307</v>
      </c>
      <c r="S126" s="245">
        <v>4826</v>
      </c>
      <c r="T126" s="272">
        <v>3869</v>
      </c>
      <c r="U126" s="272">
        <v>4377</v>
      </c>
      <c r="V126" s="272">
        <v>4505</v>
      </c>
      <c r="W126" s="272">
        <v>1298</v>
      </c>
      <c r="X126" s="272">
        <v>5313</v>
      </c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</row>
    <row r="127" spans="1:35" s="3" customFormat="1" ht="18.600000000000001" thickBot="1" x14ac:dyDescent="0.4">
      <c r="A127" s="233" t="s">
        <v>122</v>
      </c>
      <c r="B127" s="51" t="s">
        <v>300</v>
      </c>
      <c r="C127" s="243">
        <v>346.48143612404323</v>
      </c>
      <c r="D127" s="214">
        <v>9050</v>
      </c>
      <c r="E127" s="243">
        <f>IF(ISBLANK(D127),,C127)</f>
        <v>346.48143612404323</v>
      </c>
      <c r="F127" s="243">
        <f t="shared" si="2"/>
        <v>0</v>
      </c>
      <c r="G127" s="243">
        <f t="shared" si="3"/>
        <v>0</v>
      </c>
      <c r="H127" s="275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24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</row>
    <row r="128" spans="1:35" s="3" customFormat="1" ht="18.600000000000001" thickBot="1" x14ac:dyDescent="0.4">
      <c r="A128" s="233" t="s">
        <v>123</v>
      </c>
      <c r="B128" s="51" t="s">
        <v>301</v>
      </c>
      <c r="C128" s="243">
        <v>11953.609546279493</v>
      </c>
      <c r="D128" s="214">
        <v>9035</v>
      </c>
      <c r="E128" s="243">
        <f>IF(ISBLANK(D128),,C128)</f>
        <v>11953.609546279493</v>
      </c>
      <c r="F128" s="243">
        <f t="shared" si="2"/>
        <v>0</v>
      </c>
      <c r="G128" s="243">
        <f t="shared" si="3"/>
        <v>0</v>
      </c>
      <c r="H128" s="275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24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</row>
    <row r="129" spans="1:35" s="3" customFormat="1" ht="18.600000000000001" thickBot="1" x14ac:dyDescent="0.4">
      <c r="A129" s="233" t="s">
        <v>124</v>
      </c>
      <c r="B129" s="51" t="s">
        <v>302</v>
      </c>
      <c r="C129" s="243">
        <v>55494.776685867597</v>
      </c>
      <c r="D129" s="214"/>
      <c r="E129" s="243"/>
      <c r="F129" s="243">
        <f t="shared" si="2"/>
        <v>55495</v>
      </c>
      <c r="G129" s="243">
        <f t="shared" si="3"/>
        <v>0</v>
      </c>
      <c r="H129" s="275"/>
      <c r="I129" s="272"/>
      <c r="J129" s="272"/>
      <c r="K129" s="272">
        <v>6999</v>
      </c>
      <c r="L129" s="272"/>
      <c r="M129" s="272">
        <v>32</v>
      </c>
      <c r="N129" s="272">
        <v>5916</v>
      </c>
      <c r="O129" s="272">
        <v>4050</v>
      </c>
      <c r="P129" s="272">
        <v>6300</v>
      </c>
      <c r="Q129" s="272">
        <v>7216</v>
      </c>
      <c r="R129" s="272">
        <v>5541</v>
      </c>
      <c r="S129" s="245">
        <v>5903</v>
      </c>
      <c r="T129" s="272">
        <v>4917</v>
      </c>
      <c r="U129" s="272">
        <v>2364</v>
      </c>
      <c r="V129" s="272"/>
      <c r="W129" s="272">
        <f>380+4673</f>
        <v>5053</v>
      </c>
      <c r="X129" s="272">
        <v>1204</v>
      </c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</row>
    <row r="130" spans="1:35" s="3" customFormat="1" ht="18.600000000000001" thickBot="1" x14ac:dyDescent="0.4">
      <c r="A130" s="233" t="s">
        <v>125</v>
      </c>
      <c r="B130" s="51" t="s">
        <v>303</v>
      </c>
      <c r="C130" s="243">
        <v>115.49381204134775</v>
      </c>
      <c r="D130" s="214">
        <v>9035</v>
      </c>
      <c r="E130" s="243">
        <f t="shared" ref="E130:E135" si="6">IF(ISBLANK(D130),,C130)</f>
        <v>115.49381204134775</v>
      </c>
      <c r="F130" s="243">
        <f t="shared" si="2"/>
        <v>0</v>
      </c>
      <c r="G130" s="243">
        <f t="shared" si="3"/>
        <v>0</v>
      </c>
      <c r="H130" s="275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24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</row>
    <row r="131" spans="1:35" s="3" customFormat="1" ht="18.600000000000001" thickBot="1" x14ac:dyDescent="0.4">
      <c r="A131" s="233" t="s">
        <v>126</v>
      </c>
      <c r="B131" s="51" t="s">
        <v>304</v>
      </c>
      <c r="C131" s="243">
        <v>5485.9560719640185</v>
      </c>
      <c r="D131" s="214">
        <v>9035</v>
      </c>
      <c r="E131" s="243">
        <f t="shared" si="6"/>
        <v>5485.9560719640185</v>
      </c>
      <c r="F131" s="243">
        <f t="shared" si="2"/>
        <v>0</v>
      </c>
      <c r="G131" s="243">
        <f t="shared" si="3"/>
        <v>0</v>
      </c>
      <c r="H131" s="275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24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</row>
    <row r="132" spans="1:35" s="3" customFormat="1" ht="18.600000000000001" thickBot="1" x14ac:dyDescent="0.4">
      <c r="A132" s="233" t="s">
        <v>127</v>
      </c>
      <c r="B132" s="51" t="s">
        <v>426</v>
      </c>
      <c r="C132" s="243">
        <v>1559.1664625581948</v>
      </c>
      <c r="D132" s="214">
        <v>9075</v>
      </c>
      <c r="E132" s="243">
        <f t="shared" si="6"/>
        <v>1559.1664625581948</v>
      </c>
      <c r="F132" s="243">
        <f t="shared" si="2"/>
        <v>0</v>
      </c>
      <c r="G132" s="243">
        <f t="shared" si="3"/>
        <v>0</v>
      </c>
      <c r="H132" s="275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24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</row>
    <row r="133" spans="1:35" s="3" customFormat="1" ht="18.600000000000001" thickBot="1" x14ac:dyDescent="0.4">
      <c r="A133" s="233" t="s">
        <v>128</v>
      </c>
      <c r="B133" s="51" t="s">
        <v>306</v>
      </c>
      <c r="C133" s="243">
        <v>4100.0303274678454</v>
      </c>
      <c r="D133" s="214">
        <v>9075</v>
      </c>
      <c r="E133" s="243">
        <f t="shared" si="6"/>
        <v>4100.0303274678454</v>
      </c>
      <c r="F133" s="243">
        <f t="shared" si="2"/>
        <v>0</v>
      </c>
      <c r="G133" s="243">
        <f t="shared" si="3"/>
        <v>0</v>
      </c>
      <c r="H133" s="275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24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</row>
    <row r="134" spans="1:35" s="3" customFormat="1" ht="18.600000000000001" thickBot="1" x14ac:dyDescent="0.4">
      <c r="A134" s="233" t="s">
        <v>129</v>
      </c>
      <c r="B134" s="51" t="s">
        <v>307</v>
      </c>
      <c r="C134" s="243">
        <v>1732.4071806202164</v>
      </c>
      <c r="D134" s="214">
        <v>9060</v>
      </c>
      <c r="E134" s="243">
        <f t="shared" si="6"/>
        <v>1732.4071806202164</v>
      </c>
      <c r="F134" s="243">
        <f t="shared" si="2"/>
        <v>0</v>
      </c>
      <c r="G134" s="243">
        <f t="shared" si="3"/>
        <v>0</v>
      </c>
      <c r="H134" s="275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24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</row>
    <row r="135" spans="1:35" s="3" customFormat="1" ht="18.600000000000001" thickBot="1" x14ac:dyDescent="0.4">
      <c r="A135" s="233" t="s">
        <v>130</v>
      </c>
      <c r="B135" s="51" t="s">
        <v>308</v>
      </c>
      <c r="C135" s="243">
        <v>173.24071806202161</v>
      </c>
      <c r="D135" s="214">
        <v>9060</v>
      </c>
      <c r="E135" s="243">
        <f t="shared" si="6"/>
        <v>173.24071806202161</v>
      </c>
      <c r="F135" s="243">
        <f t="shared" si="2"/>
        <v>0</v>
      </c>
      <c r="G135" s="243">
        <f t="shared" si="3"/>
        <v>0</v>
      </c>
      <c r="H135" s="275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24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</row>
    <row r="136" spans="1:35" s="3" customFormat="1" ht="18.600000000000001" thickBot="1" x14ac:dyDescent="0.4">
      <c r="A136" s="233" t="s">
        <v>131</v>
      </c>
      <c r="B136" s="51" t="s">
        <v>309</v>
      </c>
      <c r="C136" s="243">
        <v>0</v>
      </c>
      <c r="D136" s="214"/>
      <c r="E136" s="243"/>
      <c r="F136" s="243">
        <f t="shared" si="2"/>
        <v>0</v>
      </c>
      <c r="G136" s="243">
        <f t="shared" si="3"/>
        <v>0</v>
      </c>
      <c r="H136" s="275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24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</row>
    <row r="137" spans="1:35" s="3" customFormat="1" ht="18.600000000000001" thickBot="1" x14ac:dyDescent="0.4">
      <c r="A137" s="233" t="s">
        <v>132</v>
      </c>
      <c r="B137" s="51" t="s">
        <v>510</v>
      </c>
      <c r="C137" s="243">
        <v>0</v>
      </c>
      <c r="D137" s="214"/>
      <c r="E137" s="243"/>
      <c r="F137" s="243">
        <f t="shared" si="2"/>
        <v>0</v>
      </c>
      <c r="G137" s="243">
        <f t="shared" si="3"/>
        <v>0</v>
      </c>
      <c r="H137" s="275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24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</row>
    <row r="138" spans="1:35" s="3" customFormat="1" ht="18.600000000000001" thickBot="1" x14ac:dyDescent="0.4">
      <c r="A138" s="233" t="s">
        <v>133</v>
      </c>
      <c r="B138" s="51" t="s">
        <v>511</v>
      </c>
      <c r="C138" s="243">
        <v>0</v>
      </c>
      <c r="D138" s="214"/>
      <c r="E138" s="243"/>
      <c r="F138" s="243">
        <f t="shared" si="2"/>
        <v>0</v>
      </c>
      <c r="G138" s="243">
        <f t="shared" si="3"/>
        <v>0</v>
      </c>
      <c r="H138" s="275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24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</row>
    <row r="139" spans="1:35" s="3" customFormat="1" ht="18.600000000000001" thickBot="1" x14ac:dyDescent="0.4">
      <c r="A139" s="233" t="s">
        <v>134</v>
      </c>
      <c r="B139" s="51" t="s">
        <v>512</v>
      </c>
      <c r="C139" s="243">
        <v>0</v>
      </c>
      <c r="D139" s="214"/>
      <c r="E139" s="243"/>
      <c r="F139" s="243">
        <f t="shared" si="2"/>
        <v>0</v>
      </c>
      <c r="G139" s="243">
        <f t="shared" si="3"/>
        <v>0</v>
      </c>
      <c r="H139" s="275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24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</row>
    <row r="140" spans="1:35" s="3" customFormat="1" ht="18.600000000000001" thickBot="1" x14ac:dyDescent="0.4">
      <c r="A140" s="233" t="s">
        <v>135</v>
      </c>
      <c r="B140" s="51" t="s">
        <v>513</v>
      </c>
      <c r="C140" s="243">
        <v>0</v>
      </c>
      <c r="D140" s="214"/>
      <c r="E140" s="243"/>
      <c r="F140" s="243">
        <f t="shared" si="2"/>
        <v>0</v>
      </c>
      <c r="G140" s="243">
        <f t="shared" si="3"/>
        <v>0</v>
      </c>
      <c r="H140" s="275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24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</row>
    <row r="141" spans="1:35" s="3" customFormat="1" ht="18.600000000000001" thickBot="1" x14ac:dyDescent="0.4">
      <c r="A141" s="233" t="s">
        <v>136</v>
      </c>
      <c r="B141" s="51" t="s">
        <v>427</v>
      </c>
      <c r="C141" s="243">
        <v>0</v>
      </c>
      <c r="D141" s="214"/>
      <c r="E141" s="243"/>
      <c r="F141" s="243">
        <f t="shared" si="2"/>
        <v>0</v>
      </c>
      <c r="G141" s="243">
        <f t="shared" si="3"/>
        <v>0</v>
      </c>
      <c r="H141" s="275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24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</row>
    <row r="142" spans="1:35" s="3" customFormat="1" ht="18.600000000000001" thickBot="1" x14ac:dyDescent="0.4">
      <c r="A142" s="233" t="s">
        <v>137</v>
      </c>
      <c r="B142" s="51" t="s">
        <v>315</v>
      </c>
      <c r="C142" s="243">
        <v>7564.8446887082773</v>
      </c>
      <c r="D142" s="214">
        <v>9040</v>
      </c>
      <c r="E142" s="243">
        <f>IF(ISBLANK(D142),,C142)</f>
        <v>7564.8446887082773</v>
      </c>
      <c r="F142" s="243">
        <f t="shared" ref="F142:F201" si="7">SUM(I142:AI142)</f>
        <v>0</v>
      </c>
      <c r="G142" s="243">
        <f t="shared" ref="G142:G201" si="8">ROUND(IF(ISBLANK(E142),C142-F142,C142-E142),0)</f>
        <v>0</v>
      </c>
      <c r="H142" s="275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24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</row>
    <row r="143" spans="1:35" s="3" customFormat="1" ht="18.600000000000001" thickBot="1" x14ac:dyDescent="0.4">
      <c r="A143" s="233" t="s">
        <v>138</v>
      </c>
      <c r="B143" s="51" t="s">
        <v>514</v>
      </c>
      <c r="C143" s="243">
        <v>0</v>
      </c>
      <c r="D143" s="214"/>
      <c r="E143" s="243"/>
      <c r="F143" s="243">
        <f t="shared" si="7"/>
        <v>0</v>
      </c>
      <c r="G143" s="243">
        <f t="shared" si="8"/>
        <v>0</v>
      </c>
      <c r="H143" s="275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24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</row>
    <row r="144" spans="1:35" s="3" customFormat="1" ht="18.600000000000001" thickBot="1" x14ac:dyDescent="0.4">
      <c r="A144" s="233" t="s">
        <v>139</v>
      </c>
      <c r="B144" s="51" t="s">
        <v>515</v>
      </c>
      <c r="C144" s="243">
        <v>0</v>
      </c>
      <c r="D144" s="214"/>
      <c r="E144" s="243"/>
      <c r="F144" s="243">
        <f t="shared" si="7"/>
        <v>0</v>
      </c>
      <c r="G144" s="243">
        <f t="shared" si="8"/>
        <v>0</v>
      </c>
      <c r="H144" s="275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24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</row>
    <row r="145" spans="1:35" s="3" customFormat="1" ht="18.600000000000001" thickBot="1" x14ac:dyDescent="0.4">
      <c r="A145" s="233" t="s">
        <v>140</v>
      </c>
      <c r="B145" s="51" t="s">
        <v>318</v>
      </c>
      <c r="C145" s="243">
        <v>1270.4319324548253</v>
      </c>
      <c r="D145" s="214">
        <v>9075</v>
      </c>
      <c r="E145" s="243">
        <f>IF(ISBLANK(D145),,C145)</f>
        <v>1270.4319324548253</v>
      </c>
      <c r="F145" s="243">
        <f t="shared" si="7"/>
        <v>0</v>
      </c>
      <c r="G145" s="243">
        <f t="shared" si="8"/>
        <v>0</v>
      </c>
      <c r="H145" s="275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24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</row>
    <row r="146" spans="1:35" s="3" customFormat="1" ht="18.600000000000001" thickBot="1" x14ac:dyDescent="0.4">
      <c r="A146" s="233" t="s">
        <v>141</v>
      </c>
      <c r="B146" s="51" t="s">
        <v>319</v>
      </c>
      <c r="C146" s="243">
        <v>6583.1472863568215</v>
      </c>
      <c r="D146" s="214">
        <v>9075</v>
      </c>
      <c r="E146" s="243">
        <f>IF(ISBLANK(D146),,C146)</f>
        <v>6583.1472863568215</v>
      </c>
      <c r="F146" s="243">
        <f t="shared" si="7"/>
        <v>0</v>
      </c>
      <c r="G146" s="243">
        <f t="shared" si="8"/>
        <v>0</v>
      </c>
      <c r="H146" s="275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24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</row>
    <row r="147" spans="1:35" s="3" customFormat="1" ht="18.600000000000001" thickBot="1" x14ac:dyDescent="0.4">
      <c r="A147" s="233" t="s">
        <v>142</v>
      </c>
      <c r="B147" s="51" t="s">
        <v>320</v>
      </c>
      <c r="C147" s="243">
        <v>3984.5365154264978</v>
      </c>
      <c r="D147" s="214">
        <v>9075</v>
      </c>
      <c r="E147" s="243">
        <f>IF(ISBLANK(D147),,C147)</f>
        <v>3984.5365154264978</v>
      </c>
      <c r="F147" s="243">
        <f t="shared" si="7"/>
        <v>0</v>
      </c>
      <c r="G147" s="243">
        <f t="shared" si="8"/>
        <v>0</v>
      </c>
      <c r="H147" s="275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24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</row>
    <row r="148" spans="1:35" s="3" customFormat="1" ht="18.600000000000001" thickBot="1" x14ac:dyDescent="0.4">
      <c r="A148" s="233" t="s">
        <v>143</v>
      </c>
      <c r="B148" s="51" t="s">
        <v>321</v>
      </c>
      <c r="C148" s="243">
        <v>461.97524816539101</v>
      </c>
      <c r="D148" s="214">
        <v>9075</v>
      </c>
      <c r="E148" s="243">
        <f>IF(ISBLANK(D148),,C148)</f>
        <v>461.97524816539101</v>
      </c>
      <c r="F148" s="243">
        <f t="shared" si="7"/>
        <v>0</v>
      </c>
      <c r="G148" s="243">
        <f t="shared" si="8"/>
        <v>0</v>
      </c>
      <c r="H148" s="275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24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</row>
    <row r="149" spans="1:35" s="3" customFormat="1" ht="18.600000000000001" thickBot="1" x14ac:dyDescent="0.4">
      <c r="A149" s="233" t="s">
        <v>144</v>
      </c>
      <c r="B149" s="51" t="s">
        <v>322</v>
      </c>
      <c r="C149" s="243">
        <v>65946.966675609568</v>
      </c>
      <c r="D149" s="214"/>
      <c r="E149" s="243"/>
      <c r="F149" s="243">
        <f t="shared" si="7"/>
        <v>65947</v>
      </c>
      <c r="G149" s="243">
        <f t="shared" si="8"/>
        <v>0</v>
      </c>
      <c r="H149" s="275"/>
      <c r="I149" s="272"/>
      <c r="J149" s="272"/>
      <c r="K149" s="272">
        <v>8112</v>
      </c>
      <c r="L149" s="272"/>
      <c r="M149" s="272"/>
      <c r="N149" s="272"/>
      <c r="O149" s="272"/>
      <c r="P149" s="272"/>
      <c r="Q149" s="272"/>
      <c r="R149" s="272"/>
      <c r="S149" s="224"/>
      <c r="T149" s="272"/>
      <c r="U149" s="272"/>
      <c r="V149" s="272"/>
      <c r="W149" s="272">
        <v>8229</v>
      </c>
      <c r="X149" s="272">
        <v>10446</v>
      </c>
      <c r="Y149" s="272">
        <v>5193</v>
      </c>
      <c r="Z149" s="272">
        <v>11041</v>
      </c>
      <c r="AA149" s="272">
        <v>2473</v>
      </c>
      <c r="AB149" s="272">
        <v>3043</v>
      </c>
      <c r="AC149" s="272">
        <v>4781</v>
      </c>
      <c r="AD149" s="272">
        <v>4214</v>
      </c>
      <c r="AE149" s="272">
        <v>1675</v>
      </c>
      <c r="AF149" s="272">
        <v>6740</v>
      </c>
      <c r="AG149" s="272"/>
      <c r="AH149" s="272"/>
      <c r="AI149" s="272"/>
    </row>
    <row r="150" spans="1:35" s="3" customFormat="1" ht="18.600000000000001" thickBot="1" x14ac:dyDescent="0.4">
      <c r="A150" s="233" t="s">
        <v>145</v>
      </c>
      <c r="B150" s="51" t="s">
        <v>323</v>
      </c>
      <c r="C150" s="243">
        <v>17612.806336305533</v>
      </c>
      <c r="D150" s="214"/>
      <c r="E150" s="243"/>
      <c r="F150" s="243">
        <f t="shared" si="7"/>
        <v>17613</v>
      </c>
      <c r="G150" s="243">
        <f t="shared" si="8"/>
        <v>0</v>
      </c>
      <c r="H150" s="275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>
        <v>1143</v>
      </c>
      <c r="S150" s="224">
        <v>410</v>
      </c>
      <c r="T150" s="272">
        <v>4582</v>
      </c>
      <c r="U150" s="272">
        <v>9572</v>
      </c>
      <c r="V150" s="272"/>
      <c r="W150" s="272"/>
      <c r="X150" s="272"/>
      <c r="Y150" s="272"/>
      <c r="Z150" s="272"/>
      <c r="AA150" s="272"/>
      <c r="AB150" s="272"/>
      <c r="AC150" s="272"/>
      <c r="AD150" s="272">
        <v>924</v>
      </c>
      <c r="AE150" s="272">
        <v>982</v>
      </c>
      <c r="AF150" s="272"/>
      <c r="AG150" s="272"/>
      <c r="AH150" s="272"/>
      <c r="AI150" s="272"/>
    </row>
    <row r="151" spans="1:35" s="3" customFormat="1" ht="18.600000000000001" thickBot="1" x14ac:dyDescent="0.4">
      <c r="A151" s="233" t="s">
        <v>146</v>
      </c>
      <c r="B151" s="51" t="s">
        <v>324</v>
      </c>
      <c r="C151" s="243">
        <v>2887.3453010336939</v>
      </c>
      <c r="D151" s="214">
        <v>9095</v>
      </c>
      <c r="E151" s="243">
        <f>IF(ISBLANK(D151),,C151)</f>
        <v>2887.3453010336939</v>
      </c>
      <c r="F151" s="243">
        <f t="shared" si="7"/>
        <v>0</v>
      </c>
      <c r="G151" s="243">
        <f t="shared" si="8"/>
        <v>0</v>
      </c>
      <c r="H151" s="275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24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</row>
    <row r="152" spans="1:35" s="3" customFormat="1" ht="18.600000000000001" thickBot="1" x14ac:dyDescent="0.4">
      <c r="A152" s="233" t="s">
        <v>147</v>
      </c>
      <c r="B152" s="51" t="s">
        <v>516</v>
      </c>
      <c r="C152" s="243">
        <v>0</v>
      </c>
      <c r="D152" s="214"/>
      <c r="E152" s="243"/>
      <c r="F152" s="243">
        <f t="shared" si="7"/>
        <v>0</v>
      </c>
      <c r="G152" s="243">
        <f t="shared" si="8"/>
        <v>0</v>
      </c>
      <c r="H152" s="275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24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</row>
    <row r="153" spans="1:35" s="3" customFormat="1" ht="18.600000000000001" thickBot="1" x14ac:dyDescent="0.4">
      <c r="A153" s="233" t="s">
        <v>148</v>
      </c>
      <c r="B153" s="51" t="s">
        <v>326</v>
      </c>
      <c r="C153" s="243">
        <v>2367.623146847629</v>
      </c>
      <c r="D153" s="214">
        <v>9055</v>
      </c>
      <c r="E153" s="243">
        <f t="shared" ref="E153:E158" si="9">IF(ISBLANK(D153),,C153)</f>
        <v>2367.623146847629</v>
      </c>
      <c r="F153" s="243">
        <f t="shared" si="7"/>
        <v>0</v>
      </c>
      <c r="G153" s="243">
        <f t="shared" si="8"/>
        <v>0</v>
      </c>
      <c r="H153" s="275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24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</row>
    <row r="154" spans="1:35" s="3" customFormat="1" ht="18.600000000000001" thickBot="1" x14ac:dyDescent="0.4">
      <c r="A154" s="233" t="s">
        <v>149</v>
      </c>
      <c r="B154" s="51" t="s">
        <v>327</v>
      </c>
      <c r="C154" s="243">
        <v>8488.79518503906</v>
      </c>
      <c r="D154" s="214">
        <v>9055</v>
      </c>
      <c r="E154" s="243">
        <f t="shared" si="9"/>
        <v>8488.79518503906</v>
      </c>
      <c r="F154" s="243">
        <f t="shared" si="7"/>
        <v>0</v>
      </c>
      <c r="G154" s="243">
        <f t="shared" si="8"/>
        <v>0</v>
      </c>
      <c r="H154" s="275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24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</row>
    <row r="155" spans="1:35" s="3" customFormat="1" ht="18.600000000000001" thickBot="1" x14ac:dyDescent="0.4">
      <c r="A155" s="233" t="s">
        <v>150</v>
      </c>
      <c r="B155" s="51" t="s">
        <v>328</v>
      </c>
      <c r="C155" s="243">
        <v>1559.1664625581948</v>
      </c>
      <c r="D155" s="214">
        <v>9055</v>
      </c>
      <c r="E155" s="243">
        <f t="shared" si="9"/>
        <v>1559.1664625581948</v>
      </c>
      <c r="F155" s="243">
        <f t="shared" si="7"/>
        <v>0</v>
      </c>
      <c r="G155" s="243">
        <f t="shared" si="8"/>
        <v>0</v>
      </c>
      <c r="H155" s="275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24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</row>
    <row r="156" spans="1:35" s="3" customFormat="1" ht="18.600000000000001" thickBot="1" x14ac:dyDescent="0.4">
      <c r="A156" s="233" t="s">
        <v>151</v>
      </c>
      <c r="B156" s="51" t="s">
        <v>329</v>
      </c>
      <c r="C156" s="243">
        <v>1154.9381204134775</v>
      </c>
      <c r="D156" s="214">
        <v>9095</v>
      </c>
      <c r="E156" s="243">
        <f t="shared" si="9"/>
        <v>1154.9381204134775</v>
      </c>
      <c r="F156" s="243">
        <f t="shared" si="7"/>
        <v>0</v>
      </c>
      <c r="G156" s="243">
        <f t="shared" si="8"/>
        <v>0</v>
      </c>
      <c r="H156" s="275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24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</row>
    <row r="157" spans="1:35" s="3" customFormat="1" ht="18.600000000000001" thickBot="1" x14ac:dyDescent="0.4">
      <c r="A157" s="233" t="s">
        <v>152</v>
      </c>
      <c r="B157" s="51" t="s">
        <v>330</v>
      </c>
      <c r="C157" s="243">
        <v>10625.430707803993</v>
      </c>
      <c r="D157" s="214"/>
      <c r="E157" s="243"/>
      <c r="F157" s="243">
        <f t="shared" si="7"/>
        <v>10625</v>
      </c>
      <c r="G157" s="243">
        <f t="shared" si="8"/>
        <v>0</v>
      </c>
      <c r="H157" s="275"/>
      <c r="I157" s="272"/>
      <c r="J157" s="272"/>
      <c r="K157" s="272"/>
      <c r="L157" s="272"/>
      <c r="M157" s="272"/>
      <c r="N157" s="272"/>
      <c r="O157" s="272">
        <v>10625</v>
      </c>
      <c r="P157" s="272"/>
      <c r="Q157" s="272"/>
      <c r="R157" s="272"/>
      <c r="S157" s="224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</row>
    <row r="158" spans="1:35" s="3" customFormat="1" ht="18.600000000000001" thickBot="1" x14ac:dyDescent="0.4">
      <c r="A158" s="233" t="s">
        <v>153</v>
      </c>
      <c r="B158" s="51" t="s">
        <v>331</v>
      </c>
      <c r="C158" s="243">
        <v>1212.6850264341513</v>
      </c>
      <c r="D158" s="214">
        <v>9095</v>
      </c>
      <c r="E158" s="243">
        <f t="shared" si="9"/>
        <v>1212.6850264341513</v>
      </c>
      <c r="F158" s="243">
        <f t="shared" si="7"/>
        <v>0</v>
      </c>
      <c r="G158" s="243">
        <f t="shared" si="8"/>
        <v>0</v>
      </c>
      <c r="H158" s="275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24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</row>
    <row r="159" spans="1:35" s="3" customFormat="1" ht="18.600000000000001" thickBot="1" x14ac:dyDescent="0.4">
      <c r="A159" s="233" t="s">
        <v>154</v>
      </c>
      <c r="B159" s="51" t="s">
        <v>428</v>
      </c>
      <c r="C159" s="243">
        <v>0</v>
      </c>
      <c r="D159" s="214"/>
      <c r="E159" s="243"/>
      <c r="F159" s="243">
        <f t="shared" si="7"/>
        <v>0</v>
      </c>
      <c r="G159" s="243">
        <f t="shared" si="8"/>
        <v>0</v>
      </c>
      <c r="H159" s="275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24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</row>
    <row r="160" spans="1:35" s="3" customFormat="1" ht="18.600000000000001" thickBot="1" x14ac:dyDescent="0.4">
      <c r="A160" s="233" t="s">
        <v>155</v>
      </c>
      <c r="B160" s="51" t="s">
        <v>517</v>
      </c>
      <c r="C160" s="243">
        <v>0</v>
      </c>
      <c r="D160" s="214"/>
      <c r="E160" s="243"/>
      <c r="F160" s="243">
        <f t="shared" si="7"/>
        <v>0</v>
      </c>
      <c r="G160" s="243">
        <f t="shared" si="8"/>
        <v>0</v>
      </c>
      <c r="H160" s="275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24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</row>
    <row r="161" spans="1:35" s="3" customFormat="1" ht="18.600000000000001" thickBot="1" x14ac:dyDescent="0.4">
      <c r="A161" s="233" t="s">
        <v>156</v>
      </c>
      <c r="B161" s="51" t="s">
        <v>334</v>
      </c>
      <c r="C161" s="243">
        <v>12819.813136589601</v>
      </c>
      <c r="D161" s="214"/>
      <c r="E161" s="243"/>
      <c r="F161" s="243">
        <f t="shared" si="7"/>
        <v>12820</v>
      </c>
      <c r="G161" s="243">
        <f t="shared" si="8"/>
        <v>0</v>
      </c>
      <c r="H161" s="275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>
        <v>12820</v>
      </c>
      <c r="S161" s="224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</row>
    <row r="162" spans="1:35" s="3" customFormat="1" ht="18.600000000000001" thickBot="1" x14ac:dyDescent="0.4">
      <c r="A162" s="233" t="s">
        <v>157</v>
      </c>
      <c r="B162" s="51" t="s">
        <v>335</v>
      </c>
      <c r="C162" s="243">
        <v>750.70977826876049</v>
      </c>
      <c r="D162" s="214">
        <v>1520</v>
      </c>
      <c r="E162" s="243">
        <f>IF(ISBLANK(D162),,C162)</f>
        <v>750.70977826876049</v>
      </c>
      <c r="F162" s="243">
        <f t="shared" si="7"/>
        <v>0</v>
      </c>
      <c r="G162" s="243">
        <f t="shared" si="8"/>
        <v>0</v>
      </c>
      <c r="H162" s="275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24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</row>
    <row r="163" spans="1:35" s="3" customFormat="1" ht="18.600000000000001" thickBot="1" x14ac:dyDescent="0.4">
      <c r="A163" s="233" t="s">
        <v>158</v>
      </c>
      <c r="B163" s="51" t="s">
        <v>336</v>
      </c>
      <c r="C163" s="243">
        <v>5312.7153539019964</v>
      </c>
      <c r="D163" s="214">
        <v>2180</v>
      </c>
      <c r="E163" s="243">
        <f>IF(ISBLANK(D163),,C163)</f>
        <v>5312.7153539019964</v>
      </c>
      <c r="F163" s="243">
        <f t="shared" si="7"/>
        <v>0</v>
      </c>
      <c r="G163" s="243">
        <f t="shared" si="8"/>
        <v>0</v>
      </c>
      <c r="H163" s="275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24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</row>
    <row r="164" spans="1:35" s="3" customFormat="1" ht="18.600000000000001" thickBot="1" x14ac:dyDescent="0.4">
      <c r="A164" s="233" t="s">
        <v>159</v>
      </c>
      <c r="B164" s="51" t="s">
        <v>337</v>
      </c>
      <c r="C164" s="243">
        <v>808.45668428943429</v>
      </c>
      <c r="D164" s="214">
        <v>9050</v>
      </c>
      <c r="E164" s="243">
        <f>IF(ISBLANK(D164),,C164)</f>
        <v>808.45668428943429</v>
      </c>
      <c r="F164" s="243">
        <f t="shared" si="7"/>
        <v>0</v>
      </c>
      <c r="G164" s="243">
        <f t="shared" si="8"/>
        <v>0</v>
      </c>
      <c r="H164" s="275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24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</row>
    <row r="165" spans="1:35" s="3" customFormat="1" ht="18.600000000000001" thickBot="1" x14ac:dyDescent="0.4">
      <c r="A165" s="233" t="s">
        <v>160</v>
      </c>
      <c r="B165" s="51" t="s">
        <v>338</v>
      </c>
      <c r="C165" s="243">
        <v>1443.6726505168469</v>
      </c>
      <c r="D165" s="214">
        <v>9040</v>
      </c>
      <c r="E165" s="243">
        <f>IF(ISBLANK(D165),,C165)</f>
        <v>1443.6726505168469</v>
      </c>
      <c r="F165" s="243">
        <f t="shared" si="7"/>
        <v>0</v>
      </c>
      <c r="G165" s="243">
        <f t="shared" si="8"/>
        <v>0</v>
      </c>
      <c r="H165" s="275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24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</row>
    <row r="166" spans="1:35" s="3" customFormat="1" ht="18.600000000000001" thickBot="1" x14ac:dyDescent="0.4">
      <c r="A166" s="233" t="s">
        <v>161</v>
      </c>
      <c r="B166" s="51" t="s">
        <v>339</v>
      </c>
      <c r="C166" s="243">
        <v>0</v>
      </c>
      <c r="D166" s="214"/>
      <c r="E166" s="243"/>
      <c r="F166" s="243">
        <f t="shared" si="7"/>
        <v>0</v>
      </c>
      <c r="G166" s="243">
        <f t="shared" si="8"/>
        <v>0</v>
      </c>
      <c r="H166" s="275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24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</row>
    <row r="167" spans="1:35" s="3" customFormat="1" ht="18.600000000000001" thickBot="1" x14ac:dyDescent="0.4">
      <c r="A167" s="233" t="s">
        <v>162</v>
      </c>
      <c r="B167" s="51" t="s">
        <v>340</v>
      </c>
      <c r="C167" s="243">
        <v>49027.12321155212</v>
      </c>
      <c r="D167" s="214"/>
      <c r="E167" s="243"/>
      <c r="F167" s="243">
        <f t="shared" si="7"/>
        <v>49027</v>
      </c>
      <c r="G167" s="243">
        <f t="shared" si="8"/>
        <v>0</v>
      </c>
      <c r="H167" s="275"/>
      <c r="I167" s="272"/>
      <c r="J167" s="272"/>
      <c r="K167" s="272"/>
      <c r="L167" s="272"/>
      <c r="M167" s="272">
        <v>18600</v>
      </c>
      <c r="N167" s="272"/>
      <c r="O167" s="272">
        <v>9366</v>
      </c>
      <c r="P167" s="272"/>
      <c r="Q167" s="272"/>
      <c r="R167" s="272">
        <v>14049</v>
      </c>
      <c r="S167" s="224">
        <v>7012</v>
      </c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</row>
    <row r="168" spans="1:35" s="3" customFormat="1" ht="18.600000000000001" thickBot="1" x14ac:dyDescent="0.4">
      <c r="A168" s="233" t="s">
        <v>163</v>
      </c>
      <c r="B168" s="51" t="s">
        <v>429</v>
      </c>
      <c r="C168" s="243">
        <v>0</v>
      </c>
      <c r="D168" s="214"/>
      <c r="E168" s="243"/>
      <c r="F168" s="243">
        <f t="shared" si="7"/>
        <v>0</v>
      </c>
      <c r="G168" s="243">
        <f t="shared" si="8"/>
        <v>0</v>
      </c>
      <c r="H168" s="275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24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</row>
    <row r="169" spans="1:35" s="3" customFormat="1" ht="18.600000000000001" thickBot="1" x14ac:dyDescent="0.4">
      <c r="A169" s="233" t="s">
        <v>164</v>
      </c>
      <c r="B169" s="51" t="s">
        <v>430</v>
      </c>
      <c r="C169" s="243">
        <v>2136.6355227649333</v>
      </c>
      <c r="D169" s="214">
        <v>1020</v>
      </c>
      <c r="E169" s="243">
        <f>IF(ISBLANK(D169),,C169)</f>
        <v>2136.6355227649333</v>
      </c>
      <c r="F169" s="243">
        <f t="shared" si="7"/>
        <v>0</v>
      </c>
      <c r="G169" s="243">
        <f t="shared" si="8"/>
        <v>0</v>
      </c>
      <c r="H169" s="275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24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</row>
    <row r="170" spans="1:35" s="3" customFormat="1" ht="18.600000000000001" thickBot="1" x14ac:dyDescent="0.4">
      <c r="A170" s="233" t="s">
        <v>165</v>
      </c>
      <c r="B170" s="51" t="s">
        <v>518</v>
      </c>
      <c r="C170" s="243">
        <v>0</v>
      </c>
      <c r="D170" s="214"/>
      <c r="E170" s="243"/>
      <c r="F170" s="243">
        <f t="shared" si="7"/>
        <v>0</v>
      </c>
      <c r="G170" s="243">
        <f t="shared" si="8"/>
        <v>0</v>
      </c>
      <c r="H170" s="275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24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</row>
    <row r="171" spans="1:35" s="3" customFormat="1" ht="18.600000000000001" thickBot="1" x14ac:dyDescent="0.4">
      <c r="A171" s="233" t="s">
        <v>166</v>
      </c>
      <c r="B171" s="51" t="s">
        <v>344</v>
      </c>
      <c r="C171" s="243">
        <v>1616.9133685788686</v>
      </c>
      <c r="D171" s="214">
        <v>9025</v>
      </c>
      <c r="E171" s="243">
        <f>IF(ISBLANK(D171),,C171)</f>
        <v>1616.9133685788686</v>
      </c>
      <c r="F171" s="243">
        <f t="shared" si="7"/>
        <v>0</v>
      </c>
      <c r="G171" s="243">
        <f t="shared" si="8"/>
        <v>0</v>
      </c>
      <c r="H171" s="275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24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</row>
    <row r="172" spans="1:35" s="3" customFormat="1" ht="18.600000000000001" thickBot="1" x14ac:dyDescent="0.4">
      <c r="A172" s="233" t="s">
        <v>167</v>
      </c>
      <c r="B172" s="51" t="s">
        <v>345</v>
      </c>
      <c r="C172" s="243">
        <v>0</v>
      </c>
      <c r="D172" s="214"/>
      <c r="E172" s="243"/>
      <c r="F172" s="243">
        <f t="shared" si="7"/>
        <v>0</v>
      </c>
      <c r="G172" s="243">
        <f t="shared" si="8"/>
        <v>0</v>
      </c>
      <c r="H172" s="275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24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</row>
    <row r="173" spans="1:35" s="3" customFormat="1" ht="18.600000000000001" thickBot="1" x14ac:dyDescent="0.4">
      <c r="A173" s="233" t="s">
        <v>168</v>
      </c>
      <c r="B173" s="51" t="s">
        <v>519</v>
      </c>
      <c r="C173" s="243">
        <v>0</v>
      </c>
      <c r="D173" s="214"/>
      <c r="E173" s="243"/>
      <c r="F173" s="243">
        <f t="shared" si="7"/>
        <v>0</v>
      </c>
      <c r="G173" s="243">
        <f t="shared" si="8"/>
        <v>0</v>
      </c>
      <c r="H173" s="275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24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</row>
    <row r="174" spans="1:35" s="3" customFormat="1" ht="18.600000000000001" thickBot="1" x14ac:dyDescent="0.4">
      <c r="A174" s="233" t="s">
        <v>169</v>
      </c>
      <c r="B174" s="51" t="s">
        <v>347</v>
      </c>
      <c r="C174" s="243">
        <v>115.49381204134775</v>
      </c>
      <c r="D174" s="214">
        <v>9025</v>
      </c>
      <c r="E174" s="243">
        <f>IF(ISBLANK(D174),,C174)</f>
        <v>115.49381204134775</v>
      </c>
      <c r="F174" s="243">
        <f t="shared" si="7"/>
        <v>0</v>
      </c>
      <c r="G174" s="243">
        <f t="shared" si="8"/>
        <v>0</v>
      </c>
      <c r="H174" s="275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24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</row>
    <row r="175" spans="1:35" s="3" customFormat="1" ht="18.600000000000001" thickBot="1" x14ac:dyDescent="0.4">
      <c r="A175" s="233" t="s">
        <v>170</v>
      </c>
      <c r="B175" s="51" t="s">
        <v>348</v>
      </c>
      <c r="C175" s="243">
        <v>20962.126885504618</v>
      </c>
      <c r="D175" s="214">
        <v>9035</v>
      </c>
      <c r="E175" s="243">
        <f>IF(ISBLANK(D175),,C175)</f>
        <v>20962.126885504618</v>
      </c>
      <c r="F175" s="243">
        <f t="shared" si="7"/>
        <v>0</v>
      </c>
      <c r="G175" s="243">
        <f t="shared" si="8"/>
        <v>0</v>
      </c>
      <c r="H175" s="275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24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</row>
    <row r="176" spans="1:35" s="3" customFormat="1" ht="18.600000000000001" thickBot="1" x14ac:dyDescent="0.4">
      <c r="A176" s="233" t="s">
        <v>171</v>
      </c>
      <c r="B176" s="51" t="s">
        <v>349</v>
      </c>
      <c r="C176" s="243">
        <v>7276.1101586049081</v>
      </c>
      <c r="D176" s="214">
        <v>9035</v>
      </c>
      <c r="E176" s="243">
        <f>IF(ISBLANK(D176),,C176)</f>
        <v>7276.1101586049081</v>
      </c>
      <c r="F176" s="243">
        <f t="shared" si="7"/>
        <v>0</v>
      </c>
      <c r="G176" s="243">
        <f t="shared" si="8"/>
        <v>0</v>
      </c>
      <c r="H176" s="275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24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</row>
    <row r="177" spans="1:35" s="3" customFormat="1" ht="18.600000000000001" thickBot="1" x14ac:dyDescent="0.4">
      <c r="A177" s="233" t="s">
        <v>172</v>
      </c>
      <c r="B177" s="51" t="s">
        <v>477</v>
      </c>
      <c r="C177" s="243">
        <v>22059.31809989742</v>
      </c>
      <c r="D177" s="214"/>
      <c r="E177" s="243"/>
      <c r="F177" s="243">
        <f t="shared" si="7"/>
        <v>22059</v>
      </c>
      <c r="G177" s="243">
        <f t="shared" si="8"/>
        <v>0</v>
      </c>
      <c r="H177" s="275"/>
      <c r="I177" s="272"/>
      <c r="J177" s="272"/>
      <c r="K177" s="272"/>
      <c r="L177" s="272">
        <v>423</v>
      </c>
      <c r="M177" s="272">
        <v>10634</v>
      </c>
      <c r="N177" s="272"/>
      <c r="O177" s="272"/>
      <c r="P177" s="272"/>
      <c r="Q177" s="272"/>
      <c r="R177" s="272"/>
      <c r="S177" s="224">
        <v>11002</v>
      </c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</row>
    <row r="178" spans="1:35" s="3" customFormat="1" ht="18.600000000000001" thickBot="1" x14ac:dyDescent="0.4">
      <c r="A178" s="233" t="s">
        <v>173</v>
      </c>
      <c r="B178" s="51" t="s">
        <v>350</v>
      </c>
      <c r="C178" s="243">
        <v>4157.7772334885185</v>
      </c>
      <c r="D178" s="214">
        <v>9035</v>
      </c>
      <c r="E178" s="243">
        <f>IF(ISBLANK(D178),,C178)</f>
        <v>4157.7772334885185</v>
      </c>
      <c r="F178" s="243">
        <f t="shared" si="7"/>
        <v>0</v>
      </c>
      <c r="G178" s="243">
        <f t="shared" si="8"/>
        <v>0</v>
      </c>
      <c r="H178" s="275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24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</row>
    <row r="179" spans="1:35" s="3" customFormat="1" ht="18.600000000000001" thickBot="1" x14ac:dyDescent="0.4">
      <c r="A179" s="233" t="s">
        <v>174</v>
      </c>
      <c r="B179" s="51" t="s">
        <v>351</v>
      </c>
      <c r="C179" s="243">
        <v>15418.423907519926</v>
      </c>
      <c r="D179" s="214"/>
      <c r="E179" s="243"/>
      <c r="F179" s="243">
        <f t="shared" si="7"/>
        <v>15418</v>
      </c>
      <c r="G179" s="243">
        <f t="shared" si="8"/>
        <v>0</v>
      </c>
      <c r="H179" s="275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24">
        <v>15418</v>
      </c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</row>
    <row r="180" spans="1:35" s="3" customFormat="1" ht="18.600000000000001" thickBot="1" x14ac:dyDescent="0.4">
      <c r="A180" s="233" t="s">
        <v>175</v>
      </c>
      <c r="B180" s="51" t="s">
        <v>352</v>
      </c>
      <c r="C180" s="243">
        <v>287868.32651305926</v>
      </c>
      <c r="D180" s="214"/>
      <c r="E180" s="243"/>
      <c r="F180" s="243">
        <f t="shared" si="7"/>
        <v>287868</v>
      </c>
      <c r="G180" s="243">
        <f t="shared" si="8"/>
        <v>0</v>
      </c>
      <c r="H180" s="275"/>
      <c r="I180" s="272"/>
      <c r="J180" s="272"/>
      <c r="K180" s="272">
        <v>25659</v>
      </c>
      <c r="L180" s="272"/>
      <c r="M180" s="272">
        <v>28549</v>
      </c>
      <c r="N180" s="272">
        <v>22834</v>
      </c>
      <c r="O180" s="272">
        <v>22991</v>
      </c>
      <c r="P180" s="272">
        <v>24365</v>
      </c>
      <c r="Q180" s="272">
        <v>22991</v>
      </c>
      <c r="R180" s="272">
        <v>23911</v>
      </c>
      <c r="S180" s="245">
        <v>22991</v>
      </c>
      <c r="T180" s="272">
        <v>23911</v>
      </c>
      <c r="U180" s="272"/>
      <c r="V180" s="272">
        <v>43896</v>
      </c>
      <c r="W180" s="272">
        <v>15636</v>
      </c>
      <c r="X180" s="272">
        <v>10134</v>
      </c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</row>
    <row r="181" spans="1:35" s="3" customFormat="1" ht="18.600000000000001" thickBot="1" x14ac:dyDescent="0.4">
      <c r="A181" s="233" t="s">
        <v>176</v>
      </c>
      <c r="B181" s="51" t="s">
        <v>353</v>
      </c>
      <c r="C181" s="243">
        <v>5023.9808237986272</v>
      </c>
      <c r="D181" s="214">
        <v>9035</v>
      </c>
      <c r="E181" s="243">
        <f>IF(ISBLANK(D181),,C181)</f>
        <v>5023.9808237986272</v>
      </c>
      <c r="F181" s="243">
        <f t="shared" si="7"/>
        <v>0</v>
      </c>
      <c r="G181" s="243">
        <f t="shared" si="8"/>
        <v>0</v>
      </c>
      <c r="H181" s="275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24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</row>
    <row r="182" spans="1:35" s="3" customFormat="1" ht="18.600000000000001" thickBot="1" x14ac:dyDescent="0.4">
      <c r="A182" s="233" t="s">
        <v>177</v>
      </c>
      <c r="B182" s="51" t="s">
        <v>354</v>
      </c>
      <c r="C182" s="243">
        <v>44984.839790104954</v>
      </c>
      <c r="D182" s="214"/>
      <c r="E182" s="243"/>
      <c r="F182" s="243">
        <f t="shared" si="7"/>
        <v>44985</v>
      </c>
      <c r="G182" s="243">
        <f t="shared" si="8"/>
        <v>0</v>
      </c>
      <c r="H182" s="275"/>
      <c r="I182" s="272"/>
      <c r="J182" s="272"/>
      <c r="K182" s="272"/>
      <c r="L182" s="272"/>
      <c r="M182" s="272"/>
      <c r="N182" s="272">
        <v>8311</v>
      </c>
      <c r="O182" s="272"/>
      <c r="P182" s="272"/>
      <c r="Q182" s="272"/>
      <c r="R182" s="272"/>
      <c r="S182" s="224">
        <v>23207</v>
      </c>
      <c r="T182" s="272"/>
      <c r="U182" s="272"/>
      <c r="V182" s="272"/>
      <c r="W182" s="272">
        <v>7995</v>
      </c>
      <c r="X182" s="272"/>
      <c r="Y182" s="272"/>
      <c r="Z182" s="272">
        <v>5472</v>
      </c>
      <c r="AA182" s="272"/>
      <c r="AB182" s="272"/>
      <c r="AC182" s="272"/>
      <c r="AD182" s="272"/>
      <c r="AE182" s="272"/>
      <c r="AF182" s="272"/>
      <c r="AG182" s="272"/>
      <c r="AH182" s="272"/>
      <c r="AI182" s="272"/>
    </row>
    <row r="183" spans="1:35" s="3" customFormat="1" ht="18.600000000000001" thickBot="1" x14ac:dyDescent="0.4">
      <c r="A183" s="233" t="s">
        <v>178</v>
      </c>
      <c r="B183" s="51" t="s">
        <v>355</v>
      </c>
      <c r="C183" s="243">
        <v>5774.6906020673878</v>
      </c>
      <c r="D183" s="214">
        <v>9035</v>
      </c>
      <c r="E183" s="243">
        <f>IF(ISBLANK(D183),,C183)</f>
        <v>5774.6906020673878</v>
      </c>
      <c r="F183" s="243">
        <f t="shared" si="7"/>
        <v>0</v>
      </c>
      <c r="G183" s="243">
        <f t="shared" si="8"/>
        <v>0</v>
      </c>
      <c r="H183" s="275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24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</row>
    <row r="184" spans="1:35" s="3" customFormat="1" ht="18.600000000000001" thickBot="1" x14ac:dyDescent="0.4">
      <c r="A184" s="233" t="s">
        <v>179</v>
      </c>
      <c r="B184" s="51" t="s">
        <v>356</v>
      </c>
      <c r="C184" s="243">
        <v>115.49381204134775</v>
      </c>
      <c r="D184" s="214">
        <v>9035</v>
      </c>
      <c r="E184" s="243">
        <f>IF(ISBLANK(D184),,C184)</f>
        <v>115.49381204134775</v>
      </c>
      <c r="F184" s="243">
        <f t="shared" si="7"/>
        <v>0</v>
      </c>
      <c r="G184" s="243">
        <f t="shared" si="8"/>
        <v>0</v>
      </c>
      <c r="H184" s="275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24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  <c r="AI184" s="272"/>
    </row>
    <row r="185" spans="1:35" s="3" customFormat="1" ht="18.600000000000001" thickBot="1" x14ac:dyDescent="0.4">
      <c r="A185" s="233" t="s">
        <v>180</v>
      </c>
      <c r="B185" s="51" t="s">
        <v>357</v>
      </c>
      <c r="C185" s="243">
        <v>173.24071806202161</v>
      </c>
      <c r="D185" s="214">
        <v>9035</v>
      </c>
      <c r="E185" s="243">
        <f>IF(ISBLANK(D185),,C185)</f>
        <v>173.24071806202161</v>
      </c>
      <c r="F185" s="243">
        <f t="shared" si="7"/>
        <v>0</v>
      </c>
      <c r="G185" s="243">
        <f t="shared" si="8"/>
        <v>0</v>
      </c>
      <c r="H185" s="275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24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</row>
    <row r="186" spans="1:35" s="3" customFormat="1" ht="18.600000000000001" thickBot="1" x14ac:dyDescent="0.4">
      <c r="A186" s="233" t="s">
        <v>181</v>
      </c>
      <c r="B186" s="51" t="s">
        <v>358</v>
      </c>
      <c r="C186" s="243">
        <v>0</v>
      </c>
      <c r="D186" s="214"/>
      <c r="E186" s="243"/>
      <c r="F186" s="243">
        <f t="shared" si="7"/>
        <v>0</v>
      </c>
      <c r="G186" s="243">
        <f t="shared" si="8"/>
        <v>0</v>
      </c>
      <c r="H186" s="275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24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</row>
    <row r="187" spans="1:35" s="3" customFormat="1" ht="18.600000000000001" thickBot="1" x14ac:dyDescent="0.4">
      <c r="A187" s="233" t="s">
        <v>182</v>
      </c>
      <c r="B187" s="51" t="s">
        <v>359</v>
      </c>
      <c r="C187" s="243">
        <v>17959.287772429576</v>
      </c>
      <c r="D187" s="214"/>
      <c r="E187" s="243"/>
      <c r="F187" s="243">
        <f t="shared" si="7"/>
        <v>17959</v>
      </c>
      <c r="G187" s="243">
        <f t="shared" si="8"/>
        <v>0</v>
      </c>
      <c r="H187" s="275"/>
      <c r="I187" s="272"/>
      <c r="J187" s="272"/>
      <c r="K187" s="272">
        <v>1440</v>
      </c>
      <c r="L187" s="272">
        <f>2298+4457</f>
        <v>6755</v>
      </c>
      <c r="M187" s="272"/>
      <c r="N187" s="272"/>
      <c r="O187" s="272">
        <f>2298+2305</f>
        <v>4603</v>
      </c>
      <c r="P187" s="272">
        <f>2062+2298</f>
        <v>4360</v>
      </c>
      <c r="Q187" s="272"/>
      <c r="R187" s="272"/>
      <c r="S187" s="224"/>
      <c r="T187" s="272"/>
      <c r="U187" s="272"/>
      <c r="V187" s="272"/>
      <c r="W187" s="272"/>
      <c r="X187" s="272"/>
      <c r="Y187" s="272"/>
      <c r="Z187" s="272"/>
      <c r="AA187" s="272">
        <v>801</v>
      </c>
      <c r="AB187" s="272"/>
      <c r="AC187" s="272"/>
      <c r="AD187" s="272"/>
      <c r="AE187" s="272"/>
      <c r="AF187" s="272"/>
      <c r="AG187" s="272"/>
      <c r="AH187" s="272"/>
      <c r="AI187" s="272"/>
    </row>
    <row r="188" spans="1:35" s="3" customFormat="1" ht="19.5" customHeight="1" thickBot="1" x14ac:dyDescent="0.4">
      <c r="A188" s="233" t="s">
        <v>183</v>
      </c>
      <c r="B188" s="51" t="s">
        <v>360</v>
      </c>
      <c r="C188" s="243">
        <v>7160.6163465635609</v>
      </c>
      <c r="D188" s="214">
        <v>9040</v>
      </c>
      <c r="E188" s="243">
        <f>IF(ISBLANK(D188),,C188)</f>
        <v>7160.6163465635609</v>
      </c>
      <c r="F188" s="243">
        <f t="shared" si="7"/>
        <v>0</v>
      </c>
      <c r="G188" s="243">
        <f t="shared" si="8"/>
        <v>0</v>
      </c>
      <c r="H188" s="275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24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  <c r="AH188" s="272"/>
      <c r="AI188" s="272"/>
    </row>
    <row r="189" spans="1:35" s="3" customFormat="1" ht="18.600000000000001" thickBot="1" x14ac:dyDescent="0.4">
      <c r="A189" s="233" t="s">
        <v>184</v>
      </c>
      <c r="B189" s="51" t="s">
        <v>361</v>
      </c>
      <c r="C189" s="243">
        <v>2252.1293348062813</v>
      </c>
      <c r="D189" s="214">
        <v>9025</v>
      </c>
      <c r="E189" s="243">
        <f>IF(ISBLANK(D189),,C189)</f>
        <v>2252.1293348062813</v>
      </c>
      <c r="F189" s="243">
        <f t="shared" si="7"/>
        <v>0</v>
      </c>
      <c r="G189" s="243">
        <f t="shared" si="8"/>
        <v>0</v>
      </c>
      <c r="H189" s="275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24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</row>
    <row r="190" spans="1:35" s="3" customFormat="1" ht="18.600000000000001" thickBot="1" x14ac:dyDescent="0.4">
      <c r="A190" s="233" t="s">
        <v>185</v>
      </c>
      <c r="B190" s="51" t="s">
        <v>362</v>
      </c>
      <c r="C190" s="243">
        <v>288.73453010336937</v>
      </c>
      <c r="D190" s="214">
        <v>9025</v>
      </c>
      <c r="E190" s="243">
        <f>IF(ISBLANK(D190),,C190)</f>
        <v>288.73453010336937</v>
      </c>
      <c r="F190" s="243">
        <f t="shared" si="7"/>
        <v>0</v>
      </c>
      <c r="G190" s="243">
        <f t="shared" si="8"/>
        <v>0</v>
      </c>
      <c r="H190" s="275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24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</row>
    <row r="191" spans="1:35" s="3" customFormat="1" ht="18.600000000000001" thickBot="1" x14ac:dyDescent="0.4">
      <c r="A191" s="234" t="s">
        <v>522</v>
      </c>
      <c r="B191" s="51" t="s">
        <v>364</v>
      </c>
      <c r="C191" s="243">
        <v>139459</v>
      </c>
      <c r="D191" s="214"/>
      <c r="E191" s="243"/>
      <c r="F191" s="243">
        <f t="shared" si="7"/>
        <v>139459</v>
      </c>
      <c r="G191" s="243">
        <f t="shared" si="8"/>
        <v>0</v>
      </c>
      <c r="H191" s="275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24"/>
      <c r="T191" s="272">
        <v>66183</v>
      </c>
      <c r="U191" s="272">
        <f>-11579+25055-2320</f>
        <v>11156</v>
      </c>
      <c r="V191" s="272">
        <v>21030</v>
      </c>
      <c r="W191" s="272">
        <v>1425</v>
      </c>
      <c r="X191" s="272">
        <v>8037</v>
      </c>
      <c r="Y191" s="272">
        <f>7318+3369</f>
        <v>10687</v>
      </c>
      <c r="Z191" s="272"/>
      <c r="AA191" s="272"/>
      <c r="AB191" s="272">
        <v>20941</v>
      </c>
      <c r="AC191" s="272"/>
      <c r="AD191" s="272"/>
      <c r="AE191" s="272"/>
      <c r="AF191" s="272"/>
      <c r="AG191" s="272"/>
      <c r="AH191" s="272"/>
      <c r="AI191" s="272"/>
    </row>
    <row r="192" spans="1:35" s="3" customFormat="1" ht="18.600000000000001" thickBot="1" x14ac:dyDescent="0.4">
      <c r="A192" s="233" t="s">
        <v>366</v>
      </c>
      <c r="B192" s="51" t="s">
        <v>365</v>
      </c>
      <c r="C192" s="243">
        <v>0</v>
      </c>
      <c r="D192" s="215"/>
      <c r="E192" s="243"/>
      <c r="F192" s="243">
        <f t="shared" si="7"/>
        <v>0</v>
      </c>
      <c r="G192" s="243">
        <f t="shared" si="8"/>
        <v>0</v>
      </c>
      <c r="H192" s="275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24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  <c r="AH192" s="272"/>
      <c r="AI192" s="272"/>
    </row>
    <row r="193" spans="1:35" ht="19.5" customHeight="1" thickBot="1" x14ac:dyDescent="0.35">
      <c r="A193" s="235" t="s">
        <v>374</v>
      </c>
      <c r="B193" s="56" t="s">
        <v>379</v>
      </c>
      <c r="C193" s="243">
        <f>SUMIF(D13:D192,"9025",E13:E192)+1</f>
        <v>34822.18074015624</v>
      </c>
      <c r="D193" s="215"/>
      <c r="E193" s="243"/>
      <c r="F193" s="243">
        <f t="shared" si="7"/>
        <v>34822</v>
      </c>
      <c r="G193" s="243">
        <f t="shared" si="8"/>
        <v>0</v>
      </c>
      <c r="H193" s="224"/>
      <c r="I193" s="225"/>
      <c r="J193" s="225"/>
      <c r="K193" s="225"/>
      <c r="L193" s="225"/>
      <c r="M193" s="225"/>
      <c r="N193" s="225"/>
      <c r="O193" s="225"/>
      <c r="P193" s="225">
        <v>72</v>
      </c>
      <c r="Q193" s="225">
        <v>2111</v>
      </c>
      <c r="R193" s="225">
        <v>2257</v>
      </c>
      <c r="S193" s="225">
        <v>2705</v>
      </c>
      <c r="T193" s="225">
        <v>12248</v>
      </c>
      <c r="U193" s="225"/>
      <c r="V193" s="225"/>
      <c r="W193" s="225"/>
      <c r="X193" s="272">
        <v>8101</v>
      </c>
      <c r="Y193" s="272">
        <v>2271</v>
      </c>
      <c r="Z193" s="272"/>
      <c r="AA193" s="225">
        <v>2975</v>
      </c>
      <c r="AB193" s="225">
        <v>2082</v>
      </c>
      <c r="AC193" s="225"/>
      <c r="AD193" s="225"/>
      <c r="AE193" s="225"/>
      <c r="AF193" s="225"/>
      <c r="AG193" s="225"/>
      <c r="AH193" s="225"/>
      <c r="AI193" s="225"/>
    </row>
    <row r="194" spans="1:35" ht="19.5" customHeight="1" thickBot="1" x14ac:dyDescent="0.35">
      <c r="A194" s="235" t="s">
        <v>375</v>
      </c>
      <c r="B194" s="56" t="s">
        <v>380</v>
      </c>
      <c r="C194" s="243">
        <f>SUMIF(D13:D192,"9035",E13:E192)</f>
        <v>77785.082409847717</v>
      </c>
      <c r="D194" s="216"/>
      <c r="E194" s="243"/>
      <c r="F194" s="243">
        <f t="shared" si="7"/>
        <v>77785</v>
      </c>
      <c r="G194" s="243">
        <f t="shared" si="8"/>
        <v>0</v>
      </c>
      <c r="H194" s="224"/>
      <c r="I194" s="225"/>
      <c r="J194" s="225"/>
      <c r="K194" s="225">
        <v>2487</v>
      </c>
      <c r="L194" s="225"/>
      <c r="M194" s="225"/>
      <c r="N194" s="225">
        <v>2500</v>
      </c>
      <c r="O194" s="225">
        <v>16000</v>
      </c>
      <c r="P194" s="225">
        <v>9000</v>
      </c>
      <c r="Q194" s="225">
        <v>9000</v>
      </c>
      <c r="R194" s="225">
        <v>15000</v>
      </c>
      <c r="S194" s="225">
        <v>6500</v>
      </c>
      <c r="T194" s="225">
        <v>5000</v>
      </c>
      <c r="U194" s="225">
        <v>5340</v>
      </c>
      <c r="V194" s="225">
        <f>2861+2013</f>
        <v>4874</v>
      </c>
      <c r="W194" s="225">
        <v>672</v>
      </c>
      <c r="X194" s="272">
        <v>671</v>
      </c>
      <c r="Y194" s="272">
        <v>671</v>
      </c>
      <c r="Z194" s="272">
        <v>70</v>
      </c>
      <c r="AA194" s="225"/>
      <c r="AB194" s="225"/>
      <c r="AC194" s="225"/>
      <c r="AD194" s="225"/>
      <c r="AE194" s="225"/>
      <c r="AF194" s="225"/>
      <c r="AG194" s="225"/>
      <c r="AH194" s="225"/>
      <c r="AI194" s="225"/>
    </row>
    <row r="195" spans="1:35" ht="19.5" customHeight="1" thickBot="1" x14ac:dyDescent="0.35">
      <c r="A195" s="235" t="s">
        <v>376</v>
      </c>
      <c r="B195" s="57" t="s">
        <v>381</v>
      </c>
      <c r="C195" s="243">
        <f>SUMIF(D13:D192,"9040",E13:E192)+1</f>
        <v>16170.133685788685</v>
      </c>
      <c r="D195" s="216"/>
      <c r="E195" s="243"/>
      <c r="F195" s="243">
        <f t="shared" si="7"/>
        <v>16170</v>
      </c>
      <c r="G195" s="243">
        <f t="shared" si="8"/>
        <v>0</v>
      </c>
      <c r="H195" s="224"/>
      <c r="I195" s="225"/>
      <c r="J195" s="225"/>
      <c r="K195" s="225"/>
      <c r="L195" s="225"/>
      <c r="M195" s="225"/>
      <c r="N195" s="225"/>
      <c r="O195" s="225"/>
      <c r="P195" s="225"/>
      <c r="Q195" s="225"/>
      <c r="R195" s="224"/>
      <c r="S195" s="224"/>
      <c r="T195" s="225">
        <v>16170</v>
      </c>
      <c r="U195" s="225"/>
      <c r="V195" s="225"/>
      <c r="W195" s="225"/>
      <c r="X195" s="272"/>
      <c r="Y195" s="272"/>
      <c r="Z195" s="272"/>
      <c r="AA195" s="225"/>
      <c r="AB195" s="225"/>
      <c r="AC195" s="225"/>
      <c r="AD195" s="225"/>
      <c r="AE195" s="225"/>
      <c r="AF195" s="225"/>
      <c r="AG195" s="225"/>
      <c r="AH195" s="225"/>
      <c r="AI195" s="225"/>
    </row>
    <row r="196" spans="1:35" ht="19.5" customHeight="1" thickBot="1" x14ac:dyDescent="0.35">
      <c r="A196" s="235" t="s">
        <v>524</v>
      </c>
      <c r="B196" s="57" t="s">
        <v>408</v>
      </c>
      <c r="C196" s="243">
        <f>SUMIF(D13:D192,"9050",E13:E192)-1</f>
        <v>1153.9381204134775</v>
      </c>
      <c r="D196" s="216"/>
      <c r="E196" s="243"/>
      <c r="F196" s="243">
        <f t="shared" si="7"/>
        <v>0</v>
      </c>
      <c r="G196" s="243">
        <f t="shared" si="8"/>
        <v>1154</v>
      </c>
      <c r="H196" s="224"/>
      <c r="I196" s="150"/>
      <c r="J196" s="150"/>
      <c r="K196" s="150"/>
      <c r="L196" s="150"/>
      <c r="M196" s="150"/>
      <c r="N196" s="150"/>
      <c r="O196" s="150"/>
      <c r="P196" s="150"/>
      <c r="Q196" s="150"/>
      <c r="R196" s="224"/>
      <c r="S196" s="224"/>
      <c r="T196" s="150"/>
      <c r="U196" s="150"/>
      <c r="V196" s="150"/>
      <c r="W196" s="150"/>
      <c r="X196" s="272"/>
      <c r="Y196" s="272"/>
      <c r="Z196" s="272"/>
      <c r="AA196" s="150"/>
      <c r="AB196" s="150"/>
      <c r="AC196" s="150"/>
      <c r="AD196" s="150"/>
      <c r="AE196" s="150"/>
      <c r="AF196" s="150"/>
      <c r="AG196" s="150"/>
      <c r="AH196" s="150"/>
      <c r="AI196" s="150"/>
    </row>
    <row r="197" spans="1:35" ht="19.5" customHeight="1" thickBot="1" x14ac:dyDescent="0.35">
      <c r="A197" s="235" t="s">
        <v>525</v>
      </c>
      <c r="B197" s="57" t="s">
        <v>409</v>
      </c>
      <c r="C197" s="243">
        <f>SUMIF(D13:D192,"9055",E13:E192)+2</f>
        <v>21425.898543359897</v>
      </c>
      <c r="D197" s="216"/>
      <c r="E197" s="243"/>
      <c r="F197" s="243">
        <f t="shared" si="7"/>
        <v>15627</v>
      </c>
      <c r="G197" s="243">
        <f t="shared" si="8"/>
        <v>5799</v>
      </c>
      <c r="H197" s="224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224"/>
      <c r="T197" s="150"/>
      <c r="U197" s="150"/>
      <c r="V197" s="150"/>
      <c r="W197" s="150"/>
      <c r="X197" s="272">
        <v>5490</v>
      </c>
      <c r="Y197" s="272"/>
      <c r="Z197" s="272"/>
      <c r="AA197" s="150">
        <v>352</v>
      </c>
      <c r="AB197" s="150"/>
      <c r="AC197" s="150"/>
      <c r="AD197" s="150">
        <v>493</v>
      </c>
      <c r="AE197" s="150">
        <v>227</v>
      </c>
      <c r="AF197" s="150"/>
      <c r="AG197" s="150"/>
      <c r="AH197" s="150">
        <v>9065</v>
      </c>
      <c r="AI197" s="150"/>
    </row>
    <row r="198" spans="1:35" ht="19.5" customHeight="1" thickBot="1" x14ac:dyDescent="0.35">
      <c r="A198" s="235" t="s">
        <v>523</v>
      </c>
      <c r="B198" s="57" t="s">
        <v>410</v>
      </c>
      <c r="C198" s="243">
        <f>SUMIF(D13:D192,"9060",E13:E192)-1</f>
        <v>11894.86264025882</v>
      </c>
      <c r="D198" s="216"/>
      <c r="E198" s="243"/>
      <c r="F198" s="243">
        <f t="shared" si="7"/>
        <v>11895</v>
      </c>
      <c r="G198" s="243">
        <f t="shared" si="8"/>
        <v>0</v>
      </c>
      <c r="H198" s="224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224"/>
      <c r="T198" s="150"/>
      <c r="U198" s="150"/>
      <c r="V198" s="150">
        <v>5967</v>
      </c>
      <c r="W198" s="150"/>
      <c r="X198" s="272"/>
      <c r="Y198" s="272">
        <v>4991</v>
      </c>
      <c r="Z198" s="272"/>
      <c r="AA198" s="150"/>
      <c r="AB198" s="150"/>
      <c r="AC198" s="150"/>
      <c r="AD198" s="150">
        <v>937</v>
      </c>
      <c r="AE198" s="150"/>
      <c r="AF198" s="150"/>
      <c r="AG198" s="150"/>
      <c r="AH198" s="150"/>
      <c r="AI198" s="150"/>
    </row>
    <row r="199" spans="1:35" ht="19.5" customHeight="1" thickBot="1" x14ac:dyDescent="0.35">
      <c r="A199" s="235" t="s">
        <v>526</v>
      </c>
      <c r="B199" s="56" t="s">
        <v>411</v>
      </c>
      <c r="C199" s="243">
        <f>SUMIF(D13:D192,"9075",E13:E192)</f>
        <v>20384.65782529788</v>
      </c>
      <c r="D199" s="216"/>
      <c r="E199" s="243"/>
      <c r="F199" s="243">
        <f t="shared" si="7"/>
        <v>20385</v>
      </c>
      <c r="G199" s="243">
        <f t="shared" si="8"/>
        <v>0</v>
      </c>
      <c r="H199" s="224"/>
      <c r="I199" s="150"/>
      <c r="J199" s="150"/>
      <c r="K199" s="150"/>
      <c r="L199" s="150"/>
      <c r="M199" s="150"/>
      <c r="N199" s="150">
        <v>993</v>
      </c>
      <c r="O199" s="150"/>
      <c r="P199" s="150">
        <v>7427</v>
      </c>
      <c r="Q199" s="150"/>
      <c r="R199" s="150"/>
      <c r="S199" s="224"/>
      <c r="T199" s="150">
        <v>4008</v>
      </c>
      <c r="U199" s="150"/>
      <c r="V199" s="150"/>
      <c r="W199" s="150"/>
      <c r="X199" s="272"/>
      <c r="Y199" s="272"/>
      <c r="Z199" s="272"/>
      <c r="AA199" s="150">
        <v>3572</v>
      </c>
      <c r="AB199" s="150"/>
      <c r="AC199" s="150"/>
      <c r="AD199" s="150"/>
      <c r="AE199" s="150"/>
      <c r="AF199" s="150"/>
      <c r="AG199" s="150">
        <v>4385</v>
      </c>
      <c r="AH199" s="150"/>
      <c r="AI199" s="150"/>
    </row>
    <row r="200" spans="1:35" ht="19.5" customHeight="1" thickBot="1" x14ac:dyDescent="0.35">
      <c r="A200" s="235" t="s">
        <v>377</v>
      </c>
      <c r="B200" s="58" t="s">
        <v>382</v>
      </c>
      <c r="C200" s="243">
        <f>SUMIF(D13:D192,"9095",E13:E192)-1</f>
        <v>15706.158437623295</v>
      </c>
      <c r="D200" s="216"/>
      <c r="E200" s="243"/>
      <c r="F200" s="243">
        <f t="shared" si="7"/>
        <v>15706</v>
      </c>
      <c r="G200" s="243">
        <f t="shared" si="8"/>
        <v>0</v>
      </c>
      <c r="H200" s="224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224"/>
      <c r="T200" s="150">
        <v>15706</v>
      </c>
      <c r="U200" s="150"/>
      <c r="V200" s="150"/>
      <c r="W200" s="150"/>
      <c r="X200" s="272"/>
      <c r="Y200" s="272"/>
      <c r="Z200" s="272"/>
      <c r="AA200" s="150"/>
      <c r="AB200" s="150"/>
      <c r="AC200" s="150"/>
      <c r="AD200" s="150"/>
      <c r="AE200" s="150"/>
      <c r="AF200" s="150"/>
      <c r="AG200" s="150"/>
      <c r="AH200" s="150"/>
      <c r="AI200" s="150"/>
    </row>
    <row r="201" spans="1:35" ht="19.5" customHeight="1" thickBot="1" x14ac:dyDescent="0.35">
      <c r="A201" s="236" t="s">
        <v>378</v>
      </c>
      <c r="B201" s="129" t="s">
        <v>383</v>
      </c>
      <c r="C201" s="243">
        <f>SUMIF(D13:D192,"9125",E13:E192)</f>
        <v>0</v>
      </c>
      <c r="D201" s="216"/>
      <c r="E201" s="243"/>
      <c r="F201" s="243">
        <f t="shared" si="7"/>
        <v>0</v>
      </c>
      <c r="G201" s="243">
        <f t="shared" si="8"/>
        <v>0</v>
      </c>
      <c r="H201" s="224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272"/>
      <c r="Y201" s="272"/>
      <c r="Z201" s="272"/>
      <c r="AA201" s="150"/>
      <c r="AB201" s="150"/>
      <c r="AC201" s="150"/>
      <c r="AD201" s="150"/>
      <c r="AE201" s="150"/>
      <c r="AF201" s="150"/>
      <c r="AG201" s="150"/>
      <c r="AH201" s="150"/>
      <c r="AI201" s="150"/>
    </row>
    <row r="202" spans="1:35" ht="16.2" thickBot="1" x14ac:dyDescent="0.35">
      <c r="A202" s="131"/>
      <c r="B202" s="132"/>
      <c r="C202" s="243"/>
      <c r="D202" s="143"/>
      <c r="E202" s="243"/>
      <c r="F202" s="243"/>
      <c r="G202" s="243"/>
      <c r="H202" s="224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224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</row>
    <row r="203" spans="1:35" s="276" customFormat="1" ht="16.2" thickBot="1" x14ac:dyDescent="0.35">
      <c r="A203" s="252" t="s">
        <v>537</v>
      </c>
      <c r="B203" s="252"/>
      <c r="C203" s="252">
        <f>SUM(C13:C201)-E203</f>
        <v>7300712.382078439</v>
      </c>
      <c r="D203" s="252"/>
      <c r="E203" s="252">
        <f>SUM(E13:E201)</f>
        <v>230582.98855993059</v>
      </c>
      <c r="F203" s="252">
        <f t="shared" ref="F203:AH203" si="10">SUM(F13:F201)</f>
        <v>7293759</v>
      </c>
      <c r="G203" s="252">
        <f t="shared" si="10"/>
        <v>6953</v>
      </c>
      <c r="H203" s="252">
        <f t="shared" si="10"/>
        <v>0</v>
      </c>
      <c r="I203" s="252">
        <f t="shared" si="10"/>
        <v>0</v>
      </c>
      <c r="J203" s="252">
        <f t="shared" si="10"/>
        <v>5025</v>
      </c>
      <c r="K203" s="252">
        <f t="shared" si="10"/>
        <v>155270</v>
      </c>
      <c r="L203" s="252">
        <f t="shared" si="10"/>
        <v>425826</v>
      </c>
      <c r="M203" s="252">
        <f t="shared" si="10"/>
        <v>27263</v>
      </c>
      <c r="N203" s="252">
        <f t="shared" si="10"/>
        <v>451829</v>
      </c>
      <c r="O203" s="252">
        <f t="shared" si="10"/>
        <v>377388</v>
      </c>
      <c r="P203" s="252">
        <f t="shared" si="10"/>
        <v>410531</v>
      </c>
      <c r="Q203" s="252">
        <f t="shared" si="10"/>
        <v>1063246</v>
      </c>
      <c r="R203" s="252">
        <f t="shared" si="10"/>
        <v>712095</v>
      </c>
      <c r="S203" s="252">
        <f t="shared" si="10"/>
        <v>468110</v>
      </c>
      <c r="T203" s="252">
        <f t="shared" si="10"/>
        <v>827303</v>
      </c>
      <c r="U203" s="252">
        <f t="shared" si="10"/>
        <v>122501</v>
      </c>
      <c r="V203" s="252">
        <f t="shared" si="10"/>
        <v>232110</v>
      </c>
      <c r="W203" s="252">
        <f t="shared" si="10"/>
        <v>359853</v>
      </c>
      <c r="X203" s="252">
        <f t="shared" si="10"/>
        <v>1060539</v>
      </c>
      <c r="Y203" s="252">
        <f t="shared" si="10"/>
        <v>324566</v>
      </c>
      <c r="Z203" s="252">
        <f t="shared" si="10"/>
        <v>89065</v>
      </c>
      <c r="AA203" s="252">
        <f t="shared" si="10"/>
        <v>83766</v>
      </c>
      <c r="AB203" s="252">
        <f t="shared" si="10"/>
        <v>44162</v>
      </c>
      <c r="AC203" s="252">
        <f t="shared" si="10"/>
        <v>11117</v>
      </c>
      <c r="AD203" s="252">
        <f t="shared" si="10"/>
        <v>9243</v>
      </c>
      <c r="AE203" s="252">
        <f t="shared" si="10"/>
        <v>6196</v>
      </c>
      <c r="AF203" s="252">
        <f t="shared" si="10"/>
        <v>13304</v>
      </c>
      <c r="AG203" s="252">
        <f t="shared" si="10"/>
        <v>4385</v>
      </c>
      <c r="AH203" s="252">
        <f t="shared" si="10"/>
        <v>9065</v>
      </c>
      <c r="AI203" s="252">
        <f t="shared" ref="AI203" si="11">SUM(AI13:AI201)</f>
        <v>1</v>
      </c>
    </row>
    <row r="204" spans="1:35" ht="15.6" x14ac:dyDescent="0.3">
      <c r="A204" s="11" t="s">
        <v>363</v>
      </c>
      <c r="B204" s="11" t="s">
        <v>395</v>
      </c>
      <c r="C204" s="44"/>
      <c r="D204" s="43"/>
      <c r="E204" s="44"/>
      <c r="F204" s="44"/>
      <c r="G204" s="44"/>
      <c r="H204" s="11"/>
      <c r="I204" s="11"/>
      <c r="J204" s="11"/>
      <c r="K204" s="11"/>
      <c r="L204" s="11"/>
      <c r="M204" s="219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:35" ht="15.6" x14ac:dyDescent="0.3">
      <c r="A205" s="11"/>
      <c r="B205" s="11"/>
      <c r="C205" s="44"/>
      <c r="D205" s="43"/>
      <c r="E205" s="44"/>
      <c r="F205" s="44"/>
      <c r="G205" s="44"/>
      <c r="H205" s="11"/>
      <c r="I205" s="11"/>
      <c r="J205" s="11"/>
      <c r="K205" s="219"/>
      <c r="L205" s="11"/>
      <c r="M205" s="11"/>
      <c r="N205" s="153"/>
      <c r="O205" s="153"/>
      <c r="P205" s="219"/>
      <c r="Q205" s="219"/>
      <c r="R205" s="219"/>
      <c r="S205" s="219"/>
      <c r="T205" s="11"/>
      <c r="U205" s="11"/>
      <c r="V205" s="11"/>
      <c r="W205" s="219"/>
      <c r="X205" s="219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:35" ht="15.6" x14ac:dyDescent="0.3">
      <c r="A206" s="11"/>
      <c r="B206" s="11"/>
      <c r="C206" s="44"/>
      <c r="D206" s="43"/>
      <c r="E206" s="44"/>
      <c r="F206" s="44"/>
      <c r="G206" s="44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53"/>
      <c r="S206" s="219"/>
      <c r="T206" s="11"/>
      <c r="U206" s="153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:35" ht="15.6" x14ac:dyDescent="0.3">
      <c r="A207" s="11"/>
      <c r="B207" s="11"/>
      <c r="C207" s="42"/>
      <c r="D207" s="43"/>
      <c r="E207" s="44"/>
      <c r="F207" s="44"/>
      <c r="G207" s="44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:35" ht="15.6" x14ac:dyDescent="0.3">
      <c r="A208" s="11"/>
      <c r="B208" s="11"/>
      <c r="C208" s="44"/>
      <c r="D208" s="43"/>
      <c r="E208" s="44"/>
      <c r="F208" s="44"/>
      <c r="G208" s="44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:35" ht="15.6" x14ac:dyDescent="0.3">
      <c r="A209" s="11"/>
      <c r="B209" s="11"/>
      <c r="C209" s="44"/>
      <c r="D209" s="43"/>
      <c r="E209" s="44"/>
      <c r="F209" s="44"/>
      <c r="G209" s="44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:35" ht="15.6" x14ac:dyDescent="0.3">
      <c r="A210" s="11"/>
      <c r="B210" s="11"/>
      <c r="C210" s="44"/>
      <c r="D210" s="43"/>
      <c r="E210" s="44"/>
      <c r="F210" s="44"/>
      <c r="G210" s="44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:35" ht="15.6" x14ac:dyDescent="0.3">
      <c r="A211" s="11"/>
      <c r="B211" s="11"/>
      <c r="C211" s="44"/>
      <c r="D211" s="43"/>
      <c r="E211" s="44"/>
      <c r="F211" s="44"/>
      <c r="G211" s="44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:35" ht="15.6" x14ac:dyDescent="0.3">
      <c r="A212" s="11"/>
      <c r="B212" s="11"/>
      <c r="C212" s="44"/>
      <c r="D212" s="43"/>
      <c r="E212" s="44"/>
      <c r="F212" s="44"/>
      <c r="G212" s="44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:35" ht="15.6" x14ac:dyDescent="0.3">
      <c r="A213" s="11"/>
      <c r="B213" s="11"/>
      <c r="C213" s="44"/>
      <c r="D213" s="43"/>
      <c r="E213" s="44"/>
      <c r="F213" s="44"/>
      <c r="G213" s="44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:35" ht="15.6" x14ac:dyDescent="0.3">
      <c r="A214" s="11"/>
      <c r="B214" s="11"/>
      <c r="C214" s="44"/>
      <c r="D214" s="43"/>
      <c r="E214" s="44"/>
      <c r="F214" s="44"/>
      <c r="G214" s="44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:35" ht="15.6" x14ac:dyDescent="0.3">
      <c r="A215" s="11"/>
      <c r="B215" s="11"/>
      <c r="C215" s="44"/>
      <c r="D215" s="43"/>
      <c r="E215" s="44"/>
      <c r="F215" s="44"/>
      <c r="G215" s="44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:35" ht="15.6" x14ac:dyDescent="0.3">
      <c r="A216" s="11"/>
      <c r="B216" s="11"/>
      <c r="C216" s="44"/>
      <c r="D216" s="43"/>
      <c r="E216" s="44"/>
      <c r="F216" s="44"/>
      <c r="G216" s="44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:35" ht="15.6" x14ac:dyDescent="0.3">
      <c r="A217" s="11"/>
      <c r="B217" s="11"/>
      <c r="C217" s="44"/>
      <c r="D217" s="43"/>
      <c r="E217" s="44"/>
      <c r="F217" s="44"/>
      <c r="G217" s="44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:35" ht="15.6" x14ac:dyDescent="0.3">
      <c r="A218" s="11"/>
      <c r="B218" s="11"/>
      <c r="C218" s="44"/>
      <c r="D218" s="43"/>
      <c r="E218" s="44"/>
      <c r="F218" s="44"/>
      <c r="G218" s="44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:35" ht="15.6" x14ac:dyDescent="0.3">
      <c r="A219" s="11"/>
      <c r="B219" s="11"/>
      <c r="C219" s="44"/>
      <c r="D219" s="43"/>
      <c r="E219" s="44"/>
      <c r="F219" s="44"/>
      <c r="G219" s="44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:35" ht="15.6" x14ac:dyDescent="0.3">
      <c r="A220" s="11"/>
      <c r="B220" s="11"/>
      <c r="C220" s="44"/>
      <c r="D220" s="43"/>
      <c r="E220" s="44"/>
      <c r="F220" s="44"/>
      <c r="G220" s="44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:35" ht="15.6" x14ac:dyDescent="0.3">
      <c r="A221" s="11"/>
      <c r="B221" s="11"/>
      <c r="C221" s="44"/>
      <c r="D221" s="43"/>
      <c r="E221" s="44"/>
      <c r="F221" s="44"/>
      <c r="G221" s="44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:35" ht="15.6" x14ac:dyDescent="0.3">
      <c r="A222" s="11"/>
      <c r="B222" s="11"/>
      <c r="C222" s="44"/>
      <c r="D222" s="43"/>
      <c r="E222" s="44"/>
      <c r="F222" s="44"/>
      <c r="G222" s="44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:35" ht="15.6" x14ac:dyDescent="0.3">
      <c r="A223" s="11"/>
      <c r="B223" s="11"/>
      <c r="C223" s="44"/>
      <c r="D223" s="43"/>
      <c r="E223" s="44"/>
      <c r="F223" s="44"/>
      <c r="G223" s="44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:35" ht="15.6" x14ac:dyDescent="0.3">
      <c r="A224" s="11"/>
      <c r="B224" s="11"/>
      <c r="C224" s="44"/>
      <c r="D224" s="43"/>
      <c r="E224" s="44"/>
      <c r="F224" s="44"/>
      <c r="G224" s="44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:35" ht="15.6" x14ac:dyDescent="0.3">
      <c r="A225" s="11"/>
      <c r="B225" s="11"/>
      <c r="C225" s="44"/>
      <c r="D225" s="43"/>
      <c r="E225" s="44"/>
      <c r="F225" s="44"/>
      <c r="G225" s="44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:35" ht="15.6" x14ac:dyDescent="0.3">
      <c r="A226" s="11"/>
      <c r="B226" s="11"/>
      <c r="C226" s="44"/>
      <c r="D226" s="43"/>
      <c r="E226" s="44"/>
      <c r="F226" s="44"/>
      <c r="G226" s="44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:35" ht="15.6" x14ac:dyDescent="0.3">
      <c r="A227" s="11"/>
      <c r="B227" s="11"/>
      <c r="C227" s="44"/>
      <c r="D227" s="43"/>
      <c r="E227" s="44"/>
      <c r="F227" s="44"/>
      <c r="G227" s="4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:35" ht="15.6" x14ac:dyDescent="0.3">
      <c r="A228" s="11"/>
      <c r="B228" s="11"/>
      <c r="C228" s="44"/>
      <c r="D228" s="43"/>
      <c r="E228" s="44"/>
      <c r="F228" s="44"/>
      <c r="G228" s="4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:35" ht="15.6" x14ac:dyDescent="0.3">
      <c r="A229" s="11"/>
      <c r="B229" s="11"/>
      <c r="C229" s="44"/>
      <c r="D229" s="43"/>
      <c r="E229" s="44"/>
      <c r="F229" s="44"/>
      <c r="G229" s="4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:35" ht="15.6" x14ac:dyDescent="0.3">
      <c r="A230" s="11"/>
      <c r="B230" s="11"/>
      <c r="C230" s="44"/>
      <c r="D230" s="43"/>
      <c r="E230" s="44"/>
      <c r="F230" s="44"/>
      <c r="G230" s="4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:35" ht="15.6" x14ac:dyDescent="0.3">
      <c r="A231" s="11"/>
      <c r="B231" s="11"/>
      <c r="C231" s="44"/>
      <c r="D231" s="43"/>
      <c r="E231" s="44"/>
      <c r="F231" s="44"/>
      <c r="G231" s="4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:35" ht="15.6" x14ac:dyDescent="0.3">
      <c r="A232" s="11"/>
      <c r="B232" s="11"/>
      <c r="C232" s="44"/>
      <c r="D232" s="43"/>
      <c r="E232" s="44"/>
      <c r="F232" s="44"/>
      <c r="G232" s="4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:35" ht="15.6" x14ac:dyDescent="0.3">
      <c r="A233" s="11"/>
      <c r="B233" s="11"/>
      <c r="C233" s="44"/>
      <c r="D233" s="43"/>
      <c r="E233" s="44"/>
      <c r="F233" s="44"/>
      <c r="G233" s="4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:35" ht="15.6" x14ac:dyDescent="0.3">
      <c r="A234" s="11"/>
      <c r="B234" s="11"/>
      <c r="C234" s="44"/>
      <c r="D234" s="43"/>
      <c r="E234" s="44"/>
      <c r="F234" s="44"/>
      <c r="G234" s="44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:35" ht="15.6" x14ac:dyDescent="0.3">
      <c r="A235" s="11"/>
      <c r="B235" s="11"/>
      <c r="C235" s="44"/>
      <c r="D235" s="43"/>
      <c r="E235" s="44"/>
      <c r="F235" s="44"/>
      <c r="G235" s="44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pans="1:35" ht="15.6" x14ac:dyDescent="0.3">
      <c r="A236" s="11"/>
      <c r="B236" s="11"/>
      <c r="C236" s="44"/>
      <c r="D236" s="43"/>
      <c r="E236" s="44"/>
      <c r="F236" s="44"/>
      <c r="G236" s="44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pans="1:35" ht="15.6" x14ac:dyDescent="0.3">
      <c r="A237" s="11"/>
      <c r="B237" s="11"/>
      <c r="C237" s="44"/>
      <c r="D237" s="43"/>
      <c r="E237" s="44"/>
      <c r="F237" s="44"/>
      <c r="G237" s="44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pans="1:35" ht="15.6" x14ac:dyDescent="0.3">
      <c r="A238" s="11"/>
      <c r="B238" s="11"/>
      <c r="C238" s="44"/>
      <c r="D238" s="43"/>
      <c r="E238" s="44"/>
      <c r="F238" s="44"/>
      <c r="G238" s="44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pans="1:35" ht="15.6" x14ac:dyDescent="0.3">
      <c r="A239" s="11"/>
      <c r="B239" s="11"/>
      <c r="C239" s="44"/>
      <c r="D239" s="43"/>
      <c r="E239" s="44"/>
      <c r="F239" s="44"/>
      <c r="G239" s="44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pans="1:35" ht="15.6" x14ac:dyDescent="0.3">
      <c r="A240" s="11"/>
      <c r="B240" s="11"/>
      <c r="C240" s="44"/>
      <c r="D240" s="43"/>
      <c r="E240" s="44"/>
      <c r="F240" s="44"/>
      <c r="G240" s="44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pans="1:35" ht="15.6" x14ac:dyDescent="0.3">
      <c r="A241" s="11"/>
      <c r="B241" s="11"/>
      <c r="C241" s="44"/>
      <c r="D241" s="43"/>
      <c r="E241" s="44"/>
      <c r="F241" s="44"/>
      <c r="G241" s="44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pans="1:35" ht="15.6" x14ac:dyDescent="0.3">
      <c r="A242" s="11"/>
      <c r="B242" s="11"/>
      <c r="C242" s="44"/>
      <c r="D242" s="43"/>
      <c r="E242" s="44"/>
      <c r="F242" s="44"/>
      <c r="G242" s="44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pans="1:35" ht="15.6" x14ac:dyDescent="0.3">
      <c r="A243" s="11"/>
      <c r="B243" s="11"/>
      <c r="C243" s="44"/>
      <c r="D243" s="43"/>
      <c r="E243" s="44"/>
      <c r="F243" s="44"/>
      <c r="G243" s="44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pans="1:35" ht="15.6" x14ac:dyDescent="0.3">
      <c r="A244" s="11"/>
      <c r="B244" s="11"/>
      <c r="C244" s="44"/>
      <c r="D244" s="43"/>
      <c r="E244" s="44"/>
      <c r="F244" s="44"/>
      <c r="G244" s="44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pans="1:35" ht="15.6" x14ac:dyDescent="0.3">
      <c r="A245" s="11"/>
      <c r="B245" s="11"/>
      <c r="C245" s="44"/>
      <c r="D245" s="43"/>
      <c r="E245" s="44"/>
      <c r="F245" s="44"/>
      <c r="G245" s="44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pans="1:35" ht="15.6" x14ac:dyDescent="0.3">
      <c r="A246" s="11"/>
      <c r="B246" s="11"/>
      <c r="C246" s="44"/>
      <c r="D246" s="43"/>
      <c r="E246" s="44"/>
      <c r="F246" s="44"/>
      <c r="G246" s="44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pans="1:35" ht="15.6" x14ac:dyDescent="0.3">
      <c r="A247" s="11"/>
      <c r="B247" s="11"/>
      <c r="C247" s="44"/>
      <c r="D247" s="43"/>
      <c r="E247" s="44"/>
      <c r="F247" s="44"/>
      <c r="G247" s="44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pans="1:35" ht="15.6" x14ac:dyDescent="0.3">
      <c r="A248" s="11"/>
      <c r="B248" s="11"/>
      <c r="C248" s="44"/>
      <c r="D248" s="43"/>
      <c r="E248" s="44"/>
      <c r="F248" s="44"/>
      <c r="G248" s="44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pans="1:35" ht="15.6" x14ac:dyDescent="0.3">
      <c r="A249" s="11"/>
      <c r="B249" s="11"/>
      <c r="C249" s="44"/>
      <c r="D249" s="43"/>
      <c r="E249" s="44"/>
      <c r="F249" s="44"/>
      <c r="G249" s="44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pans="1:35" ht="15.6" x14ac:dyDescent="0.3">
      <c r="A250" s="11"/>
      <c r="B250" s="11"/>
      <c r="C250" s="44"/>
      <c r="D250" s="43"/>
      <c r="E250" s="44"/>
      <c r="F250" s="44"/>
      <c r="G250" s="44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pans="1:35" ht="15.6" x14ac:dyDescent="0.3">
      <c r="A251" s="11"/>
      <c r="B251" s="11"/>
      <c r="C251" s="44"/>
      <c r="D251" s="43"/>
      <c r="E251" s="44"/>
      <c r="F251" s="44"/>
      <c r="G251" s="44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pans="1:35" ht="15.6" x14ac:dyDescent="0.3">
      <c r="A252" s="11"/>
      <c r="B252" s="11"/>
      <c r="C252" s="44"/>
      <c r="D252" s="43"/>
      <c r="E252" s="44"/>
      <c r="F252" s="44"/>
      <c r="G252" s="44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pans="1:35" ht="15.6" x14ac:dyDescent="0.3">
      <c r="A253" s="11"/>
      <c r="B253" s="11"/>
      <c r="C253" s="44"/>
      <c r="D253" s="43"/>
      <c r="E253" s="44"/>
      <c r="F253" s="44"/>
      <c r="G253" s="44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pans="1:35" ht="15.6" x14ac:dyDescent="0.3">
      <c r="A254" s="11"/>
      <c r="B254" s="11"/>
      <c r="C254" s="44"/>
      <c r="D254" s="43"/>
      <c r="E254" s="44"/>
      <c r="F254" s="44"/>
      <c r="G254" s="44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</row>
    <row r="255" spans="1:35" ht="15.6" x14ac:dyDescent="0.3">
      <c r="A255" s="11"/>
      <c r="B255" s="11"/>
      <c r="C255" s="44"/>
      <c r="D255" s="43"/>
      <c r="E255" s="44"/>
      <c r="F255" s="44"/>
      <c r="G255" s="44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</row>
    <row r="256" spans="1:35" ht="15.6" x14ac:dyDescent="0.3">
      <c r="A256" s="11"/>
      <c r="B256" s="11"/>
      <c r="C256" s="44"/>
      <c r="D256" s="43"/>
      <c r="E256" s="44"/>
      <c r="F256" s="44"/>
      <c r="G256" s="44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</row>
    <row r="257" spans="1:35" ht="15.6" x14ac:dyDescent="0.3">
      <c r="A257" s="11"/>
      <c r="B257" s="11"/>
      <c r="C257" s="44"/>
      <c r="D257" s="43"/>
      <c r="E257" s="44"/>
      <c r="F257" s="44"/>
      <c r="G257" s="44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</row>
    <row r="258" spans="1:35" ht="15.6" x14ac:dyDescent="0.3">
      <c r="A258" s="11"/>
      <c r="B258" s="11"/>
      <c r="C258" s="44"/>
      <c r="D258" s="43"/>
      <c r="E258" s="44"/>
      <c r="F258" s="44"/>
      <c r="G258" s="44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</row>
    <row r="259" spans="1:35" ht="15.6" x14ac:dyDescent="0.3">
      <c r="A259" s="11"/>
      <c r="B259" s="11"/>
      <c r="C259" s="44"/>
      <c r="D259" s="43"/>
      <c r="E259" s="44"/>
      <c r="F259" s="44"/>
      <c r="G259" s="44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</row>
    <row r="260" spans="1:35" ht="15.6" x14ac:dyDescent="0.3">
      <c r="A260" s="11"/>
      <c r="B260" s="11"/>
      <c r="C260" s="44"/>
      <c r="D260" s="43"/>
      <c r="E260" s="44"/>
      <c r="F260" s="44"/>
      <c r="G260" s="44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 spans="1:35" ht="15.6" x14ac:dyDescent="0.3">
      <c r="A261" s="11"/>
      <c r="B261" s="11"/>
      <c r="C261" s="44"/>
      <c r="D261" s="43"/>
      <c r="E261" s="44"/>
      <c r="F261" s="44"/>
      <c r="G261" s="44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</row>
    <row r="262" spans="1:35" ht="15.6" x14ac:dyDescent="0.3">
      <c r="A262" s="11"/>
      <c r="B262" s="11"/>
      <c r="C262" s="44"/>
      <c r="D262" s="43"/>
      <c r="E262" s="44"/>
      <c r="F262" s="44"/>
      <c r="G262" s="44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</row>
    <row r="263" spans="1:35" ht="15.6" x14ac:dyDescent="0.3">
      <c r="A263" s="11"/>
      <c r="B263" s="11"/>
      <c r="C263" s="44"/>
      <c r="D263" s="43"/>
      <c r="E263" s="44"/>
      <c r="F263" s="44"/>
      <c r="G263" s="44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</row>
    <row r="264" spans="1:35" ht="15.6" x14ac:dyDescent="0.3">
      <c r="A264" s="11"/>
      <c r="B264" s="11"/>
      <c r="C264" s="44"/>
      <c r="D264" s="43"/>
      <c r="E264" s="44"/>
      <c r="F264" s="44"/>
      <c r="G264" s="44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</row>
    <row r="265" spans="1:35" ht="15.6" x14ac:dyDescent="0.3">
      <c r="A265" s="11"/>
      <c r="B265" s="11"/>
      <c r="C265" s="44"/>
      <c r="D265" s="43"/>
      <c r="E265" s="44"/>
      <c r="F265" s="44"/>
      <c r="G265" s="44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</row>
    <row r="266" spans="1:35" ht="15.6" x14ac:dyDescent="0.3">
      <c r="A266" s="11"/>
      <c r="B266" s="11"/>
      <c r="C266" s="44"/>
      <c r="D266" s="43"/>
      <c r="E266" s="44"/>
      <c r="F266" s="44"/>
      <c r="G266" s="44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</row>
    <row r="267" spans="1:35" ht="15.6" x14ac:dyDescent="0.3">
      <c r="A267" s="11"/>
      <c r="B267" s="11"/>
      <c r="C267" s="44"/>
      <c r="D267" s="43"/>
      <c r="E267" s="44"/>
      <c r="F267" s="44"/>
      <c r="G267" s="44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</row>
    <row r="268" spans="1:35" ht="15.6" x14ac:dyDescent="0.3">
      <c r="A268" s="11"/>
      <c r="B268" s="11"/>
      <c r="C268" s="44"/>
      <c r="D268" s="43"/>
      <c r="E268" s="44"/>
      <c r="F268" s="44"/>
      <c r="G268" s="44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9CCFF"/>
  </sheetPr>
  <dimension ref="A1:AK192"/>
  <sheetViews>
    <sheetView workbookViewId="0">
      <pane xSplit="7" ySplit="12" topLeftCell="H14" activePane="bottomRight" state="frozen"/>
      <selection activeCell="E155" sqref="E155"/>
      <selection pane="topRight" activeCell="E155" sqref="E155"/>
      <selection pane="bottomLeft" activeCell="E155" sqref="E155"/>
      <selection pane="bottomRight" activeCell="H14" sqref="H14"/>
    </sheetView>
  </sheetViews>
  <sheetFormatPr defaultColWidth="9.109375" defaultRowHeight="14.4" x14ac:dyDescent="0.3"/>
  <cols>
    <col min="1" max="1" width="9.109375" style="2"/>
    <col min="2" max="2" width="29.44140625" style="2" bestFit="1" customWidth="1"/>
    <col min="3" max="3" width="17.6640625" style="2" customWidth="1"/>
    <col min="4" max="4" width="19.6640625" style="12" customWidth="1"/>
    <col min="5" max="5" width="15.109375" style="12" customWidth="1"/>
    <col min="6" max="6" width="15.44140625" style="2" customWidth="1"/>
    <col min="7" max="7" width="15.109375" style="2" customWidth="1"/>
    <col min="8" max="34" width="15.6640625" style="2" customWidth="1"/>
    <col min="35" max="37" width="15.6640625" style="12" customWidth="1"/>
    <col min="38" max="16384" width="9.109375" style="2"/>
  </cols>
  <sheetData>
    <row r="1" spans="1:37" ht="21" x14ac:dyDescent="0.4">
      <c r="A1" s="18" t="s">
        <v>0</v>
      </c>
      <c r="B1" s="19"/>
      <c r="C1" s="20" t="s">
        <v>399</v>
      </c>
      <c r="D1" s="20"/>
      <c r="E1" s="20"/>
      <c r="F1" s="18"/>
      <c r="G1" s="21"/>
      <c r="H1" s="22"/>
      <c r="I1" s="22"/>
      <c r="J1" s="20" t="str">
        <f>C1</f>
        <v>Title III-A SAI Formula</v>
      </c>
      <c r="K1" s="20"/>
      <c r="L1" s="18"/>
      <c r="M1" s="18"/>
      <c r="N1" s="21"/>
      <c r="O1" s="21"/>
      <c r="P1" s="196" t="str">
        <f>C1</f>
        <v>Title III-A SAI Formula</v>
      </c>
      <c r="Q1" s="22"/>
      <c r="R1" s="20"/>
      <c r="S1" s="20"/>
      <c r="T1" s="18"/>
      <c r="U1" s="18"/>
      <c r="V1" s="196" t="str">
        <f>C1</f>
        <v>Title III-A SAI Formula</v>
      </c>
      <c r="W1" s="21"/>
      <c r="X1" s="22"/>
      <c r="Y1" s="22"/>
      <c r="Z1" s="20"/>
      <c r="AA1" s="20"/>
      <c r="AB1" s="196" t="str">
        <f>C1</f>
        <v>Title III-A SAI Formula</v>
      </c>
      <c r="AC1" s="18"/>
      <c r="AD1" s="21"/>
      <c r="AE1" s="21"/>
      <c r="AF1" s="196" t="str">
        <f>C1</f>
        <v>Title III-A SAI Formula</v>
      </c>
      <c r="AG1" s="22"/>
      <c r="AH1" s="20"/>
      <c r="AI1" s="196"/>
      <c r="AJ1" s="196"/>
      <c r="AK1" s="196"/>
    </row>
    <row r="2" spans="1:37" ht="15.6" x14ac:dyDescent="0.3">
      <c r="A2" s="23" t="s">
        <v>1</v>
      </c>
      <c r="B2" s="19"/>
      <c r="C2" s="24">
        <v>84.364999999999995</v>
      </c>
      <c r="D2" s="24"/>
      <c r="E2" s="24"/>
      <c r="F2" s="23"/>
      <c r="G2" s="25"/>
      <c r="H2" s="22"/>
      <c r="I2" s="22"/>
      <c r="J2" s="23" t="str">
        <f>"FY"&amp;C4</f>
        <v>FY2014-15</v>
      </c>
      <c r="K2" s="23"/>
      <c r="L2" s="202"/>
      <c r="M2" s="26"/>
      <c r="N2" s="25"/>
      <c r="O2" s="25"/>
      <c r="P2" s="199" t="str">
        <f>"FY"&amp;C4</f>
        <v>FY2014-15</v>
      </c>
      <c r="Q2" s="25"/>
      <c r="R2" s="23"/>
      <c r="S2" s="23"/>
      <c r="T2" s="26"/>
      <c r="U2" s="26"/>
      <c r="V2" s="199" t="str">
        <f>"FY"&amp;C4</f>
        <v>FY2014-15</v>
      </c>
      <c r="W2" s="25"/>
      <c r="X2" s="25"/>
      <c r="Y2" s="25"/>
      <c r="Z2" s="23"/>
      <c r="AA2" s="23"/>
      <c r="AB2" s="199" t="str">
        <f>"FY"&amp;C4</f>
        <v>FY2014-15</v>
      </c>
      <c r="AC2" s="26"/>
      <c r="AD2" s="25"/>
      <c r="AE2" s="25"/>
      <c r="AF2" s="199" t="str">
        <f>"FY"&amp;C4</f>
        <v>FY2014-15</v>
      </c>
      <c r="AG2" s="25"/>
      <c r="AH2" s="23"/>
      <c r="AI2" s="199"/>
      <c r="AJ2" s="199"/>
      <c r="AK2" s="199"/>
    </row>
    <row r="3" spans="1:37" ht="15.6" x14ac:dyDescent="0.3">
      <c r="A3" s="23" t="s">
        <v>4</v>
      </c>
      <c r="B3" s="19"/>
      <c r="C3" s="26">
        <v>7365</v>
      </c>
      <c r="D3" s="26"/>
      <c r="E3" s="26"/>
      <c r="F3" s="23"/>
      <c r="G3" s="25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198"/>
      <c r="AJ3" s="198"/>
      <c r="AK3" s="198"/>
    </row>
    <row r="4" spans="1:37" ht="21" x14ac:dyDescent="0.4">
      <c r="A4" s="23" t="s">
        <v>2</v>
      </c>
      <c r="B4" s="19"/>
      <c r="C4" s="196" t="s">
        <v>461</v>
      </c>
      <c r="D4" s="26"/>
      <c r="E4" s="26"/>
      <c r="F4" s="25"/>
      <c r="G4" s="25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198"/>
      <c r="AJ4" s="198"/>
      <c r="AK4" s="198"/>
    </row>
    <row r="5" spans="1:37" ht="15.6" x14ac:dyDescent="0.3">
      <c r="A5" s="23" t="s">
        <v>435</v>
      </c>
      <c r="B5" s="19"/>
      <c r="C5" s="181" t="s">
        <v>536</v>
      </c>
      <c r="D5" s="23"/>
      <c r="E5" s="23"/>
      <c r="F5" s="23"/>
      <c r="G5" s="27"/>
      <c r="H5" s="27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04"/>
      <c r="AJ5" s="204"/>
      <c r="AK5" s="204"/>
    </row>
    <row r="6" spans="1:37" ht="15.6" x14ac:dyDescent="0.3">
      <c r="A6" s="23" t="s">
        <v>5</v>
      </c>
      <c r="B6" s="19"/>
      <c r="C6" s="181" t="s">
        <v>368</v>
      </c>
      <c r="D6" s="23"/>
      <c r="E6" s="23"/>
      <c r="F6" s="23"/>
      <c r="G6" s="27"/>
      <c r="H6" s="27"/>
      <c r="I6" s="27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04"/>
      <c r="AJ6" s="204"/>
      <c r="AK6" s="204"/>
    </row>
    <row r="7" spans="1:37" s="12" customFormat="1" ht="15.6" x14ac:dyDescent="0.3">
      <c r="A7" s="23"/>
      <c r="B7" s="19"/>
      <c r="C7" s="181" t="s">
        <v>459</v>
      </c>
      <c r="D7" s="35"/>
      <c r="E7" s="36"/>
      <c r="F7" s="23"/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04"/>
      <c r="AJ7" s="204"/>
      <c r="AK7" s="204"/>
    </row>
    <row r="8" spans="1:37" ht="15.6" x14ac:dyDescent="0.3">
      <c r="A8" s="23"/>
      <c r="B8" s="19"/>
      <c r="C8" s="23"/>
      <c r="D8" s="23"/>
      <c r="E8" s="23"/>
      <c r="F8" s="23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04"/>
      <c r="AJ8" s="204"/>
      <c r="AK8" s="204"/>
    </row>
    <row r="9" spans="1:37" ht="15.6" x14ac:dyDescent="0.3">
      <c r="A9" s="23" t="s">
        <v>384</v>
      </c>
      <c r="B9" s="19"/>
      <c r="C9" s="199" t="s">
        <v>474</v>
      </c>
      <c r="D9" s="23"/>
      <c r="E9" s="23"/>
      <c r="F9" s="25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04"/>
      <c r="AJ9" s="204"/>
      <c r="AK9" s="204"/>
    </row>
    <row r="10" spans="1:37" ht="15.6" x14ac:dyDescent="0.3">
      <c r="A10" s="23" t="s">
        <v>385</v>
      </c>
      <c r="B10" s="19"/>
      <c r="C10" s="23" t="s">
        <v>386</v>
      </c>
      <c r="D10" s="23"/>
      <c r="E10" s="23"/>
      <c r="F10" s="2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04"/>
      <c r="AJ10" s="204"/>
      <c r="AK10" s="204"/>
    </row>
    <row r="11" spans="1:37" s="12" customFormat="1" ht="16.2" thickBot="1" x14ac:dyDescent="0.35">
      <c r="A11" s="23" t="s">
        <v>436</v>
      </c>
      <c r="B11" s="19"/>
      <c r="C11" s="199" t="s">
        <v>470</v>
      </c>
      <c r="D11" s="23"/>
      <c r="E11" s="23"/>
      <c r="F11" s="25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04"/>
      <c r="AJ11" s="204"/>
      <c r="AK11" s="204"/>
    </row>
    <row r="12" spans="1:37" s="4" customFormat="1" ht="32.25" customHeight="1" thickBot="1" x14ac:dyDescent="0.35">
      <c r="A12" s="107" t="s">
        <v>369</v>
      </c>
      <c r="B12" s="108" t="s">
        <v>370</v>
      </c>
      <c r="C12" s="114" t="s">
        <v>371</v>
      </c>
      <c r="D12" s="108" t="s">
        <v>390</v>
      </c>
      <c r="E12" s="116" t="s">
        <v>432</v>
      </c>
      <c r="F12" s="110" t="s">
        <v>372</v>
      </c>
      <c r="G12" s="149" t="s">
        <v>373</v>
      </c>
      <c r="H12" s="111" t="s">
        <v>442</v>
      </c>
      <c r="I12" s="111" t="s">
        <v>443</v>
      </c>
      <c r="J12" s="111" t="s">
        <v>444</v>
      </c>
      <c r="K12" s="111" t="s">
        <v>446</v>
      </c>
      <c r="L12" s="111" t="s">
        <v>447</v>
      </c>
      <c r="M12" s="111" t="s">
        <v>448</v>
      </c>
      <c r="N12" s="111" t="s">
        <v>449</v>
      </c>
      <c r="O12" s="111" t="s">
        <v>450</v>
      </c>
      <c r="P12" s="111" t="s">
        <v>451</v>
      </c>
      <c r="Q12" s="111" t="s">
        <v>452</v>
      </c>
      <c r="R12" s="111" t="s">
        <v>453</v>
      </c>
      <c r="S12" s="111" t="s">
        <v>454</v>
      </c>
      <c r="T12" s="111" t="s">
        <v>455</v>
      </c>
      <c r="U12" s="111" t="s">
        <v>456</v>
      </c>
      <c r="V12" s="111" t="s">
        <v>457</v>
      </c>
      <c r="W12" s="111" t="s">
        <v>464</v>
      </c>
      <c r="X12" s="111" t="s">
        <v>465</v>
      </c>
      <c r="Y12" s="111" t="s">
        <v>466</v>
      </c>
      <c r="Z12" s="111" t="s">
        <v>527</v>
      </c>
      <c r="AA12" s="111" t="s">
        <v>528</v>
      </c>
      <c r="AB12" s="111" t="s">
        <v>529</v>
      </c>
      <c r="AC12" s="111" t="s">
        <v>530</v>
      </c>
      <c r="AD12" s="111" t="s">
        <v>531</v>
      </c>
      <c r="AE12" s="111" t="s">
        <v>532</v>
      </c>
      <c r="AF12" s="111" t="s">
        <v>533</v>
      </c>
      <c r="AG12" s="111" t="s">
        <v>534</v>
      </c>
      <c r="AH12" s="111" t="s">
        <v>535</v>
      </c>
      <c r="AI12" s="111" t="s">
        <v>543</v>
      </c>
      <c r="AJ12" s="111" t="s">
        <v>544</v>
      </c>
      <c r="AK12" s="111" t="s">
        <v>545</v>
      </c>
    </row>
    <row r="13" spans="1:37" ht="16.2" hidden="1" thickBot="1" x14ac:dyDescent="0.35">
      <c r="A13" s="122" t="s">
        <v>8</v>
      </c>
      <c r="B13" s="113" t="s">
        <v>186</v>
      </c>
      <c r="C13" s="187"/>
      <c r="D13" s="214"/>
      <c r="E13" s="88">
        <f>IF(ISBLANK(D13),,C13)</f>
        <v>0</v>
      </c>
      <c r="F13" s="88">
        <f t="shared" ref="F13" si="0">SUM(H13:AH13)</f>
        <v>0</v>
      </c>
      <c r="G13" s="239">
        <f t="shared" ref="G13:G44" si="1">ROUND(IF(ISBLANK(D13),C13-F13,C13-E13),0)</f>
        <v>0</v>
      </c>
      <c r="H13" s="241"/>
      <c r="I13" s="241"/>
      <c r="J13" s="241"/>
      <c r="K13" s="12"/>
      <c r="L13" s="12"/>
      <c r="M13" s="12"/>
      <c r="N13" s="22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7" ht="16.2" thickBot="1" x14ac:dyDescent="0.35">
      <c r="A14" s="122" t="s">
        <v>9</v>
      </c>
      <c r="B14" s="123" t="s">
        <v>187</v>
      </c>
      <c r="C14" s="277">
        <v>53501</v>
      </c>
      <c r="D14" s="214"/>
      <c r="E14" s="243">
        <f>IF(ISBLANK(D14),,C14)</f>
        <v>0</v>
      </c>
      <c r="F14" s="243">
        <f>SUM(H14:AL14)</f>
        <v>53501</v>
      </c>
      <c r="G14" s="243">
        <f t="shared" si="1"/>
        <v>0</v>
      </c>
      <c r="H14" s="280"/>
      <c r="I14" s="280"/>
      <c r="J14" s="280"/>
      <c r="K14" s="224"/>
      <c r="L14" s="224"/>
      <c r="M14" s="224"/>
      <c r="N14" s="224">
        <v>9709</v>
      </c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>
        <v>43792</v>
      </c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</row>
    <row r="15" spans="1:37" ht="16.2" hidden="1" thickBot="1" x14ac:dyDescent="0.35">
      <c r="A15" s="122" t="s">
        <v>10</v>
      </c>
      <c r="B15" s="123" t="s">
        <v>188</v>
      </c>
      <c r="C15" s="277"/>
      <c r="D15" s="214"/>
      <c r="E15" s="243"/>
      <c r="F15" s="243">
        <f t="shared" ref="F15:F78" si="2">SUM(H15:AL15)</f>
        <v>0</v>
      </c>
      <c r="G15" s="243">
        <f t="shared" si="1"/>
        <v>0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</row>
    <row r="16" spans="1:37" ht="16.2" thickBot="1" x14ac:dyDescent="0.35">
      <c r="A16" s="122" t="s">
        <v>11</v>
      </c>
      <c r="B16" s="123" t="s">
        <v>189</v>
      </c>
      <c r="C16" s="277">
        <v>17834</v>
      </c>
      <c r="D16" s="214"/>
      <c r="E16" s="243">
        <f t="shared" ref="E16:E47" si="3">IF(ISBLANK(D16),,C16)</f>
        <v>0</v>
      </c>
      <c r="F16" s="243">
        <f t="shared" si="2"/>
        <v>17452</v>
      </c>
      <c r="G16" s="243">
        <f t="shared" si="1"/>
        <v>382</v>
      </c>
      <c r="H16" s="224"/>
      <c r="I16" s="224"/>
      <c r="J16" s="224"/>
      <c r="K16" s="224"/>
      <c r="L16" s="224"/>
      <c r="M16" s="224"/>
      <c r="N16" s="224">
        <v>3349</v>
      </c>
      <c r="O16" s="224"/>
      <c r="P16" s="224"/>
      <c r="Q16" s="224"/>
      <c r="R16" s="224"/>
      <c r="S16" s="224"/>
      <c r="T16" s="224">
        <v>2734</v>
      </c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>
        <v>4131</v>
      </c>
      <c r="AF16" s="224"/>
      <c r="AG16" s="224">
        <v>1730</v>
      </c>
      <c r="AH16" s="224"/>
      <c r="AI16" s="224">
        <v>5508</v>
      </c>
      <c r="AJ16" s="224"/>
      <c r="AK16" s="224"/>
    </row>
    <row r="17" spans="1:37" ht="16.2" hidden="1" thickBot="1" x14ac:dyDescent="0.35">
      <c r="A17" s="122" t="s">
        <v>12</v>
      </c>
      <c r="B17" s="123" t="s">
        <v>190</v>
      </c>
      <c r="C17" s="277"/>
      <c r="D17" s="214"/>
      <c r="E17" s="243">
        <f t="shared" si="3"/>
        <v>0</v>
      </c>
      <c r="F17" s="243">
        <f t="shared" si="2"/>
        <v>0</v>
      </c>
      <c r="G17" s="243">
        <f t="shared" si="1"/>
        <v>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</row>
    <row r="18" spans="1:37" ht="16.2" hidden="1" thickBot="1" x14ac:dyDescent="0.35">
      <c r="A18" s="122" t="s">
        <v>13</v>
      </c>
      <c r="B18" s="123" t="s">
        <v>191</v>
      </c>
      <c r="C18" s="277"/>
      <c r="D18" s="214"/>
      <c r="E18" s="243">
        <f t="shared" si="3"/>
        <v>0</v>
      </c>
      <c r="F18" s="243">
        <f t="shared" si="2"/>
        <v>0</v>
      </c>
      <c r="G18" s="243">
        <f t="shared" si="1"/>
        <v>0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</row>
    <row r="19" spans="1:37" ht="16.2" thickBot="1" x14ac:dyDescent="0.35">
      <c r="A19" s="122" t="s">
        <v>14</v>
      </c>
      <c r="B19" s="123" t="s">
        <v>192</v>
      </c>
      <c r="C19" s="277">
        <v>39632</v>
      </c>
      <c r="D19" s="214"/>
      <c r="E19" s="243">
        <f t="shared" si="3"/>
        <v>0</v>
      </c>
      <c r="F19" s="243">
        <f t="shared" si="2"/>
        <v>39632</v>
      </c>
      <c r="G19" s="243">
        <f t="shared" si="1"/>
        <v>0</v>
      </c>
      <c r="H19" s="224"/>
      <c r="I19" s="224"/>
      <c r="J19" s="224"/>
      <c r="K19" s="224"/>
      <c r="L19" s="224"/>
      <c r="M19" s="224"/>
      <c r="N19" s="224">
        <v>279</v>
      </c>
      <c r="O19" s="224">
        <v>1484</v>
      </c>
      <c r="P19" s="224"/>
      <c r="Q19" s="224">
        <v>280</v>
      </c>
      <c r="R19" s="224">
        <v>2147</v>
      </c>
      <c r="S19" s="224">
        <v>3469</v>
      </c>
      <c r="T19" s="224">
        <v>8417</v>
      </c>
      <c r="U19" s="224"/>
      <c r="V19" s="224"/>
      <c r="W19" s="224"/>
      <c r="X19" s="224"/>
      <c r="Y19" s="224">
        <v>756</v>
      </c>
      <c r="Z19" s="224"/>
      <c r="AA19" s="224"/>
      <c r="AB19" s="224">
        <v>12426</v>
      </c>
      <c r="AC19" s="224"/>
      <c r="AD19" s="224">
        <v>6606</v>
      </c>
      <c r="AE19" s="224">
        <v>3419</v>
      </c>
      <c r="AF19" s="224"/>
      <c r="AG19" s="224">
        <v>349</v>
      </c>
      <c r="AH19" s="224"/>
      <c r="AI19" s="224"/>
      <c r="AJ19" s="224"/>
      <c r="AK19" s="224"/>
    </row>
    <row r="20" spans="1:37" ht="16.2" hidden="1" thickBot="1" x14ac:dyDescent="0.35">
      <c r="A20" s="122" t="s">
        <v>15</v>
      </c>
      <c r="B20" s="123" t="s">
        <v>193</v>
      </c>
      <c r="C20" s="277"/>
      <c r="D20" s="214"/>
      <c r="E20" s="243">
        <f t="shared" si="3"/>
        <v>0</v>
      </c>
      <c r="F20" s="243">
        <f t="shared" si="2"/>
        <v>0</v>
      </c>
      <c r="G20" s="243">
        <f t="shared" si="1"/>
        <v>0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</row>
    <row r="21" spans="1:37" ht="16.2" hidden="1" thickBot="1" x14ac:dyDescent="0.35">
      <c r="A21" s="122" t="s">
        <v>16</v>
      </c>
      <c r="B21" s="123" t="s">
        <v>194</v>
      </c>
      <c r="C21" s="277"/>
      <c r="D21" s="214"/>
      <c r="E21" s="243">
        <f t="shared" si="3"/>
        <v>0</v>
      </c>
      <c r="F21" s="243">
        <f t="shared" si="2"/>
        <v>0</v>
      </c>
      <c r="G21" s="243">
        <f t="shared" si="1"/>
        <v>0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</row>
    <row r="22" spans="1:37" ht="16.2" hidden="1" thickBot="1" x14ac:dyDescent="0.35">
      <c r="A22" s="122" t="s">
        <v>17</v>
      </c>
      <c r="B22" s="123" t="s">
        <v>195</v>
      </c>
      <c r="C22" s="277"/>
      <c r="D22" s="214"/>
      <c r="E22" s="243">
        <f t="shared" si="3"/>
        <v>0</v>
      </c>
      <c r="F22" s="243">
        <f t="shared" si="2"/>
        <v>0</v>
      </c>
      <c r="G22" s="243">
        <f t="shared" si="1"/>
        <v>0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</row>
    <row r="23" spans="1:37" ht="16.2" hidden="1" thickBot="1" x14ac:dyDescent="0.35">
      <c r="A23" s="122" t="s">
        <v>18</v>
      </c>
      <c r="B23" s="123" t="s">
        <v>196</v>
      </c>
      <c r="C23" s="277"/>
      <c r="D23" s="214"/>
      <c r="E23" s="243">
        <f t="shared" si="3"/>
        <v>0</v>
      </c>
      <c r="F23" s="243">
        <f t="shared" si="2"/>
        <v>0</v>
      </c>
      <c r="G23" s="243">
        <f t="shared" si="1"/>
        <v>0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</row>
    <row r="24" spans="1:37" ht="16.2" thickBot="1" x14ac:dyDescent="0.35">
      <c r="A24" s="122" t="s">
        <v>19</v>
      </c>
      <c r="B24" s="123" t="s">
        <v>197</v>
      </c>
      <c r="C24" s="277">
        <v>663806</v>
      </c>
      <c r="D24" s="214"/>
      <c r="E24" s="243">
        <f t="shared" si="3"/>
        <v>0</v>
      </c>
      <c r="F24" s="243">
        <f t="shared" si="2"/>
        <v>401574</v>
      </c>
      <c r="G24" s="243">
        <f t="shared" si="1"/>
        <v>262232</v>
      </c>
      <c r="H24" s="225"/>
      <c r="I24" s="225"/>
      <c r="J24" s="225"/>
      <c r="K24" s="225"/>
      <c r="L24" s="225"/>
      <c r="M24" s="225"/>
      <c r="N24" s="225"/>
      <c r="O24" s="225">
        <v>23002</v>
      </c>
      <c r="P24" s="225">
        <v>29775</v>
      </c>
      <c r="Q24" s="225">
        <v>35863</v>
      </c>
      <c r="R24" s="225"/>
      <c r="S24" s="225">
        <f>27622+30480</f>
        <v>58102</v>
      </c>
      <c r="T24" s="225">
        <v>28478</v>
      </c>
      <c r="U24" s="225">
        <v>20628</v>
      </c>
      <c r="V24" s="225"/>
      <c r="W24" s="225"/>
      <c r="X24" s="225">
        <f>46229+8874</f>
        <v>55103</v>
      </c>
      <c r="Y24" s="225">
        <v>9421</v>
      </c>
      <c r="Z24" s="225">
        <v>18249</v>
      </c>
      <c r="AA24" s="225">
        <f>20401+18275</f>
        <v>38676</v>
      </c>
      <c r="AB24" s="225"/>
      <c r="AC24" s="225">
        <v>16297</v>
      </c>
      <c r="AD24" s="225"/>
      <c r="AE24" s="225">
        <v>12461</v>
      </c>
      <c r="AF24" s="225"/>
      <c r="AG24" s="225"/>
      <c r="AH24" s="225"/>
      <c r="AI24" s="225">
        <v>2981</v>
      </c>
      <c r="AJ24" s="225"/>
      <c r="AK24" s="225">
        <v>52538</v>
      </c>
    </row>
    <row r="25" spans="1:37" ht="16.2" hidden="1" thickBot="1" x14ac:dyDescent="0.35">
      <c r="A25" s="122" t="s">
        <v>23</v>
      </c>
      <c r="B25" s="123" t="s">
        <v>201</v>
      </c>
      <c r="C25" s="277"/>
      <c r="D25" s="214"/>
      <c r="E25" s="243">
        <f t="shared" si="3"/>
        <v>0</v>
      </c>
      <c r="F25" s="243">
        <f t="shared" si="2"/>
        <v>0</v>
      </c>
      <c r="G25" s="243">
        <f t="shared" si="1"/>
        <v>0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</row>
    <row r="26" spans="1:37" ht="16.2" hidden="1" thickBot="1" x14ac:dyDescent="0.35">
      <c r="A26" s="122" t="s">
        <v>24</v>
      </c>
      <c r="B26" s="123" t="s">
        <v>202</v>
      </c>
      <c r="C26" s="277"/>
      <c r="D26" s="214"/>
      <c r="E26" s="243">
        <f t="shared" si="3"/>
        <v>0</v>
      </c>
      <c r="F26" s="243">
        <f t="shared" si="2"/>
        <v>0</v>
      </c>
      <c r="G26" s="243">
        <f t="shared" si="1"/>
        <v>0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</row>
    <row r="27" spans="1:37" ht="16.2" hidden="1" thickBot="1" x14ac:dyDescent="0.35">
      <c r="A27" s="122" t="s">
        <v>25</v>
      </c>
      <c r="B27" s="123" t="s">
        <v>203</v>
      </c>
      <c r="C27" s="277"/>
      <c r="D27" s="214"/>
      <c r="E27" s="243">
        <f t="shared" si="3"/>
        <v>0</v>
      </c>
      <c r="F27" s="243">
        <f t="shared" si="2"/>
        <v>0</v>
      </c>
      <c r="G27" s="243">
        <f t="shared" si="1"/>
        <v>0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</row>
    <row r="28" spans="1:37" ht="16.2" hidden="1" thickBot="1" x14ac:dyDescent="0.35">
      <c r="A28" s="122" t="s">
        <v>26</v>
      </c>
      <c r="B28" s="123" t="s">
        <v>204</v>
      </c>
      <c r="C28" s="277"/>
      <c r="D28" s="214"/>
      <c r="E28" s="243">
        <f t="shared" si="3"/>
        <v>0</v>
      </c>
      <c r="F28" s="243">
        <f t="shared" si="2"/>
        <v>0</v>
      </c>
      <c r="G28" s="243">
        <f t="shared" si="1"/>
        <v>0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</row>
    <row r="29" spans="1:37" ht="16.2" hidden="1" thickBot="1" x14ac:dyDescent="0.35">
      <c r="A29" s="122" t="s">
        <v>27</v>
      </c>
      <c r="B29" s="123" t="s">
        <v>205</v>
      </c>
      <c r="C29" s="277"/>
      <c r="D29" s="214"/>
      <c r="E29" s="243">
        <f t="shared" si="3"/>
        <v>0</v>
      </c>
      <c r="F29" s="243">
        <f t="shared" si="2"/>
        <v>0</v>
      </c>
      <c r="G29" s="243">
        <f t="shared" si="1"/>
        <v>0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</row>
    <row r="30" spans="1:37" ht="16.2" hidden="1" thickBot="1" x14ac:dyDescent="0.35">
      <c r="A30" s="122" t="s">
        <v>28</v>
      </c>
      <c r="B30" s="123" t="s">
        <v>206</v>
      </c>
      <c r="C30" s="277"/>
      <c r="D30" s="214"/>
      <c r="E30" s="243">
        <f t="shared" si="3"/>
        <v>0</v>
      </c>
      <c r="F30" s="243">
        <f t="shared" si="2"/>
        <v>0</v>
      </c>
      <c r="G30" s="243">
        <f t="shared" si="1"/>
        <v>0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</row>
    <row r="31" spans="1:37" ht="16.2" hidden="1" thickBot="1" x14ac:dyDescent="0.35">
      <c r="A31" s="122" t="s">
        <v>29</v>
      </c>
      <c r="B31" s="123" t="s">
        <v>207</v>
      </c>
      <c r="C31" s="277"/>
      <c r="D31" s="214"/>
      <c r="E31" s="243">
        <f t="shared" si="3"/>
        <v>0</v>
      </c>
      <c r="F31" s="243">
        <f t="shared" si="2"/>
        <v>0</v>
      </c>
      <c r="G31" s="243">
        <f t="shared" si="1"/>
        <v>0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</row>
    <row r="32" spans="1:37" ht="16.2" hidden="1" thickBot="1" x14ac:dyDescent="0.35">
      <c r="A32" s="122" t="s">
        <v>30</v>
      </c>
      <c r="B32" s="123" t="s">
        <v>208</v>
      </c>
      <c r="C32" s="277"/>
      <c r="D32" s="214"/>
      <c r="E32" s="243">
        <f t="shared" si="3"/>
        <v>0</v>
      </c>
      <c r="F32" s="243">
        <f t="shared" si="2"/>
        <v>0</v>
      </c>
      <c r="G32" s="243">
        <f t="shared" si="1"/>
        <v>0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</row>
    <row r="33" spans="1:37" ht="16.2" hidden="1" thickBot="1" x14ac:dyDescent="0.35">
      <c r="A33" s="122" t="s">
        <v>31</v>
      </c>
      <c r="B33" s="123" t="s">
        <v>209</v>
      </c>
      <c r="C33" s="277"/>
      <c r="D33" s="214"/>
      <c r="E33" s="243">
        <f t="shared" si="3"/>
        <v>0</v>
      </c>
      <c r="F33" s="243">
        <f t="shared" si="2"/>
        <v>0</v>
      </c>
      <c r="G33" s="243">
        <f t="shared" si="1"/>
        <v>0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</row>
    <row r="34" spans="1:37" ht="16.2" hidden="1" thickBot="1" x14ac:dyDescent="0.35">
      <c r="A34" s="122" t="s">
        <v>32</v>
      </c>
      <c r="B34" s="123" t="s">
        <v>210</v>
      </c>
      <c r="C34" s="277"/>
      <c r="D34" s="214"/>
      <c r="E34" s="243">
        <f t="shared" si="3"/>
        <v>0</v>
      </c>
      <c r="F34" s="243">
        <f t="shared" si="2"/>
        <v>0</v>
      </c>
      <c r="G34" s="243">
        <f t="shared" si="1"/>
        <v>0</v>
      </c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</row>
    <row r="35" spans="1:37" ht="16.2" hidden="1" thickBot="1" x14ac:dyDescent="0.35">
      <c r="A35" s="122" t="s">
        <v>33</v>
      </c>
      <c r="B35" s="123" t="s">
        <v>211</v>
      </c>
      <c r="C35" s="277"/>
      <c r="D35" s="214"/>
      <c r="E35" s="243">
        <f t="shared" si="3"/>
        <v>0</v>
      </c>
      <c r="F35" s="243">
        <f t="shared" si="2"/>
        <v>0</v>
      </c>
      <c r="G35" s="243">
        <f t="shared" si="1"/>
        <v>0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</row>
    <row r="36" spans="1:37" ht="16.2" hidden="1" thickBot="1" x14ac:dyDescent="0.35">
      <c r="A36" s="122" t="s">
        <v>34</v>
      </c>
      <c r="B36" s="123" t="s">
        <v>212</v>
      </c>
      <c r="C36" s="277"/>
      <c r="D36" s="214"/>
      <c r="E36" s="243">
        <f t="shared" si="3"/>
        <v>0</v>
      </c>
      <c r="F36" s="243">
        <f t="shared" si="2"/>
        <v>0</v>
      </c>
      <c r="G36" s="243">
        <f t="shared" si="1"/>
        <v>0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</row>
    <row r="37" spans="1:37" ht="16.2" hidden="1" thickBot="1" x14ac:dyDescent="0.35">
      <c r="A37" s="122" t="s">
        <v>35</v>
      </c>
      <c r="B37" s="123" t="s">
        <v>213</v>
      </c>
      <c r="C37" s="277"/>
      <c r="D37" s="214"/>
      <c r="E37" s="243">
        <f t="shared" si="3"/>
        <v>0</v>
      </c>
      <c r="F37" s="243">
        <f t="shared" si="2"/>
        <v>0</v>
      </c>
      <c r="G37" s="243">
        <f t="shared" si="1"/>
        <v>0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</row>
    <row r="38" spans="1:37" ht="16.2" hidden="1" thickBot="1" x14ac:dyDescent="0.35">
      <c r="A38" s="122" t="s">
        <v>36</v>
      </c>
      <c r="B38" s="123" t="s">
        <v>214</v>
      </c>
      <c r="C38" s="277"/>
      <c r="D38" s="214"/>
      <c r="E38" s="243">
        <f t="shared" si="3"/>
        <v>0</v>
      </c>
      <c r="F38" s="243">
        <f t="shared" si="2"/>
        <v>0</v>
      </c>
      <c r="G38" s="243">
        <f t="shared" si="1"/>
        <v>0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</row>
    <row r="39" spans="1:37" ht="16.2" hidden="1" thickBot="1" x14ac:dyDescent="0.35">
      <c r="A39" s="122" t="s">
        <v>37</v>
      </c>
      <c r="B39" s="123" t="s">
        <v>215</v>
      </c>
      <c r="C39" s="277"/>
      <c r="D39" s="214"/>
      <c r="E39" s="243">
        <f t="shared" si="3"/>
        <v>0</v>
      </c>
      <c r="F39" s="243">
        <f t="shared" si="2"/>
        <v>0</v>
      </c>
      <c r="G39" s="243">
        <f t="shared" si="1"/>
        <v>0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</row>
    <row r="40" spans="1:37" ht="16.2" hidden="1" thickBot="1" x14ac:dyDescent="0.35">
      <c r="A40" s="122" t="s">
        <v>38</v>
      </c>
      <c r="B40" s="123" t="s">
        <v>216</v>
      </c>
      <c r="C40" s="277"/>
      <c r="D40" s="214"/>
      <c r="E40" s="243">
        <f t="shared" si="3"/>
        <v>0</v>
      </c>
      <c r="F40" s="243">
        <f t="shared" si="2"/>
        <v>0</v>
      </c>
      <c r="G40" s="243">
        <f t="shared" si="1"/>
        <v>0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</row>
    <row r="41" spans="1:37" ht="16.2" hidden="1" thickBot="1" x14ac:dyDescent="0.35">
      <c r="A41" s="122" t="s">
        <v>39</v>
      </c>
      <c r="B41" s="123" t="s">
        <v>217</v>
      </c>
      <c r="C41" s="277"/>
      <c r="D41" s="214"/>
      <c r="E41" s="243">
        <f t="shared" si="3"/>
        <v>0</v>
      </c>
      <c r="F41" s="243">
        <f t="shared" si="2"/>
        <v>0</v>
      </c>
      <c r="G41" s="243">
        <f t="shared" si="1"/>
        <v>0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</row>
    <row r="42" spans="1:37" ht="16.2" hidden="1" thickBot="1" x14ac:dyDescent="0.35">
      <c r="A42" s="122" t="s">
        <v>40</v>
      </c>
      <c r="B42" s="123" t="s">
        <v>218</v>
      </c>
      <c r="C42" s="277"/>
      <c r="D42" s="214"/>
      <c r="E42" s="243">
        <f t="shared" si="3"/>
        <v>0</v>
      </c>
      <c r="F42" s="243">
        <f t="shared" si="2"/>
        <v>0</v>
      </c>
      <c r="G42" s="243">
        <f t="shared" si="1"/>
        <v>0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</row>
    <row r="43" spans="1:37" ht="16.2" hidden="1" thickBot="1" x14ac:dyDescent="0.35">
      <c r="A43" s="122" t="s">
        <v>41</v>
      </c>
      <c r="B43" s="123" t="s">
        <v>219</v>
      </c>
      <c r="C43" s="277"/>
      <c r="D43" s="214"/>
      <c r="E43" s="243">
        <f t="shared" si="3"/>
        <v>0</v>
      </c>
      <c r="F43" s="243">
        <f t="shared" si="2"/>
        <v>0</v>
      </c>
      <c r="G43" s="243">
        <f t="shared" si="1"/>
        <v>0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</row>
    <row r="44" spans="1:37" ht="16.2" hidden="1" thickBot="1" x14ac:dyDescent="0.35">
      <c r="A44" s="122" t="s">
        <v>42</v>
      </c>
      <c r="B44" s="124" t="s">
        <v>220</v>
      </c>
      <c r="C44" s="277"/>
      <c r="D44" s="214"/>
      <c r="E44" s="243">
        <f t="shared" si="3"/>
        <v>0</v>
      </c>
      <c r="F44" s="243">
        <f t="shared" si="2"/>
        <v>0</v>
      </c>
      <c r="G44" s="243">
        <f t="shared" si="1"/>
        <v>0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</row>
    <row r="45" spans="1:37" ht="16.2" thickBot="1" x14ac:dyDescent="0.35">
      <c r="A45" s="122" t="s">
        <v>43</v>
      </c>
      <c r="B45" s="123" t="s">
        <v>221</v>
      </c>
      <c r="C45" s="277">
        <v>991</v>
      </c>
      <c r="D45" s="214">
        <v>9055</v>
      </c>
      <c r="E45" s="243">
        <f t="shared" si="3"/>
        <v>991</v>
      </c>
      <c r="F45" s="243">
        <f t="shared" si="2"/>
        <v>0</v>
      </c>
      <c r="G45" s="243">
        <f t="shared" ref="G45:G76" si="4">ROUND(IF(ISBLANK(D45),C45-F45,C45-E45),0)</f>
        <v>0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</row>
    <row r="46" spans="1:37" ht="16.2" hidden="1" thickBot="1" x14ac:dyDescent="0.35">
      <c r="A46" s="122" t="s">
        <v>44</v>
      </c>
      <c r="B46" s="123" t="s">
        <v>222</v>
      </c>
      <c r="C46" s="277"/>
      <c r="D46" s="214"/>
      <c r="E46" s="243">
        <f t="shared" si="3"/>
        <v>0</v>
      </c>
      <c r="F46" s="243">
        <f t="shared" si="2"/>
        <v>0</v>
      </c>
      <c r="G46" s="243">
        <f t="shared" si="4"/>
        <v>0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</row>
    <row r="47" spans="1:37" ht="16.2" hidden="1" thickBot="1" x14ac:dyDescent="0.35">
      <c r="A47" s="122" t="s">
        <v>45</v>
      </c>
      <c r="B47" s="123" t="s">
        <v>223</v>
      </c>
      <c r="C47" s="277"/>
      <c r="D47" s="214"/>
      <c r="E47" s="243">
        <f t="shared" si="3"/>
        <v>0</v>
      </c>
      <c r="F47" s="243">
        <f t="shared" si="2"/>
        <v>0</v>
      </c>
      <c r="G47" s="243">
        <f t="shared" si="4"/>
        <v>0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</row>
    <row r="48" spans="1:37" ht="16.2" hidden="1" thickBot="1" x14ac:dyDescent="0.35">
      <c r="A48" s="122" t="s">
        <v>47</v>
      </c>
      <c r="B48" s="123" t="s">
        <v>225</v>
      </c>
      <c r="C48" s="277"/>
      <c r="D48" s="214"/>
      <c r="E48" s="243">
        <f t="shared" ref="E48:E79" si="5">IF(ISBLANK(D48),,C48)</f>
        <v>0</v>
      </c>
      <c r="F48" s="243">
        <f t="shared" si="2"/>
        <v>0</v>
      </c>
      <c r="G48" s="243">
        <f t="shared" si="4"/>
        <v>0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</row>
    <row r="49" spans="1:37" ht="16.2" hidden="1" thickBot="1" x14ac:dyDescent="0.35">
      <c r="A49" s="122" t="s">
        <v>48</v>
      </c>
      <c r="B49" s="123" t="s">
        <v>226</v>
      </c>
      <c r="C49" s="277"/>
      <c r="D49" s="214"/>
      <c r="E49" s="243">
        <f t="shared" si="5"/>
        <v>0</v>
      </c>
      <c r="F49" s="243">
        <f t="shared" si="2"/>
        <v>0</v>
      </c>
      <c r="G49" s="243">
        <f t="shared" si="4"/>
        <v>0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</row>
    <row r="50" spans="1:37" ht="16.2" hidden="1" thickBot="1" x14ac:dyDescent="0.35">
      <c r="A50" s="122" t="s">
        <v>49</v>
      </c>
      <c r="B50" s="123" t="s">
        <v>227</v>
      </c>
      <c r="C50" s="277"/>
      <c r="D50" s="214"/>
      <c r="E50" s="243">
        <f t="shared" si="5"/>
        <v>0</v>
      </c>
      <c r="F50" s="243">
        <f t="shared" si="2"/>
        <v>0</v>
      </c>
      <c r="G50" s="243">
        <f t="shared" si="4"/>
        <v>0</v>
      </c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</row>
    <row r="51" spans="1:37" ht="16.2" hidden="1" thickBot="1" x14ac:dyDescent="0.35">
      <c r="A51" s="122" t="s">
        <v>50</v>
      </c>
      <c r="B51" s="123" t="s">
        <v>228</v>
      </c>
      <c r="C51" s="277"/>
      <c r="D51" s="214"/>
      <c r="E51" s="243">
        <f t="shared" si="5"/>
        <v>0</v>
      </c>
      <c r="F51" s="243">
        <f t="shared" si="2"/>
        <v>0</v>
      </c>
      <c r="G51" s="243">
        <f t="shared" si="4"/>
        <v>0</v>
      </c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</row>
    <row r="52" spans="1:37" ht="16.2" hidden="1" thickBot="1" x14ac:dyDescent="0.35">
      <c r="A52" s="122" t="s">
        <v>51</v>
      </c>
      <c r="B52" s="123" t="s">
        <v>229</v>
      </c>
      <c r="C52" s="277"/>
      <c r="D52" s="214"/>
      <c r="E52" s="243">
        <f t="shared" si="5"/>
        <v>0</v>
      </c>
      <c r="F52" s="243">
        <f t="shared" si="2"/>
        <v>0</v>
      </c>
      <c r="G52" s="243">
        <f t="shared" si="4"/>
        <v>0</v>
      </c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</row>
    <row r="53" spans="1:37" ht="16.2" hidden="1" thickBot="1" x14ac:dyDescent="0.35">
      <c r="A53" s="122" t="s">
        <v>52</v>
      </c>
      <c r="B53" s="123" t="s">
        <v>230</v>
      </c>
      <c r="C53" s="277"/>
      <c r="D53" s="214"/>
      <c r="E53" s="243">
        <f t="shared" si="5"/>
        <v>0</v>
      </c>
      <c r="F53" s="243">
        <f t="shared" si="2"/>
        <v>0</v>
      </c>
      <c r="G53" s="243">
        <f t="shared" si="4"/>
        <v>0</v>
      </c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</row>
    <row r="54" spans="1:37" ht="16.2" hidden="1" thickBot="1" x14ac:dyDescent="0.35">
      <c r="A54" s="122" t="s">
        <v>53</v>
      </c>
      <c r="B54" s="123" t="s">
        <v>231</v>
      </c>
      <c r="C54" s="277"/>
      <c r="D54" s="214"/>
      <c r="E54" s="243">
        <f t="shared" si="5"/>
        <v>0</v>
      </c>
      <c r="F54" s="243">
        <f t="shared" si="2"/>
        <v>0</v>
      </c>
      <c r="G54" s="243">
        <f t="shared" si="4"/>
        <v>0</v>
      </c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</row>
    <row r="55" spans="1:37" ht="16.2" hidden="1" thickBot="1" x14ac:dyDescent="0.35">
      <c r="A55" s="122" t="s">
        <v>54</v>
      </c>
      <c r="B55" s="123" t="s">
        <v>232</v>
      </c>
      <c r="C55" s="277"/>
      <c r="D55" s="214"/>
      <c r="E55" s="243">
        <f t="shared" si="5"/>
        <v>0</v>
      </c>
      <c r="F55" s="243">
        <f t="shared" si="2"/>
        <v>0</v>
      </c>
      <c r="G55" s="243">
        <f t="shared" si="4"/>
        <v>0</v>
      </c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</row>
    <row r="56" spans="1:37" ht="16.2" hidden="1" thickBot="1" x14ac:dyDescent="0.35">
      <c r="A56" s="122" t="s">
        <v>55</v>
      </c>
      <c r="B56" s="123" t="s">
        <v>233</v>
      </c>
      <c r="C56" s="277"/>
      <c r="D56" s="214"/>
      <c r="E56" s="243">
        <f t="shared" si="5"/>
        <v>0</v>
      </c>
      <c r="F56" s="243">
        <f t="shared" si="2"/>
        <v>0</v>
      </c>
      <c r="G56" s="243">
        <f t="shared" si="4"/>
        <v>0</v>
      </c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</row>
    <row r="57" spans="1:37" ht="16.2" hidden="1" thickBot="1" x14ac:dyDescent="0.35">
      <c r="A57" s="122" t="s">
        <v>56</v>
      </c>
      <c r="B57" s="123" t="s">
        <v>234</v>
      </c>
      <c r="C57" s="277"/>
      <c r="D57" s="214"/>
      <c r="E57" s="243">
        <f t="shared" si="5"/>
        <v>0</v>
      </c>
      <c r="F57" s="243">
        <f t="shared" si="2"/>
        <v>0</v>
      </c>
      <c r="G57" s="243">
        <f t="shared" si="4"/>
        <v>0</v>
      </c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</row>
    <row r="58" spans="1:37" ht="16.2" thickBot="1" x14ac:dyDescent="0.35">
      <c r="A58" s="122" t="s">
        <v>57</v>
      </c>
      <c r="B58" s="123" t="s">
        <v>235</v>
      </c>
      <c r="C58" s="277">
        <v>43594</v>
      </c>
      <c r="D58" s="214"/>
      <c r="E58" s="243">
        <f t="shared" si="5"/>
        <v>0</v>
      </c>
      <c r="F58" s="243">
        <f t="shared" si="2"/>
        <v>43594</v>
      </c>
      <c r="G58" s="243">
        <f t="shared" si="4"/>
        <v>0</v>
      </c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>
        <v>17273</v>
      </c>
      <c r="U58" s="225">
        <v>21549</v>
      </c>
      <c r="V58" s="225">
        <v>776</v>
      </c>
      <c r="W58" s="225"/>
      <c r="X58" s="225"/>
      <c r="Y58" s="225"/>
      <c r="Z58" s="225"/>
      <c r="AA58" s="225"/>
      <c r="AB58" s="225"/>
      <c r="AC58" s="225"/>
      <c r="AD58" s="225">
        <v>346</v>
      </c>
      <c r="AE58" s="225"/>
      <c r="AF58" s="225"/>
      <c r="AG58" s="225"/>
      <c r="AH58" s="225">
        <v>7</v>
      </c>
      <c r="AI58" s="225"/>
      <c r="AJ58" s="225">
        <v>1674</v>
      </c>
      <c r="AK58" s="225">
        <v>1969</v>
      </c>
    </row>
    <row r="59" spans="1:37" ht="16.2" hidden="1" thickBot="1" x14ac:dyDescent="0.35">
      <c r="A59" s="122" t="s">
        <v>58</v>
      </c>
      <c r="B59" s="123" t="s">
        <v>236</v>
      </c>
      <c r="C59" s="277"/>
      <c r="D59" s="214"/>
      <c r="E59" s="243">
        <f t="shared" si="5"/>
        <v>0</v>
      </c>
      <c r="F59" s="243">
        <f t="shared" si="2"/>
        <v>0</v>
      </c>
      <c r="G59" s="243">
        <f t="shared" si="4"/>
        <v>0</v>
      </c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</row>
    <row r="60" spans="1:37" ht="16.2" hidden="1" thickBot="1" x14ac:dyDescent="0.35">
      <c r="A60" s="122" t="s">
        <v>59</v>
      </c>
      <c r="B60" s="123" t="s">
        <v>237</v>
      </c>
      <c r="C60" s="277"/>
      <c r="D60" s="214"/>
      <c r="E60" s="243">
        <f t="shared" si="5"/>
        <v>0</v>
      </c>
      <c r="F60" s="243">
        <f t="shared" si="2"/>
        <v>0</v>
      </c>
      <c r="G60" s="243">
        <f t="shared" si="4"/>
        <v>0</v>
      </c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</row>
    <row r="61" spans="1:37" ht="16.2" thickBot="1" x14ac:dyDescent="0.35">
      <c r="A61" s="122" t="s">
        <v>61</v>
      </c>
      <c r="B61" s="123" t="s">
        <v>239</v>
      </c>
      <c r="C61" s="277">
        <v>13871</v>
      </c>
      <c r="D61" s="214"/>
      <c r="E61" s="243">
        <f t="shared" si="5"/>
        <v>0</v>
      </c>
      <c r="F61" s="243">
        <f t="shared" si="2"/>
        <v>13080</v>
      </c>
      <c r="G61" s="243">
        <f t="shared" si="4"/>
        <v>791</v>
      </c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>
        <v>13080</v>
      </c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</row>
    <row r="62" spans="1:37" ht="16.2" hidden="1" thickBot="1" x14ac:dyDescent="0.35">
      <c r="A62" s="122" t="s">
        <v>63</v>
      </c>
      <c r="B62" s="123" t="s">
        <v>241</v>
      </c>
      <c r="C62" s="277"/>
      <c r="D62" s="214"/>
      <c r="E62" s="243">
        <f t="shared" si="5"/>
        <v>0</v>
      </c>
      <c r="F62" s="243">
        <f t="shared" si="2"/>
        <v>0</v>
      </c>
      <c r="G62" s="243">
        <f t="shared" si="4"/>
        <v>0</v>
      </c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</row>
    <row r="63" spans="1:37" ht="16.2" hidden="1" thickBot="1" x14ac:dyDescent="0.35">
      <c r="A63" s="122" t="s">
        <v>64</v>
      </c>
      <c r="B63" s="123" t="s">
        <v>242</v>
      </c>
      <c r="C63" s="277"/>
      <c r="D63" s="214"/>
      <c r="E63" s="243">
        <f t="shared" si="5"/>
        <v>0</v>
      </c>
      <c r="F63" s="243">
        <f t="shared" si="2"/>
        <v>0</v>
      </c>
      <c r="G63" s="243">
        <f t="shared" si="4"/>
        <v>0</v>
      </c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</row>
    <row r="64" spans="1:37" ht="16.2" hidden="1" thickBot="1" x14ac:dyDescent="0.35">
      <c r="A64" s="122" t="s">
        <v>65</v>
      </c>
      <c r="B64" s="123" t="s">
        <v>243</v>
      </c>
      <c r="C64" s="277"/>
      <c r="D64" s="214"/>
      <c r="E64" s="243">
        <f t="shared" si="5"/>
        <v>0</v>
      </c>
      <c r="F64" s="243">
        <f t="shared" si="2"/>
        <v>0</v>
      </c>
      <c r="G64" s="243">
        <f t="shared" si="4"/>
        <v>0</v>
      </c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</row>
    <row r="65" spans="1:37" ht="16.2" hidden="1" thickBot="1" x14ac:dyDescent="0.35">
      <c r="A65" s="122" t="s">
        <v>66</v>
      </c>
      <c r="B65" s="123" t="s">
        <v>244</v>
      </c>
      <c r="C65" s="277"/>
      <c r="D65" s="214"/>
      <c r="E65" s="243">
        <f t="shared" si="5"/>
        <v>0</v>
      </c>
      <c r="F65" s="243">
        <f t="shared" si="2"/>
        <v>0</v>
      </c>
      <c r="G65" s="243">
        <f t="shared" si="4"/>
        <v>0</v>
      </c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</row>
    <row r="66" spans="1:37" ht="16.2" hidden="1" thickBot="1" x14ac:dyDescent="0.35">
      <c r="A66" s="122" t="s">
        <v>67</v>
      </c>
      <c r="B66" s="123" t="s">
        <v>245</v>
      </c>
      <c r="C66" s="277"/>
      <c r="D66" s="214"/>
      <c r="E66" s="243">
        <f t="shared" si="5"/>
        <v>0</v>
      </c>
      <c r="F66" s="243">
        <f t="shared" si="2"/>
        <v>0</v>
      </c>
      <c r="G66" s="243">
        <f t="shared" si="4"/>
        <v>0</v>
      </c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</row>
    <row r="67" spans="1:37" ht="16.2" thickBot="1" x14ac:dyDescent="0.35">
      <c r="A67" s="122" t="s">
        <v>68</v>
      </c>
      <c r="B67" s="123" t="s">
        <v>246</v>
      </c>
      <c r="C67" s="277">
        <v>8917</v>
      </c>
      <c r="D67" s="214"/>
      <c r="E67" s="243">
        <f t="shared" si="5"/>
        <v>0</v>
      </c>
      <c r="F67" s="243">
        <f t="shared" si="2"/>
        <v>8917</v>
      </c>
      <c r="G67" s="243">
        <f t="shared" si="4"/>
        <v>0</v>
      </c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>
        <v>1517</v>
      </c>
      <c r="X67" s="225"/>
      <c r="Y67" s="225"/>
      <c r="Z67" s="225"/>
      <c r="AA67" s="225">
        <v>2033</v>
      </c>
      <c r="AB67" s="225">
        <v>623</v>
      </c>
      <c r="AC67" s="225">
        <v>1821</v>
      </c>
      <c r="AD67" s="225">
        <v>2923</v>
      </c>
      <c r="AE67" s="225"/>
      <c r="AF67" s="225"/>
      <c r="AG67" s="225"/>
      <c r="AH67" s="225"/>
      <c r="AI67" s="225"/>
      <c r="AJ67" s="225"/>
      <c r="AK67" s="225"/>
    </row>
    <row r="68" spans="1:37" ht="16.2" hidden="1" thickBot="1" x14ac:dyDescent="0.35">
      <c r="A68" s="122" t="s">
        <v>69</v>
      </c>
      <c r="B68" s="123" t="s">
        <v>247</v>
      </c>
      <c r="C68" s="277"/>
      <c r="D68" s="214"/>
      <c r="E68" s="243">
        <f t="shared" si="5"/>
        <v>0</v>
      </c>
      <c r="F68" s="243">
        <f t="shared" si="2"/>
        <v>0</v>
      </c>
      <c r="G68" s="243">
        <f t="shared" si="4"/>
        <v>0</v>
      </c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</row>
    <row r="69" spans="1:37" ht="16.2" hidden="1" thickBot="1" x14ac:dyDescent="0.35">
      <c r="A69" s="122" t="s">
        <v>70</v>
      </c>
      <c r="B69" s="123" t="s">
        <v>248</v>
      </c>
      <c r="C69" s="277"/>
      <c r="D69" s="214"/>
      <c r="E69" s="243">
        <f t="shared" si="5"/>
        <v>0</v>
      </c>
      <c r="F69" s="243">
        <f t="shared" si="2"/>
        <v>0</v>
      </c>
      <c r="G69" s="243">
        <f t="shared" si="4"/>
        <v>0</v>
      </c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</row>
    <row r="70" spans="1:37" ht="16.2" hidden="1" thickBot="1" x14ac:dyDescent="0.35">
      <c r="A70" s="122" t="s">
        <v>71</v>
      </c>
      <c r="B70" s="123" t="s">
        <v>249</v>
      </c>
      <c r="C70" s="277"/>
      <c r="D70" s="214"/>
      <c r="E70" s="243">
        <f t="shared" si="5"/>
        <v>0</v>
      </c>
      <c r="F70" s="243">
        <f t="shared" si="2"/>
        <v>0</v>
      </c>
      <c r="G70" s="243">
        <f t="shared" si="4"/>
        <v>0</v>
      </c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</row>
    <row r="71" spans="1:37" ht="16.2" hidden="1" thickBot="1" x14ac:dyDescent="0.35">
      <c r="A71" s="122" t="s">
        <v>72</v>
      </c>
      <c r="B71" s="123" t="s">
        <v>250</v>
      </c>
      <c r="C71" s="277"/>
      <c r="D71" s="214"/>
      <c r="E71" s="243">
        <f t="shared" si="5"/>
        <v>0</v>
      </c>
      <c r="F71" s="243">
        <f t="shared" si="2"/>
        <v>0</v>
      </c>
      <c r="G71" s="243">
        <f t="shared" si="4"/>
        <v>0</v>
      </c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</row>
    <row r="72" spans="1:37" ht="16.2" hidden="1" thickBot="1" x14ac:dyDescent="0.35">
      <c r="A72" s="122" t="s">
        <v>73</v>
      </c>
      <c r="B72" s="123" t="s">
        <v>251</v>
      </c>
      <c r="C72" s="277"/>
      <c r="D72" s="214"/>
      <c r="E72" s="243">
        <f t="shared" si="5"/>
        <v>0</v>
      </c>
      <c r="F72" s="243">
        <f t="shared" si="2"/>
        <v>0</v>
      </c>
      <c r="G72" s="243">
        <f t="shared" si="4"/>
        <v>0</v>
      </c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</row>
    <row r="73" spans="1:37" ht="16.2" hidden="1" thickBot="1" x14ac:dyDescent="0.35">
      <c r="A73" s="122" t="s">
        <v>74</v>
      </c>
      <c r="B73" s="123" t="s">
        <v>252</v>
      </c>
      <c r="C73" s="277"/>
      <c r="D73" s="214"/>
      <c r="E73" s="243">
        <f t="shared" si="5"/>
        <v>0</v>
      </c>
      <c r="F73" s="243">
        <f t="shared" si="2"/>
        <v>0</v>
      </c>
      <c r="G73" s="243">
        <f t="shared" si="4"/>
        <v>0</v>
      </c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</row>
    <row r="74" spans="1:37" ht="16.2" hidden="1" thickBot="1" x14ac:dyDescent="0.35">
      <c r="A74" s="122" t="s">
        <v>75</v>
      </c>
      <c r="B74" s="123" t="s">
        <v>253</v>
      </c>
      <c r="C74" s="277"/>
      <c r="D74" s="214"/>
      <c r="E74" s="243">
        <f t="shared" si="5"/>
        <v>0</v>
      </c>
      <c r="F74" s="243">
        <f t="shared" si="2"/>
        <v>0</v>
      </c>
      <c r="G74" s="243">
        <f t="shared" si="4"/>
        <v>0</v>
      </c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</row>
    <row r="75" spans="1:37" ht="16.2" hidden="1" thickBot="1" x14ac:dyDescent="0.35">
      <c r="A75" s="122" t="s">
        <v>76</v>
      </c>
      <c r="B75" s="123" t="s">
        <v>254</v>
      </c>
      <c r="C75" s="277"/>
      <c r="D75" s="214"/>
      <c r="E75" s="243">
        <f t="shared" si="5"/>
        <v>0</v>
      </c>
      <c r="F75" s="243">
        <f t="shared" si="2"/>
        <v>0</v>
      </c>
      <c r="G75" s="243">
        <f t="shared" si="4"/>
        <v>0</v>
      </c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</row>
    <row r="76" spans="1:37" ht="16.2" hidden="1" thickBot="1" x14ac:dyDescent="0.35">
      <c r="A76" s="122" t="s">
        <v>77</v>
      </c>
      <c r="B76" s="123" t="s">
        <v>255</v>
      </c>
      <c r="C76" s="277"/>
      <c r="D76" s="214"/>
      <c r="E76" s="243">
        <f t="shared" si="5"/>
        <v>0</v>
      </c>
      <c r="F76" s="243">
        <f t="shared" si="2"/>
        <v>0</v>
      </c>
      <c r="G76" s="243">
        <f t="shared" si="4"/>
        <v>0</v>
      </c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</row>
    <row r="77" spans="1:37" ht="16.2" hidden="1" thickBot="1" x14ac:dyDescent="0.35">
      <c r="A77" s="122" t="s">
        <v>78</v>
      </c>
      <c r="B77" s="123" t="s">
        <v>256</v>
      </c>
      <c r="C77" s="277"/>
      <c r="D77" s="214"/>
      <c r="E77" s="243">
        <f t="shared" si="5"/>
        <v>0</v>
      </c>
      <c r="F77" s="243">
        <f t="shared" si="2"/>
        <v>0</v>
      </c>
      <c r="G77" s="243">
        <f t="shared" ref="G77:G108" si="6">ROUND(IF(ISBLANK(D77),C77-F77,C77-E77),0)</f>
        <v>0</v>
      </c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</row>
    <row r="78" spans="1:37" ht="16.2" hidden="1" thickBot="1" x14ac:dyDescent="0.35">
      <c r="A78" s="122" t="s">
        <v>80</v>
      </c>
      <c r="B78" s="123" t="s">
        <v>258</v>
      </c>
      <c r="C78" s="277"/>
      <c r="D78" s="214"/>
      <c r="E78" s="243">
        <f t="shared" si="5"/>
        <v>0</v>
      </c>
      <c r="F78" s="243">
        <f t="shared" si="2"/>
        <v>0</v>
      </c>
      <c r="G78" s="243">
        <f t="shared" si="6"/>
        <v>0</v>
      </c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</row>
    <row r="79" spans="1:37" ht="16.2" hidden="1" thickBot="1" x14ac:dyDescent="0.35">
      <c r="A79" s="122" t="s">
        <v>81</v>
      </c>
      <c r="B79" s="123" t="s">
        <v>259</v>
      </c>
      <c r="C79" s="277"/>
      <c r="D79" s="214"/>
      <c r="E79" s="243">
        <f t="shared" si="5"/>
        <v>0</v>
      </c>
      <c r="F79" s="243">
        <f t="shared" ref="F79:F142" si="7">SUM(H79:AL79)</f>
        <v>0</v>
      </c>
      <c r="G79" s="243">
        <f t="shared" si="6"/>
        <v>0</v>
      </c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</row>
    <row r="80" spans="1:37" ht="16.2" hidden="1" thickBot="1" x14ac:dyDescent="0.35">
      <c r="A80" s="122" t="s">
        <v>82</v>
      </c>
      <c r="B80" s="123" t="s">
        <v>260</v>
      </c>
      <c r="C80" s="277"/>
      <c r="D80" s="214"/>
      <c r="E80" s="243">
        <f t="shared" ref="E80:E111" si="8">IF(ISBLANK(D80),,C80)</f>
        <v>0</v>
      </c>
      <c r="F80" s="243">
        <f t="shared" si="7"/>
        <v>0</v>
      </c>
      <c r="G80" s="243">
        <f t="shared" si="6"/>
        <v>0</v>
      </c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</row>
    <row r="81" spans="1:37" ht="16.2" hidden="1" thickBot="1" x14ac:dyDescent="0.35">
      <c r="A81" s="122" t="s">
        <v>83</v>
      </c>
      <c r="B81" s="123" t="s">
        <v>261</v>
      </c>
      <c r="C81" s="277"/>
      <c r="D81" s="214"/>
      <c r="E81" s="243">
        <f t="shared" si="8"/>
        <v>0</v>
      </c>
      <c r="F81" s="243">
        <f t="shared" si="7"/>
        <v>0</v>
      </c>
      <c r="G81" s="243">
        <f t="shared" si="6"/>
        <v>0</v>
      </c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</row>
    <row r="82" spans="1:37" ht="16.2" hidden="1" thickBot="1" x14ac:dyDescent="0.35">
      <c r="A82" s="122" t="s">
        <v>84</v>
      </c>
      <c r="B82" s="124" t="s">
        <v>262</v>
      </c>
      <c r="C82" s="277"/>
      <c r="D82" s="214"/>
      <c r="E82" s="243">
        <f t="shared" si="8"/>
        <v>0</v>
      </c>
      <c r="F82" s="243">
        <f t="shared" si="7"/>
        <v>0</v>
      </c>
      <c r="G82" s="243">
        <f t="shared" si="6"/>
        <v>0</v>
      </c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</row>
    <row r="83" spans="1:37" ht="16.2" hidden="1" thickBot="1" x14ac:dyDescent="0.35">
      <c r="A83" s="122" t="s">
        <v>85</v>
      </c>
      <c r="B83" s="123" t="s">
        <v>263</v>
      </c>
      <c r="C83" s="277"/>
      <c r="D83" s="214"/>
      <c r="E83" s="243">
        <f t="shared" si="8"/>
        <v>0</v>
      </c>
      <c r="F83" s="243">
        <f t="shared" si="7"/>
        <v>0</v>
      </c>
      <c r="G83" s="243">
        <f t="shared" si="6"/>
        <v>0</v>
      </c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</row>
    <row r="84" spans="1:37" ht="16.2" thickBot="1" x14ac:dyDescent="0.35">
      <c r="A84" s="122" t="s">
        <v>86</v>
      </c>
      <c r="B84" s="123" t="s">
        <v>264</v>
      </c>
      <c r="C84" s="277">
        <v>991</v>
      </c>
      <c r="D84" s="214">
        <v>9075</v>
      </c>
      <c r="E84" s="243">
        <f t="shared" si="8"/>
        <v>991</v>
      </c>
      <c r="F84" s="243">
        <f t="shared" si="7"/>
        <v>0</v>
      </c>
      <c r="G84" s="243">
        <f t="shared" si="6"/>
        <v>0</v>
      </c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</row>
    <row r="85" spans="1:37" ht="16.2" hidden="1" thickBot="1" x14ac:dyDescent="0.35">
      <c r="A85" s="122" t="s">
        <v>87</v>
      </c>
      <c r="B85" s="123" t="s">
        <v>265</v>
      </c>
      <c r="C85" s="277"/>
      <c r="D85" s="214"/>
      <c r="E85" s="243">
        <f t="shared" si="8"/>
        <v>0</v>
      </c>
      <c r="F85" s="243">
        <f t="shared" si="7"/>
        <v>0</v>
      </c>
      <c r="G85" s="243">
        <f t="shared" si="6"/>
        <v>0</v>
      </c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</row>
    <row r="86" spans="1:37" ht="16.2" hidden="1" thickBot="1" x14ac:dyDescent="0.35">
      <c r="A86" s="122" t="s">
        <v>88</v>
      </c>
      <c r="B86" s="123" t="s">
        <v>266</v>
      </c>
      <c r="C86" s="277"/>
      <c r="D86" s="214"/>
      <c r="E86" s="243">
        <f t="shared" si="8"/>
        <v>0</v>
      </c>
      <c r="F86" s="243">
        <f t="shared" si="7"/>
        <v>0</v>
      </c>
      <c r="G86" s="243">
        <f t="shared" si="6"/>
        <v>0</v>
      </c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</row>
    <row r="87" spans="1:37" ht="16.2" hidden="1" thickBot="1" x14ac:dyDescent="0.35">
      <c r="A87" s="122" t="s">
        <v>89</v>
      </c>
      <c r="B87" s="123" t="s">
        <v>267</v>
      </c>
      <c r="C87" s="277"/>
      <c r="D87" s="214"/>
      <c r="E87" s="243">
        <f t="shared" si="8"/>
        <v>0</v>
      </c>
      <c r="F87" s="243">
        <f t="shared" si="7"/>
        <v>0</v>
      </c>
      <c r="G87" s="243">
        <f t="shared" si="6"/>
        <v>0</v>
      </c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</row>
    <row r="88" spans="1:37" ht="16.2" hidden="1" thickBot="1" x14ac:dyDescent="0.35">
      <c r="A88" s="122" t="s">
        <v>90</v>
      </c>
      <c r="B88" s="123" t="s">
        <v>268</v>
      </c>
      <c r="C88" s="277"/>
      <c r="D88" s="214"/>
      <c r="E88" s="243">
        <f t="shared" si="8"/>
        <v>0</v>
      </c>
      <c r="F88" s="243">
        <f t="shared" si="7"/>
        <v>0</v>
      </c>
      <c r="G88" s="243">
        <f t="shared" si="6"/>
        <v>0</v>
      </c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</row>
    <row r="89" spans="1:37" ht="16.2" hidden="1" thickBot="1" x14ac:dyDescent="0.35">
      <c r="A89" s="122" t="s">
        <v>91</v>
      </c>
      <c r="B89" s="123" t="s">
        <v>269</v>
      </c>
      <c r="C89" s="277"/>
      <c r="D89" s="214"/>
      <c r="E89" s="243">
        <f t="shared" si="8"/>
        <v>0</v>
      </c>
      <c r="F89" s="243">
        <f t="shared" si="7"/>
        <v>0</v>
      </c>
      <c r="G89" s="243">
        <f t="shared" si="6"/>
        <v>0</v>
      </c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</row>
    <row r="90" spans="1:37" ht="16.2" hidden="1" thickBot="1" x14ac:dyDescent="0.35">
      <c r="A90" s="122" t="s">
        <v>92</v>
      </c>
      <c r="B90" s="123" t="s">
        <v>270</v>
      </c>
      <c r="C90" s="277"/>
      <c r="D90" s="214"/>
      <c r="E90" s="243">
        <f t="shared" si="8"/>
        <v>0</v>
      </c>
      <c r="F90" s="243">
        <f t="shared" si="7"/>
        <v>0</v>
      </c>
      <c r="G90" s="243">
        <f t="shared" si="6"/>
        <v>0</v>
      </c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</row>
    <row r="91" spans="1:37" ht="16.2" thickBot="1" x14ac:dyDescent="0.35">
      <c r="A91" s="122" t="s">
        <v>94</v>
      </c>
      <c r="B91" s="123" t="s">
        <v>272</v>
      </c>
      <c r="C91" s="277">
        <v>991</v>
      </c>
      <c r="D91" s="214"/>
      <c r="E91" s="243">
        <f t="shared" si="8"/>
        <v>0</v>
      </c>
      <c r="F91" s="243">
        <f t="shared" si="7"/>
        <v>0</v>
      </c>
      <c r="G91" s="243">
        <f t="shared" si="6"/>
        <v>991</v>
      </c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</row>
    <row r="92" spans="1:37" ht="16.2" hidden="1" thickBot="1" x14ac:dyDescent="0.35">
      <c r="A92" s="122" t="s">
        <v>95</v>
      </c>
      <c r="B92" s="123" t="s">
        <v>273</v>
      </c>
      <c r="C92" s="277"/>
      <c r="D92" s="214"/>
      <c r="E92" s="243">
        <f t="shared" si="8"/>
        <v>0</v>
      </c>
      <c r="F92" s="243">
        <f t="shared" si="7"/>
        <v>0</v>
      </c>
      <c r="G92" s="243">
        <f t="shared" si="6"/>
        <v>0</v>
      </c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</row>
    <row r="93" spans="1:37" ht="16.2" thickBot="1" x14ac:dyDescent="0.35">
      <c r="A93" s="122" t="s">
        <v>96</v>
      </c>
      <c r="B93" s="123" t="s">
        <v>274</v>
      </c>
      <c r="C93" s="277">
        <v>991</v>
      </c>
      <c r="D93" s="214"/>
      <c r="E93" s="243">
        <f t="shared" si="8"/>
        <v>0</v>
      </c>
      <c r="F93" s="243">
        <f t="shared" si="7"/>
        <v>991</v>
      </c>
      <c r="G93" s="243">
        <f t="shared" si="6"/>
        <v>0</v>
      </c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>
        <v>991</v>
      </c>
      <c r="AF93" s="225"/>
      <c r="AG93" s="225"/>
      <c r="AH93" s="225"/>
      <c r="AI93" s="225"/>
      <c r="AJ93" s="225"/>
      <c r="AK93" s="225"/>
    </row>
    <row r="94" spans="1:37" ht="16.2" hidden="1" thickBot="1" x14ac:dyDescent="0.35">
      <c r="A94" s="122" t="s">
        <v>98</v>
      </c>
      <c r="B94" s="123" t="s">
        <v>276</v>
      </c>
      <c r="C94" s="277"/>
      <c r="D94" s="214"/>
      <c r="E94" s="243">
        <f t="shared" si="8"/>
        <v>0</v>
      </c>
      <c r="F94" s="243">
        <f t="shared" si="7"/>
        <v>0</v>
      </c>
      <c r="G94" s="243">
        <f t="shared" si="6"/>
        <v>0</v>
      </c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</row>
    <row r="95" spans="1:37" ht="16.2" hidden="1" thickBot="1" x14ac:dyDescent="0.35">
      <c r="A95" s="122" t="s">
        <v>99</v>
      </c>
      <c r="B95" s="123" t="s">
        <v>277</v>
      </c>
      <c r="C95" s="277"/>
      <c r="D95" s="214"/>
      <c r="E95" s="243">
        <f t="shared" si="8"/>
        <v>0</v>
      </c>
      <c r="F95" s="243">
        <f t="shared" si="7"/>
        <v>0</v>
      </c>
      <c r="G95" s="243">
        <f t="shared" si="6"/>
        <v>0</v>
      </c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</row>
    <row r="96" spans="1:37" ht="16.2" hidden="1" thickBot="1" x14ac:dyDescent="0.35">
      <c r="A96" s="122" t="s">
        <v>101</v>
      </c>
      <c r="B96" s="123" t="s">
        <v>279</v>
      </c>
      <c r="C96" s="277"/>
      <c r="D96" s="214"/>
      <c r="E96" s="243">
        <f t="shared" si="8"/>
        <v>0</v>
      </c>
      <c r="F96" s="243">
        <f t="shared" si="7"/>
        <v>0</v>
      </c>
      <c r="G96" s="243">
        <f t="shared" si="6"/>
        <v>0</v>
      </c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</row>
    <row r="97" spans="1:37" ht="16.2" hidden="1" thickBot="1" x14ac:dyDescent="0.35">
      <c r="A97" s="122" t="s">
        <v>102</v>
      </c>
      <c r="B97" s="123" t="s">
        <v>280</v>
      </c>
      <c r="C97" s="277"/>
      <c r="D97" s="214"/>
      <c r="E97" s="243">
        <f t="shared" si="8"/>
        <v>0</v>
      </c>
      <c r="F97" s="243">
        <f t="shared" si="7"/>
        <v>0</v>
      </c>
      <c r="G97" s="243">
        <f t="shared" si="6"/>
        <v>0</v>
      </c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</row>
    <row r="98" spans="1:37" ht="16.2" hidden="1" thickBot="1" x14ac:dyDescent="0.35">
      <c r="A98" s="122" t="s">
        <v>103</v>
      </c>
      <c r="B98" s="123" t="s">
        <v>281</v>
      </c>
      <c r="C98" s="277"/>
      <c r="D98" s="214"/>
      <c r="E98" s="243">
        <f t="shared" si="8"/>
        <v>0</v>
      </c>
      <c r="F98" s="243">
        <f t="shared" si="7"/>
        <v>0</v>
      </c>
      <c r="G98" s="243">
        <f t="shared" si="6"/>
        <v>0</v>
      </c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</row>
    <row r="99" spans="1:37" ht="16.2" hidden="1" thickBot="1" x14ac:dyDescent="0.35">
      <c r="A99" s="122" t="s">
        <v>104</v>
      </c>
      <c r="B99" s="123" t="s">
        <v>282</v>
      </c>
      <c r="C99" s="277"/>
      <c r="D99" s="214"/>
      <c r="E99" s="243">
        <f t="shared" si="8"/>
        <v>0</v>
      </c>
      <c r="F99" s="243">
        <f t="shared" si="7"/>
        <v>0</v>
      </c>
      <c r="G99" s="243">
        <f t="shared" si="6"/>
        <v>0</v>
      </c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</row>
    <row r="100" spans="1:37" ht="16.2" hidden="1" thickBot="1" x14ac:dyDescent="0.35">
      <c r="A100" s="122" t="s">
        <v>105</v>
      </c>
      <c r="B100" s="123" t="s">
        <v>283</v>
      </c>
      <c r="C100" s="277"/>
      <c r="D100" s="214"/>
      <c r="E100" s="243">
        <f t="shared" si="8"/>
        <v>0</v>
      </c>
      <c r="F100" s="243">
        <f t="shared" si="7"/>
        <v>0</v>
      </c>
      <c r="G100" s="243">
        <f t="shared" si="6"/>
        <v>0</v>
      </c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</row>
    <row r="101" spans="1:37" ht="16.2" hidden="1" thickBot="1" x14ac:dyDescent="0.35">
      <c r="A101" s="122" t="s">
        <v>106</v>
      </c>
      <c r="B101" s="123" t="s">
        <v>284</v>
      </c>
      <c r="C101" s="277"/>
      <c r="D101" s="214"/>
      <c r="E101" s="243">
        <f t="shared" si="8"/>
        <v>0</v>
      </c>
      <c r="F101" s="243">
        <f t="shared" si="7"/>
        <v>0</v>
      </c>
      <c r="G101" s="243">
        <f t="shared" si="6"/>
        <v>0</v>
      </c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</row>
    <row r="102" spans="1:37" ht="16.2" hidden="1" thickBot="1" x14ac:dyDescent="0.35">
      <c r="A102" s="122" t="s">
        <v>107</v>
      </c>
      <c r="B102" s="123" t="s">
        <v>285</v>
      </c>
      <c r="C102" s="277"/>
      <c r="D102" s="214"/>
      <c r="E102" s="243">
        <f t="shared" si="8"/>
        <v>0</v>
      </c>
      <c r="F102" s="243">
        <f t="shared" si="7"/>
        <v>0</v>
      </c>
      <c r="G102" s="243">
        <f t="shared" si="6"/>
        <v>0</v>
      </c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</row>
    <row r="103" spans="1:37" ht="16.2" hidden="1" thickBot="1" x14ac:dyDescent="0.35">
      <c r="A103" s="122" t="s">
        <v>108</v>
      </c>
      <c r="B103" s="123" t="s">
        <v>286</v>
      </c>
      <c r="C103" s="277"/>
      <c r="D103" s="214"/>
      <c r="E103" s="243">
        <f t="shared" si="8"/>
        <v>0</v>
      </c>
      <c r="F103" s="243">
        <f t="shared" si="7"/>
        <v>0</v>
      </c>
      <c r="G103" s="243">
        <f t="shared" si="6"/>
        <v>0</v>
      </c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</row>
    <row r="104" spans="1:37" ht="16.2" hidden="1" thickBot="1" x14ac:dyDescent="0.35">
      <c r="A104" s="122" t="s">
        <v>109</v>
      </c>
      <c r="B104" s="123" t="s">
        <v>287</v>
      </c>
      <c r="C104" s="277"/>
      <c r="D104" s="214"/>
      <c r="E104" s="243">
        <f t="shared" si="8"/>
        <v>0</v>
      </c>
      <c r="F104" s="243">
        <f t="shared" si="7"/>
        <v>0</v>
      </c>
      <c r="G104" s="243">
        <f t="shared" si="6"/>
        <v>0</v>
      </c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</row>
    <row r="105" spans="1:37" ht="16.2" hidden="1" thickBot="1" x14ac:dyDescent="0.35">
      <c r="A105" s="122" t="s">
        <v>110</v>
      </c>
      <c r="B105" s="123" t="s">
        <v>288</v>
      </c>
      <c r="C105" s="277"/>
      <c r="D105" s="214"/>
      <c r="E105" s="243">
        <f t="shared" si="8"/>
        <v>0</v>
      </c>
      <c r="F105" s="243">
        <f t="shared" si="7"/>
        <v>0</v>
      </c>
      <c r="G105" s="243">
        <f t="shared" si="6"/>
        <v>0</v>
      </c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</row>
    <row r="106" spans="1:37" ht="16.2" hidden="1" thickBot="1" x14ac:dyDescent="0.35">
      <c r="A106" s="122" t="s">
        <v>111</v>
      </c>
      <c r="B106" s="123" t="s">
        <v>289</v>
      </c>
      <c r="C106" s="277"/>
      <c r="D106" s="214"/>
      <c r="E106" s="243">
        <f t="shared" si="8"/>
        <v>0</v>
      </c>
      <c r="F106" s="243">
        <f t="shared" si="7"/>
        <v>0</v>
      </c>
      <c r="G106" s="243">
        <f t="shared" si="6"/>
        <v>0</v>
      </c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</row>
    <row r="107" spans="1:37" ht="16.2" hidden="1" thickBot="1" x14ac:dyDescent="0.35">
      <c r="A107" s="122" t="s">
        <v>112</v>
      </c>
      <c r="B107" s="123" t="s">
        <v>290</v>
      </c>
      <c r="C107" s="277"/>
      <c r="D107" s="214"/>
      <c r="E107" s="243">
        <f t="shared" si="8"/>
        <v>0</v>
      </c>
      <c r="F107" s="243">
        <f t="shared" si="7"/>
        <v>0</v>
      </c>
      <c r="G107" s="243">
        <f t="shared" si="6"/>
        <v>0</v>
      </c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</row>
    <row r="108" spans="1:37" ht="16.2" hidden="1" thickBot="1" x14ac:dyDescent="0.35">
      <c r="A108" s="122" t="s">
        <v>113</v>
      </c>
      <c r="B108" s="123" t="s">
        <v>291</v>
      </c>
      <c r="C108" s="277"/>
      <c r="D108" s="214"/>
      <c r="E108" s="243">
        <f t="shared" si="8"/>
        <v>0</v>
      </c>
      <c r="F108" s="243">
        <f t="shared" si="7"/>
        <v>0</v>
      </c>
      <c r="G108" s="243">
        <f t="shared" si="6"/>
        <v>0</v>
      </c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</row>
    <row r="109" spans="1:37" ht="16.2" hidden="1" thickBot="1" x14ac:dyDescent="0.35">
      <c r="A109" s="122" t="s">
        <v>114</v>
      </c>
      <c r="B109" s="123" t="s">
        <v>292</v>
      </c>
      <c r="C109" s="277"/>
      <c r="D109" s="214"/>
      <c r="E109" s="243">
        <f t="shared" si="8"/>
        <v>0</v>
      </c>
      <c r="F109" s="243">
        <f t="shared" si="7"/>
        <v>0</v>
      </c>
      <c r="G109" s="243">
        <f t="shared" ref="G109:G140" si="9">ROUND(IF(ISBLANK(D109),C109-F109,C109-E109),0)</f>
        <v>0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</row>
    <row r="110" spans="1:37" ht="16.2" hidden="1" thickBot="1" x14ac:dyDescent="0.35">
      <c r="A110" s="122" t="s">
        <v>115</v>
      </c>
      <c r="B110" s="123" t="s">
        <v>293</v>
      </c>
      <c r="C110" s="277"/>
      <c r="D110" s="214"/>
      <c r="E110" s="243">
        <f t="shared" si="8"/>
        <v>0</v>
      </c>
      <c r="F110" s="243">
        <f t="shared" si="7"/>
        <v>0</v>
      </c>
      <c r="G110" s="243">
        <f t="shared" si="9"/>
        <v>0</v>
      </c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</row>
    <row r="111" spans="1:37" ht="16.2" hidden="1" thickBot="1" x14ac:dyDescent="0.35">
      <c r="A111" s="122" t="s">
        <v>116</v>
      </c>
      <c r="B111" s="123" t="s">
        <v>294</v>
      </c>
      <c r="C111" s="277"/>
      <c r="D111" s="214"/>
      <c r="E111" s="243">
        <f t="shared" si="8"/>
        <v>0</v>
      </c>
      <c r="F111" s="243">
        <f t="shared" si="7"/>
        <v>0</v>
      </c>
      <c r="G111" s="243">
        <f t="shared" si="9"/>
        <v>0</v>
      </c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</row>
    <row r="112" spans="1:37" ht="16.2" hidden="1" thickBot="1" x14ac:dyDescent="0.35">
      <c r="A112" s="122" t="s">
        <v>117</v>
      </c>
      <c r="B112" s="123" t="s">
        <v>295</v>
      </c>
      <c r="C112" s="277"/>
      <c r="D112" s="214"/>
      <c r="E112" s="243">
        <f t="shared" ref="E112:E143" si="10">IF(ISBLANK(D112),,C112)</f>
        <v>0</v>
      </c>
      <c r="F112" s="243">
        <f t="shared" si="7"/>
        <v>0</v>
      </c>
      <c r="G112" s="243">
        <f t="shared" si="9"/>
        <v>0</v>
      </c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</row>
    <row r="113" spans="1:37" ht="16.2" hidden="1" thickBot="1" x14ac:dyDescent="0.35">
      <c r="A113" s="122" t="s">
        <v>118</v>
      </c>
      <c r="B113" s="123" t="s">
        <v>296</v>
      </c>
      <c r="C113" s="277"/>
      <c r="D113" s="214"/>
      <c r="E113" s="243">
        <f t="shared" si="10"/>
        <v>0</v>
      </c>
      <c r="F113" s="243">
        <f t="shared" si="7"/>
        <v>0</v>
      </c>
      <c r="G113" s="243">
        <f t="shared" si="9"/>
        <v>0</v>
      </c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</row>
    <row r="114" spans="1:37" ht="16.2" hidden="1" thickBot="1" x14ac:dyDescent="0.35">
      <c r="A114" s="122" t="s">
        <v>119</v>
      </c>
      <c r="B114" s="123" t="s">
        <v>297</v>
      </c>
      <c r="C114" s="277"/>
      <c r="D114" s="214"/>
      <c r="E114" s="243">
        <f t="shared" si="10"/>
        <v>0</v>
      </c>
      <c r="F114" s="243">
        <f t="shared" si="7"/>
        <v>0</v>
      </c>
      <c r="G114" s="243">
        <f t="shared" si="9"/>
        <v>0</v>
      </c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</row>
    <row r="115" spans="1:37" ht="16.2" thickBot="1" x14ac:dyDescent="0.35">
      <c r="A115" s="122" t="s">
        <v>120</v>
      </c>
      <c r="B115" s="123" t="s">
        <v>298</v>
      </c>
      <c r="C115" s="277">
        <v>1982</v>
      </c>
      <c r="D115" s="214"/>
      <c r="E115" s="243">
        <f t="shared" si="10"/>
        <v>0</v>
      </c>
      <c r="F115" s="243">
        <f t="shared" si="7"/>
        <v>1982</v>
      </c>
      <c r="G115" s="243">
        <f t="shared" si="9"/>
        <v>0</v>
      </c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>
        <v>1982</v>
      </c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</row>
    <row r="116" spans="1:37" s="12" customFormat="1" ht="16.2" hidden="1" thickBot="1" x14ac:dyDescent="0.35">
      <c r="A116" s="122">
        <v>2180</v>
      </c>
      <c r="B116" s="123" t="s">
        <v>299</v>
      </c>
      <c r="C116" s="277"/>
      <c r="D116" s="214"/>
      <c r="E116" s="243">
        <f t="shared" si="10"/>
        <v>0</v>
      </c>
      <c r="F116" s="243">
        <f t="shared" si="7"/>
        <v>0</v>
      </c>
      <c r="G116" s="243">
        <f t="shared" si="9"/>
        <v>0</v>
      </c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</row>
    <row r="117" spans="1:37" ht="16.2" hidden="1" thickBot="1" x14ac:dyDescent="0.35">
      <c r="A117" s="122" t="s">
        <v>122</v>
      </c>
      <c r="B117" s="123" t="s">
        <v>300</v>
      </c>
      <c r="C117" s="277"/>
      <c r="D117" s="214"/>
      <c r="E117" s="243">
        <f t="shared" si="10"/>
        <v>0</v>
      </c>
      <c r="F117" s="243">
        <f t="shared" si="7"/>
        <v>0</v>
      </c>
      <c r="G117" s="243">
        <f t="shared" si="9"/>
        <v>0</v>
      </c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</row>
    <row r="118" spans="1:37" ht="16.2" hidden="1" thickBot="1" x14ac:dyDescent="0.35">
      <c r="A118" s="122" t="s">
        <v>123</v>
      </c>
      <c r="B118" s="123" t="s">
        <v>301</v>
      </c>
      <c r="C118" s="277"/>
      <c r="D118" s="214"/>
      <c r="E118" s="243">
        <f t="shared" si="10"/>
        <v>0</v>
      </c>
      <c r="F118" s="243">
        <f t="shared" si="7"/>
        <v>0</v>
      </c>
      <c r="G118" s="243">
        <f t="shared" si="9"/>
        <v>0</v>
      </c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</row>
    <row r="119" spans="1:37" ht="16.2" thickBot="1" x14ac:dyDescent="0.35">
      <c r="A119" s="122" t="s">
        <v>124</v>
      </c>
      <c r="B119" s="123" t="s">
        <v>302</v>
      </c>
      <c r="C119" s="277">
        <v>4954</v>
      </c>
      <c r="D119" s="214"/>
      <c r="E119" s="243">
        <f t="shared" si="10"/>
        <v>0</v>
      </c>
      <c r="F119" s="243">
        <f t="shared" si="7"/>
        <v>4954</v>
      </c>
      <c r="G119" s="243">
        <f t="shared" si="9"/>
        <v>0</v>
      </c>
      <c r="H119" s="225"/>
      <c r="I119" s="225"/>
      <c r="J119" s="225"/>
      <c r="K119" s="225"/>
      <c r="L119" s="225"/>
      <c r="M119" s="225">
        <v>341</v>
      </c>
      <c r="N119" s="225">
        <v>173</v>
      </c>
      <c r="O119" s="225">
        <v>175</v>
      </c>
      <c r="P119" s="225">
        <v>626</v>
      </c>
      <c r="Q119" s="225">
        <v>397</v>
      </c>
      <c r="R119" s="225">
        <v>555</v>
      </c>
      <c r="S119" s="225">
        <v>222</v>
      </c>
      <c r="T119" s="225">
        <v>127</v>
      </c>
      <c r="U119" s="225"/>
      <c r="V119" s="225"/>
      <c r="W119" s="225">
        <f>53+1774</f>
        <v>1827</v>
      </c>
      <c r="X119" s="225">
        <v>511</v>
      </c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</row>
    <row r="120" spans="1:37" ht="16.2" hidden="1" thickBot="1" x14ac:dyDescent="0.35">
      <c r="A120" s="122" t="s">
        <v>125</v>
      </c>
      <c r="B120" s="123" t="s">
        <v>303</v>
      </c>
      <c r="C120" s="277"/>
      <c r="D120" s="214"/>
      <c r="E120" s="243">
        <f t="shared" si="10"/>
        <v>0</v>
      </c>
      <c r="F120" s="243">
        <f t="shared" si="7"/>
        <v>0</v>
      </c>
      <c r="G120" s="243">
        <f t="shared" si="9"/>
        <v>0</v>
      </c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</row>
    <row r="121" spans="1:37" ht="16.2" thickBot="1" x14ac:dyDescent="0.35">
      <c r="A121" s="122" t="s">
        <v>126</v>
      </c>
      <c r="B121" s="123" t="s">
        <v>304</v>
      </c>
      <c r="C121" s="277">
        <v>2972</v>
      </c>
      <c r="D121" s="214">
        <v>9035</v>
      </c>
      <c r="E121" s="243">
        <f t="shared" si="10"/>
        <v>2972</v>
      </c>
      <c r="F121" s="243">
        <f t="shared" si="7"/>
        <v>0</v>
      </c>
      <c r="G121" s="243">
        <f t="shared" si="9"/>
        <v>0</v>
      </c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</row>
    <row r="122" spans="1:37" ht="16.2" hidden="1" thickBot="1" x14ac:dyDescent="0.35">
      <c r="A122" s="122" t="s">
        <v>127</v>
      </c>
      <c r="B122" s="123" t="s">
        <v>305</v>
      </c>
      <c r="C122" s="277"/>
      <c r="D122" s="214"/>
      <c r="E122" s="243">
        <f t="shared" si="10"/>
        <v>0</v>
      </c>
      <c r="F122" s="243">
        <f t="shared" si="7"/>
        <v>0</v>
      </c>
      <c r="G122" s="243">
        <f t="shared" si="9"/>
        <v>0</v>
      </c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</row>
    <row r="123" spans="1:37" ht="16.2" hidden="1" thickBot="1" x14ac:dyDescent="0.35">
      <c r="A123" s="122" t="s">
        <v>128</v>
      </c>
      <c r="B123" s="123" t="s">
        <v>306</v>
      </c>
      <c r="C123" s="277"/>
      <c r="D123" s="214"/>
      <c r="E123" s="243">
        <f t="shared" si="10"/>
        <v>0</v>
      </c>
      <c r="F123" s="243">
        <f t="shared" si="7"/>
        <v>0</v>
      </c>
      <c r="G123" s="243">
        <f t="shared" si="9"/>
        <v>0</v>
      </c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</row>
    <row r="124" spans="1:37" ht="16.2" hidden="1" thickBot="1" x14ac:dyDescent="0.35">
      <c r="A124" s="122" t="s">
        <v>129</v>
      </c>
      <c r="B124" s="123" t="s">
        <v>307</v>
      </c>
      <c r="C124" s="277"/>
      <c r="D124" s="214"/>
      <c r="E124" s="243">
        <f t="shared" si="10"/>
        <v>0</v>
      </c>
      <c r="F124" s="243">
        <f t="shared" si="7"/>
        <v>0</v>
      </c>
      <c r="G124" s="243">
        <f t="shared" si="9"/>
        <v>0</v>
      </c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</row>
    <row r="125" spans="1:37" ht="16.2" hidden="1" thickBot="1" x14ac:dyDescent="0.35">
      <c r="A125" s="122" t="s">
        <v>130</v>
      </c>
      <c r="B125" s="123" t="s">
        <v>308</v>
      </c>
      <c r="C125" s="277"/>
      <c r="D125" s="214"/>
      <c r="E125" s="243">
        <f t="shared" si="10"/>
        <v>0</v>
      </c>
      <c r="F125" s="243">
        <f t="shared" si="7"/>
        <v>0</v>
      </c>
      <c r="G125" s="243">
        <f t="shared" si="9"/>
        <v>0</v>
      </c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</row>
    <row r="126" spans="1:37" ht="16.2" hidden="1" thickBot="1" x14ac:dyDescent="0.35">
      <c r="A126" s="122" t="s">
        <v>131</v>
      </c>
      <c r="B126" s="123" t="s">
        <v>309</v>
      </c>
      <c r="C126" s="277"/>
      <c r="D126" s="214"/>
      <c r="E126" s="243">
        <f t="shared" si="10"/>
        <v>0</v>
      </c>
      <c r="F126" s="243">
        <f t="shared" si="7"/>
        <v>0</v>
      </c>
      <c r="G126" s="243">
        <f t="shared" si="9"/>
        <v>0</v>
      </c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</row>
    <row r="127" spans="1:37" ht="16.2" hidden="1" thickBot="1" x14ac:dyDescent="0.35">
      <c r="A127" s="122" t="s">
        <v>132</v>
      </c>
      <c r="B127" s="123" t="s">
        <v>310</v>
      </c>
      <c r="C127" s="277"/>
      <c r="D127" s="214"/>
      <c r="E127" s="243">
        <f t="shared" si="10"/>
        <v>0</v>
      </c>
      <c r="F127" s="243">
        <f t="shared" si="7"/>
        <v>0</v>
      </c>
      <c r="G127" s="243">
        <f t="shared" si="9"/>
        <v>0</v>
      </c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</row>
    <row r="128" spans="1:37" ht="16.2" hidden="1" thickBot="1" x14ac:dyDescent="0.35">
      <c r="A128" s="122" t="s">
        <v>133</v>
      </c>
      <c r="B128" s="123" t="s">
        <v>311</v>
      </c>
      <c r="C128" s="277"/>
      <c r="D128" s="214"/>
      <c r="E128" s="243">
        <f t="shared" si="10"/>
        <v>0</v>
      </c>
      <c r="F128" s="243">
        <f t="shared" si="7"/>
        <v>0</v>
      </c>
      <c r="G128" s="243">
        <f t="shared" si="9"/>
        <v>0</v>
      </c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</row>
    <row r="129" spans="1:37" ht="16.2" hidden="1" thickBot="1" x14ac:dyDescent="0.35">
      <c r="A129" s="122" t="s">
        <v>134</v>
      </c>
      <c r="B129" s="123" t="s">
        <v>312</v>
      </c>
      <c r="C129" s="277"/>
      <c r="D129" s="214"/>
      <c r="E129" s="243">
        <f t="shared" si="10"/>
        <v>0</v>
      </c>
      <c r="F129" s="243">
        <f t="shared" si="7"/>
        <v>0</v>
      </c>
      <c r="G129" s="243">
        <f t="shared" si="9"/>
        <v>0</v>
      </c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</row>
    <row r="130" spans="1:37" ht="16.2" hidden="1" thickBot="1" x14ac:dyDescent="0.35">
      <c r="A130" s="122" t="s">
        <v>135</v>
      </c>
      <c r="B130" s="123" t="s">
        <v>313</v>
      </c>
      <c r="C130" s="277"/>
      <c r="D130" s="214"/>
      <c r="E130" s="243">
        <f t="shared" si="10"/>
        <v>0</v>
      </c>
      <c r="F130" s="243">
        <f t="shared" si="7"/>
        <v>0</v>
      </c>
      <c r="G130" s="243">
        <f t="shared" si="9"/>
        <v>0</v>
      </c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</row>
    <row r="131" spans="1:37" ht="16.2" hidden="1" thickBot="1" x14ac:dyDescent="0.35">
      <c r="A131" s="122" t="s">
        <v>136</v>
      </c>
      <c r="B131" s="123" t="s">
        <v>314</v>
      </c>
      <c r="C131" s="277"/>
      <c r="D131" s="214"/>
      <c r="E131" s="243">
        <f t="shared" si="10"/>
        <v>0</v>
      </c>
      <c r="F131" s="243">
        <f t="shared" si="7"/>
        <v>0</v>
      </c>
      <c r="G131" s="243">
        <f t="shared" si="9"/>
        <v>0</v>
      </c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</row>
    <row r="132" spans="1:37" ht="16.2" hidden="1" thickBot="1" x14ac:dyDescent="0.35">
      <c r="A132" s="122" t="s">
        <v>137</v>
      </c>
      <c r="B132" s="123" t="s">
        <v>521</v>
      </c>
      <c r="C132" s="277"/>
      <c r="D132" s="214"/>
      <c r="E132" s="243">
        <f t="shared" si="10"/>
        <v>0</v>
      </c>
      <c r="F132" s="243">
        <f t="shared" si="7"/>
        <v>0</v>
      </c>
      <c r="G132" s="243">
        <f t="shared" si="9"/>
        <v>0</v>
      </c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</row>
    <row r="133" spans="1:37" ht="16.2" hidden="1" thickBot="1" x14ac:dyDescent="0.35">
      <c r="A133" s="122" t="s">
        <v>138</v>
      </c>
      <c r="B133" s="123" t="s">
        <v>316</v>
      </c>
      <c r="C133" s="277"/>
      <c r="D133" s="214"/>
      <c r="E133" s="243">
        <f t="shared" si="10"/>
        <v>0</v>
      </c>
      <c r="F133" s="243">
        <f t="shared" si="7"/>
        <v>0</v>
      </c>
      <c r="G133" s="243">
        <f t="shared" si="9"/>
        <v>0</v>
      </c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</row>
    <row r="134" spans="1:37" ht="16.2" hidden="1" thickBot="1" x14ac:dyDescent="0.35">
      <c r="A134" s="122" t="s">
        <v>139</v>
      </c>
      <c r="B134" s="123" t="s">
        <v>317</v>
      </c>
      <c r="C134" s="277"/>
      <c r="D134" s="214"/>
      <c r="E134" s="243">
        <f t="shared" si="10"/>
        <v>0</v>
      </c>
      <c r="F134" s="243">
        <f t="shared" si="7"/>
        <v>0</v>
      </c>
      <c r="G134" s="243">
        <f t="shared" si="9"/>
        <v>0</v>
      </c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</row>
    <row r="135" spans="1:37" ht="16.2" hidden="1" thickBot="1" x14ac:dyDescent="0.35">
      <c r="A135" s="122" t="s">
        <v>141</v>
      </c>
      <c r="B135" s="123" t="s">
        <v>319</v>
      </c>
      <c r="C135" s="277"/>
      <c r="D135" s="214"/>
      <c r="E135" s="243">
        <f t="shared" si="10"/>
        <v>0</v>
      </c>
      <c r="F135" s="243">
        <f t="shared" si="7"/>
        <v>0</v>
      </c>
      <c r="G135" s="243">
        <f t="shared" si="9"/>
        <v>0</v>
      </c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</row>
    <row r="136" spans="1:37" ht="16.2" hidden="1" thickBot="1" x14ac:dyDescent="0.35">
      <c r="A136" s="122" t="s">
        <v>142</v>
      </c>
      <c r="B136" s="123" t="s">
        <v>320</v>
      </c>
      <c r="C136" s="277"/>
      <c r="D136" s="214"/>
      <c r="E136" s="243">
        <f t="shared" si="10"/>
        <v>0</v>
      </c>
      <c r="F136" s="243">
        <f t="shared" si="7"/>
        <v>0</v>
      </c>
      <c r="G136" s="243">
        <f t="shared" si="9"/>
        <v>0</v>
      </c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</row>
    <row r="137" spans="1:37" ht="16.2" hidden="1" thickBot="1" x14ac:dyDescent="0.35">
      <c r="A137" s="122" t="s">
        <v>143</v>
      </c>
      <c r="B137" s="123" t="s">
        <v>321</v>
      </c>
      <c r="C137" s="277"/>
      <c r="D137" s="214"/>
      <c r="E137" s="243">
        <f t="shared" si="10"/>
        <v>0</v>
      </c>
      <c r="F137" s="243">
        <f t="shared" si="7"/>
        <v>0</v>
      </c>
      <c r="G137" s="243">
        <f t="shared" si="9"/>
        <v>0</v>
      </c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</row>
    <row r="138" spans="1:37" ht="16.2" hidden="1" thickBot="1" x14ac:dyDescent="0.35">
      <c r="A138" s="122" t="s">
        <v>144</v>
      </c>
      <c r="B138" s="123" t="s">
        <v>322</v>
      </c>
      <c r="C138" s="277"/>
      <c r="D138" s="214"/>
      <c r="E138" s="243">
        <f t="shared" si="10"/>
        <v>0</v>
      </c>
      <c r="F138" s="243">
        <f t="shared" si="7"/>
        <v>0</v>
      </c>
      <c r="G138" s="243">
        <f t="shared" si="9"/>
        <v>0</v>
      </c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</row>
    <row r="139" spans="1:37" ht="16.2" hidden="1" thickBot="1" x14ac:dyDescent="0.35">
      <c r="A139" s="122" t="s">
        <v>145</v>
      </c>
      <c r="B139" s="123" t="s">
        <v>323</v>
      </c>
      <c r="C139" s="277"/>
      <c r="D139" s="214"/>
      <c r="E139" s="243">
        <f t="shared" si="10"/>
        <v>0</v>
      </c>
      <c r="F139" s="243">
        <f t="shared" si="7"/>
        <v>0</v>
      </c>
      <c r="G139" s="243">
        <f t="shared" si="9"/>
        <v>0</v>
      </c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</row>
    <row r="140" spans="1:37" ht="16.2" hidden="1" thickBot="1" x14ac:dyDescent="0.35">
      <c r="A140" s="122" t="s">
        <v>147</v>
      </c>
      <c r="B140" s="123" t="s">
        <v>325</v>
      </c>
      <c r="C140" s="277"/>
      <c r="D140" s="214"/>
      <c r="E140" s="243">
        <f t="shared" si="10"/>
        <v>0</v>
      </c>
      <c r="F140" s="243">
        <f t="shared" si="7"/>
        <v>0</v>
      </c>
      <c r="G140" s="243">
        <f t="shared" si="9"/>
        <v>0</v>
      </c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</row>
    <row r="141" spans="1:37" ht="16.2" hidden="1" thickBot="1" x14ac:dyDescent="0.35">
      <c r="A141" s="122" t="s">
        <v>148</v>
      </c>
      <c r="B141" s="123" t="s">
        <v>326</v>
      </c>
      <c r="C141" s="277"/>
      <c r="D141" s="214"/>
      <c r="E141" s="243">
        <f t="shared" si="10"/>
        <v>0</v>
      </c>
      <c r="F141" s="243">
        <f t="shared" si="7"/>
        <v>0</v>
      </c>
      <c r="G141" s="243">
        <f t="shared" ref="G141:G172" si="11">ROUND(IF(ISBLANK(D141),C141-F141,C141-E141),0)</f>
        <v>0</v>
      </c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</row>
    <row r="142" spans="1:37" ht="16.2" hidden="1" thickBot="1" x14ac:dyDescent="0.35">
      <c r="A142" s="122" t="s">
        <v>149</v>
      </c>
      <c r="B142" s="123" t="s">
        <v>327</v>
      </c>
      <c r="C142" s="277"/>
      <c r="D142" s="214"/>
      <c r="E142" s="243">
        <f t="shared" si="10"/>
        <v>0</v>
      </c>
      <c r="F142" s="243">
        <f t="shared" si="7"/>
        <v>0</v>
      </c>
      <c r="G142" s="243">
        <f t="shared" si="11"/>
        <v>0</v>
      </c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</row>
    <row r="143" spans="1:37" ht="16.2" hidden="1" thickBot="1" x14ac:dyDescent="0.35">
      <c r="A143" s="122" t="s">
        <v>150</v>
      </c>
      <c r="B143" s="123" t="s">
        <v>328</v>
      </c>
      <c r="C143" s="277"/>
      <c r="D143" s="214"/>
      <c r="E143" s="243">
        <f t="shared" si="10"/>
        <v>0</v>
      </c>
      <c r="F143" s="243">
        <f t="shared" ref="F143:F188" si="12">SUM(H143:AL143)</f>
        <v>0</v>
      </c>
      <c r="G143" s="243">
        <f t="shared" si="11"/>
        <v>0</v>
      </c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</row>
    <row r="144" spans="1:37" ht="16.2" hidden="1" thickBot="1" x14ac:dyDescent="0.35">
      <c r="A144" s="122" t="s">
        <v>151</v>
      </c>
      <c r="B144" s="123" t="s">
        <v>329</v>
      </c>
      <c r="C144" s="277"/>
      <c r="D144" s="214"/>
      <c r="E144" s="243">
        <f t="shared" ref="E144:E175" si="13">IF(ISBLANK(D144),,C144)</f>
        <v>0</v>
      </c>
      <c r="F144" s="243">
        <f t="shared" si="12"/>
        <v>0</v>
      </c>
      <c r="G144" s="243">
        <f t="shared" si="11"/>
        <v>0</v>
      </c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</row>
    <row r="145" spans="1:37" ht="16.2" hidden="1" thickBot="1" x14ac:dyDescent="0.35">
      <c r="A145" s="122" t="s">
        <v>152</v>
      </c>
      <c r="B145" s="123" t="s">
        <v>330</v>
      </c>
      <c r="C145" s="277"/>
      <c r="D145" s="214"/>
      <c r="E145" s="243">
        <f t="shared" si="13"/>
        <v>0</v>
      </c>
      <c r="F145" s="243">
        <f t="shared" si="12"/>
        <v>0</v>
      </c>
      <c r="G145" s="243">
        <f t="shared" si="11"/>
        <v>0</v>
      </c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</row>
    <row r="146" spans="1:37" ht="16.2" hidden="1" thickBot="1" x14ac:dyDescent="0.35">
      <c r="A146" s="122" t="s">
        <v>153</v>
      </c>
      <c r="B146" s="123" t="s">
        <v>331</v>
      </c>
      <c r="C146" s="277"/>
      <c r="D146" s="214"/>
      <c r="E146" s="243">
        <f t="shared" si="13"/>
        <v>0</v>
      </c>
      <c r="F146" s="243">
        <f t="shared" si="12"/>
        <v>0</v>
      </c>
      <c r="G146" s="243">
        <f t="shared" si="11"/>
        <v>0</v>
      </c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</row>
    <row r="147" spans="1:37" ht="16.2" hidden="1" thickBot="1" x14ac:dyDescent="0.35">
      <c r="A147" s="122" t="s">
        <v>154</v>
      </c>
      <c r="B147" s="123" t="s">
        <v>332</v>
      </c>
      <c r="C147" s="277"/>
      <c r="D147" s="214"/>
      <c r="E147" s="243">
        <f t="shared" si="13"/>
        <v>0</v>
      </c>
      <c r="F147" s="243">
        <f t="shared" si="12"/>
        <v>0</v>
      </c>
      <c r="G147" s="243">
        <f t="shared" si="11"/>
        <v>0</v>
      </c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</row>
    <row r="148" spans="1:37" ht="16.2" hidden="1" thickBot="1" x14ac:dyDescent="0.35">
      <c r="A148" s="122" t="s">
        <v>155</v>
      </c>
      <c r="B148" s="123" t="s">
        <v>333</v>
      </c>
      <c r="C148" s="277"/>
      <c r="D148" s="214"/>
      <c r="E148" s="243">
        <f t="shared" si="13"/>
        <v>0</v>
      </c>
      <c r="F148" s="243">
        <f t="shared" si="12"/>
        <v>0</v>
      </c>
      <c r="G148" s="243">
        <f t="shared" si="11"/>
        <v>0</v>
      </c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</row>
    <row r="149" spans="1:37" ht="16.2" hidden="1" thickBot="1" x14ac:dyDescent="0.35">
      <c r="A149" s="122" t="s">
        <v>156</v>
      </c>
      <c r="B149" s="123" t="s">
        <v>334</v>
      </c>
      <c r="C149" s="277"/>
      <c r="D149" s="214"/>
      <c r="E149" s="243">
        <f t="shared" si="13"/>
        <v>0</v>
      </c>
      <c r="F149" s="243">
        <f t="shared" si="12"/>
        <v>0</v>
      </c>
      <c r="G149" s="243">
        <f t="shared" si="11"/>
        <v>0</v>
      </c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</row>
    <row r="150" spans="1:37" ht="16.2" hidden="1" thickBot="1" x14ac:dyDescent="0.35">
      <c r="A150" s="122" t="s">
        <v>157</v>
      </c>
      <c r="B150" s="123" t="s">
        <v>335</v>
      </c>
      <c r="C150" s="277"/>
      <c r="D150" s="214"/>
      <c r="E150" s="243">
        <f t="shared" si="13"/>
        <v>0</v>
      </c>
      <c r="F150" s="243">
        <f t="shared" si="12"/>
        <v>0</v>
      </c>
      <c r="G150" s="243">
        <f t="shared" si="11"/>
        <v>0</v>
      </c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</row>
    <row r="151" spans="1:37" ht="16.2" hidden="1" thickBot="1" x14ac:dyDescent="0.35">
      <c r="A151" s="122" t="s">
        <v>158</v>
      </c>
      <c r="B151" s="123" t="s">
        <v>336</v>
      </c>
      <c r="C151" s="277"/>
      <c r="D151" s="214"/>
      <c r="E151" s="243">
        <f t="shared" si="13"/>
        <v>0</v>
      </c>
      <c r="F151" s="243">
        <f t="shared" si="12"/>
        <v>0</v>
      </c>
      <c r="G151" s="243">
        <f t="shared" si="11"/>
        <v>0</v>
      </c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</row>
    <row r="152" spans="1:37" ht="16.2" hidden="1" thickBot="1" x14ac:dyDescent="0.35">
      <c r="A152" s="122" t="s">
        <v>159</v>
      </c>
      <c r="B152" s="123" t="s">
        <v>337</v>
      </c>
      <c r="C152" s="277"/>
      <c r="D152" s="214"/>
      <c r="E152" s="243">
        <f t="shared" si="13"/>
        <v>0</v>
      </c>
      <c r="F152" s="243">
        <f t="shared" si="12"/>
        <v>0</v>
      </c>
      <c r="G152" s="243">
        <f t="shared" si="11"/>
        <v>0</v>
      </c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</row>
    <row r="153" spans="1:37" ht="16.2" hidden="1" thickBot="1" x14ac:dyDescent="0.35">
      <c r="A153" s="122" t="s">
        <v>160</v>
      </c>
      <c r="B153" s="123" t="s">
        <v>407</v>
      </c>
      <c r="C153" s="277"/>
      <c r="D153" s="214"/>
      <c r="E153" s="243">
        <f t="shared" si="13"/>
        <v>0</v>
      </c>
      <c r="F153" s="243">
        <f t="shared" si="12"/>
        <v>0</v>
      </c>
      <c r="G153" s="243">
        <f t="shared" si="11"/>
        <v>0</v>
      </c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</row>
    <row r="154" spans="1:37" ht="16.2" hidden="1" thickBot="1" x14ac:dyDescent="0.35">
      <c r="A154" s="122" t="s">
        <v>161</v>
      </c>
      <c r="B154" s="123" t="s">
        <v>339</v>
      </c>
      <c r="C154" s="277"/>
      <c r="D154" s="214"/>
      <c r="E154" s="243">
        <f t="shared" si="13"/>
        <v>0</v>
      </c>
      <c r="F154" s="243">
        <f t="shared" si="12"/>
        <v>0</v>
      </c>
      <c r="G154" s="243">
        <f t="shared" si="11"/>
        <v>0</v>
      </c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</row>
    <row r="155" spans="1:37" ht="16.2" hidden="1" thickBot="1" x14ac:dyDescent="0.35">
      <c r="A155" s="122" t="s">
        <v>162</v>
      </c>
      <c r="B155" s="123" t="s">
        <v>340</v>
      </c>
      <c r="C155" s="277"/>
      <c r="D155" s="214"/>
      <c r="E155" s="243">
        <f t="shared" si="13"/>
        <v>0</v>
      </c>
      <c r="F155" s="243">
        <f t="shared" si="12"/>
        <v>0</v>
      </c>
      <c r="G155" s="243">
        <f t="shared" si="11"/>
        <v>0</v>
      </c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</row>
    <row r="156" spans="1:37" ht="16.2" hidden="1" thickBot="1" x14ac:dyDescent="0.35">
      <c r="A156" s="122" t="s">
        <v>163</v>
      </c>
      <c r="B156" s="123" t="s">
        <v>341</v>
      </c>
      <c r="C156" s="277"/>
      <c r="D156" s="214"/>
      <c r="E156" s="243">
        <f t="shared" si="13"/>
        <v>0</v>
      </c>
      <c r="F156" s="243">
        <f t="shared" si="12"/>
        <v>0</v>
      </c>
      <c r="G156" s="243">
        <f t="shared" si="11"/>
        <v>0</v>
      </c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</row>
    <row r="157" spans="1:37" ht="16.2" hidden="1" thickBot="1" x14ac:dyDescent="0.35">
      <c r="A157" s="122" t="s">
        <v>164</v>
      </c>
      <c r="B157" s="123" t="s">
        <v>342</v>
      </c>
      <c r="C157" s="277"/>
      <c r="D157" s="214"/>
      <c r="E157" s="243">
        <f t="shared" si="13"/>
        <v>0</v>
      </c>
      <c r="F157" s="243">
        <f t="shared" si="12"/>
        <v>0</v>
      </c>
      <c r="G157" s="243">
        <f t="shared" si="11"/>
        <v>0</v>
      </c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</row>
    <row r="158" spans="1:37" ht="16.2" hidden="1" thickBot="1" x14ac:dyDescent="0.35">
      <c r="A158" s="122" t="s">
        <v>165</v>
      </c>
      <c r="B158" s="123" t="s">
        <v>343</v>
      </c>
      <c r="C158" s="277"/>
      <c r="D158" s="214"/>
      <c r="E158" s="243">
        <f t="shared" si="13"/>
        <v>0</v>
      </c>
      <c r="F158" s="243">
        <f t="shared" si="12"/>
        <v>0</v>
      </c>
      <c r="G158" s="243">
        <f t="shared" si="11"/>
        <v>0</v>
      </c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</row>
    <row r="159" spans="1:37" ht="16.2" hidden="1" thickBot="1" x14ac:dyDescent="0.35">
      <c r="A159" s="122" t="s">
        <v>166</v>
      </c>
      <c r="B159" s="123" t="s">
        <v>344</v>
      </c>
      <c r="C159" s="277"/>
      <c r="D159" s="214"/>
      <c r="E159" s="243">
        <f t="shared" si="13"/>
        <v>0</v>
      </c>
      <c r="F159" s="243">
        <f t="shared" si="12"/>
        <v>0</v>
      </c>
      <c r="G159" s="243">
        <f t="shared" si="11"/>
        <v>0</v>
      </c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</row>
    <row r="160" spans="1:37" ht="16.2" hidden="1" thickBot="1" x14ac:dyDescent="0.35">
      <c r="A160" s="122" t="s">
        <v>167</v>
      </c>
      <c r="B160" s="123" t="s">
        <v>345</v>
      </c>
      <c r="C160" s="277"/>
      <c r="D160" s="214"/>
      <c r="E160" s="243">
        <f t="shared" si="13"/>
        <v>0</v>
      </c>
      <c r="F160" s="243">
        <f t="shared" si="12"/>
        <v>0</v>
      </c>
      <c r="G160" s="243">
        <f t="shared" si="11"/>
        <v>0</v>
      </c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</row>
    <row r="161" spans="1:37" ht="16.2" hidden="1" thickBot="1" x14ac:dyDescent="0.35">
      <c r="A161" s="122" t="s">
        <v>168</v>
      </c>
      <c r="B161" s="123" t="s">
        <v>346</v>
      </c>
      <c r="C161" s="277"/>
      <c r="D161" s="214"/>
      <c r="E161" s="243">
        <f t="shared" si="13"/>
        <v>0</v>
      </c>
      <c r="F161" s="243">
        <f t="shared" si="12"/>
        <v>0</v>
      </c>
      <c r="G161" s="243">
        <f t="shared" si="11"/>
        <v>0</v>
      </c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</row>
    <row r="162" spans="1:37" ht="16.2" hidden="1" thickBot="1" x14ac:dyDescent="0.35">
      <c r="A162" s="122" t="s">
        <v>169</v>
      </c>
      <c r="B162" s="123" t="s">
        <v>347</v>
      </c>
      <c r="C162" s="277"/>
      <c r="D162" s="214"/>
      <c r="E162" s="243">
        <f t="shared" si="13"/>
        <v>0</v>
      </c>
      <c r="F162" s="243">
        <f t="shared" si="12"/>
        <v>0</v>
      </c>
      <c r="G162" s="243">
        <f t="shared" si="11"/>
        <v>0</v>
      </c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</row>
    <row r="163" spans="1:37" ht="16.2" hidden="1" thickBot="1" x14ac:dyDescent="0.35">
      <c r="A163" s="122" t="s">
        <v>170</v>
      </c>
      <c r="B163" s="123" t="s">
        <v>348</v>
      </c>
      <c r="C163" s="277"/>
      <c r="D163" s="214"/>
      <c r="E163" s="243">
        <f t="shared" si="13"/>
        <v>0</v>
      </c>
      <c r="F163" s="243">
        <f t="shared" si="12"/>
        <v>0</v>
      </c>
      <c r="G163" s="243">
        <f t="shared" si="11"/>
        <v>0</v>
      </c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</row>
    <row r="164" spans="1:37" ht="16.2" hidden="1" thickBot="1" x14ac:dyDescent="0.35">
      <c r="A164" s="122" t="s">
        <v>171</v>
      </c>
      <c r="B164" s="123" t="s">
        <v>349</v>
      </c>
      <c r="C164" s="277"/>
      <c r="D164" s="214"/>
      <c r="E164" s="243">
        <f t="shared" si="13"/>
        <v>0</v>
      </c>
      <c r="F164" s="243">
        <f t="shared" si="12"/>
        <v>0</v>
      </c>
      <c r="G164" s="243">
        <f t="shared" si="11"/>
        <v>0</v>
      </c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</row>
    <row r="165" spans="1:37" ht="16.2" thickBot="1" x14ac:dyDescent="0.35">
      <c r="A165" s="122" t="s">
        <v>172</v>
      </c>
      <c r="B165" s="123" t="s">
        <v>477</v>
      </c>
      <c r="C165" s="277">
        <v>5945</v>
      </c>
      <c r="D165" s="214"/>
      <c r="E165" s="243">
        <f t="shared" si="13"/>
        <v>0</v>
      </c>
      <c r="F165" s="243">
        <f t="shared" si="12"/>
        <v>5945</v>
      </c>
      <c r="G165" s="243">
        <f t="shared" si="11"/>
        <v>0</v>
      </c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>
        <v>5945</v>
      </c>
      <c r="AC165" s="225"/>
      <c r="AD165" s="225"/>
      <c r="AE165" s="225"/>
      <c r="AF165" s="225"/>
      <c r="AG165" s="225"/>
      <c r="AH165" s="225"/>
      <c r="AI165" s="225"/>
      <c r="AJ165" s="225"/>
      <c r="AK165" s="225"/>
    </row>
    <row r="166" spans="1:37" ht="16.2" hidden="1" thickBot="1" x14ac:dyDescent="0.35">
      <c r="A166" s="122" t="s">
        <v>173</v>
      </c>
      <c r="B166" s="123" t="s">
        <v>350</v>
      </c>
      <c r="C166" s="278"/>
      <c r="D166" s="214"/>
      <c r="E166" s="243">
        <f t="shared" si="13"/>
        <v>0</v>
      </c>
      <c r="F166" s="243">
        <f t="shared" si="12"/>
        <v>0</v>
      </c>
      <c r="G166" s="243">
        <f t="shared" si="11"/>
        <v>0</v>
      </c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</row>
    <row r="167" spans="1:37" ht="16.2" hidden="1" thickBot="1" x14ac:dyDescent="0.35">
      <c r="A167" s="122" t="s">
        <v>174</v>
      </c>
      <c r="B167" s="123" t="s">
        <v>351</v>
      </c>
      <c r="C167" s="278"/>
      <c r="D167" s="214"/>
      <c r="E167" s="243">
        <f t="shared" si="13"/>
        <v>0</v>
      </c>
      <c r="F167" s="243">
        <f t="shared" si="12"/>
        <v>0</v>
      </c>
      <c r="G167" s="243">
        <f t="shared" si="11"/>
        <v>0</v>
      </c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</row>
    <row r="168" spans="1:37" ht="16.2" hidden="1" thickBot="1" x14ac:dyDescent="0.35">
      <c r="A168" s="122" t="s">
        <v>175</v>
      </c>
      <c r="B168" s="123" t="s">
        <v>352</v>
      </c>
      <c r="C168" s="278"/>
      <c r="D168" s="214"/>
      <c r="E168" s="243">
        <f t="shared" si="13"/>
        <v>0</v>
      </c>
      <c r="F168" s="243">
        <f t="shared" si="12"/>
        <v>0</v>
      </c>
      <c r="G168" s="243">
        <f t="shared" si="11"/>
        <v>0</v>
      </c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</row>
    <row r="169" spans="1:37" ht="16.2" hidden="1" thickBot="1" x14ac:dyDescent="0.35">
      <c r="A169" s="122" t="s">
        <v>176</v>
      </c>
      <c r="B169" s="123" t="s">
        <v>353</v>
      </c>
      <c r="C169" s="278"/>
      <c r="D169" s="214"/>
      <c r="E169" s="243">
        <f t="shared" si="13"/>
        <v>0</v>
      </c>
      <c r="F169" s="243">
        <f t="shared" si="12"/>
        <v>0</v>
      </c>
      <c r="G169" s="243">
        <f t="shared" si="11"/>
        <v>0</v>
      </c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</row>
    <row r="170" spans="1:37" ht="16.2" hidden="1" thickBot="1" x14ac:dyDescent="0.35">
      <c r="A170" s="122" t="s">
        <v>177</v>
      </c>
      <c r="B170" s="123" t="s">
        <v>354</v>
      </c>
      <c r="C170" s="278"/>
      <c r="D170" s="214"/>
      <c r="E170" s="243">
        <f t="shared" si="13"/>
        <v>0</v>
      </c>
      <c r="F170" s="243">
        <f t="shared" si="12"/>
        <v>0</v>
      </c>
      <c r="G170" s="243">
        <f t="shared" si="11"/>
        <v>0</v>
      </c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</row>
    <row r="171" spans="1:37" ht="16.2" hidden="1" thickBot="1" x14ac:dyDescent="0.35">
      <c r="A171" s="122" t="s">
        <v>178</v>
      </c>
      <c r="B171" s="123" t="s">
        <v>355</v>
      </c>
      <c r="C171" s="278"/>
      <c r="D171" s="214"/>
      <c r="E171" s="243">
        <f t="shared" si="13"/>
        <v>0</v>
      </c>
      <c r="F171" s="243">
        <f t="shared" si="12"/>
        <v>0</v>
      </c>
      <c r="G171" s="243">
        <f t="shared" si="11"/>
        <v>0</v>
      </c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</row>
    <row r="172" spans="1:37" ht="16.2" hidden="1" thickBot="1" x14ac:dyDescent="0.35">
      <c r="A172" s="122" t="s">
        <v>179</v>
      </c>
      <c r="B172" s="123" t="s">
        <v>356</v>
      </c>
      <c r="C172" s="278"/>
      <c r="D172" s="214"/>
      <c r="E172" s="243">
        <f t="shared" si="13"/>
        <v>0</v>
      </c>
      <c r="F172" s="243">
        <f t="shared" si="12"/>
        <v>0</v>
      </c>
      <c r="G172" s="243">
        <f t="shared" si="11"/>
        <v>0</v>
      </c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</row>
    <row r="173" spans="1:37" ht="16.2" hidden="1" thickBot="1" x14ac:dyDescent="0.35">
      <c r="A173" s="122" t="s">
        <v>180</v>
      </c>
      <c r="B173" s="123" t="s">
        <v>357</v>
      </c>
      <c r="C173" s="278"/>
      <c r="D173" s="214"/>
      <c r="E173" s="243">
        <f t="shared" si="13"/>
        <v>0</v>
      </c>
      <c r="F173" s="243">
        <f t="shared" si="12"/>
        <v>0</v>
      </c>
      <c r="G173" s="243">
        <f t="shared" ref="G173:G188" si="14">ROUND(IF(ISBLANK(D173),C173-F173,C173-E173),0)</f>
        <v>0</v>
      </c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</row>
    <row r="174" spans="1:37" ht="16.2" hidden="1" thickBot="1" x14ac:dyDescent="0.35">
      <c r="A174" s="122" t="s">
        <v>181</v>
      </c>
      <c r="B174" s="123" t="s">
        <v>358</v>
      </c>
      <c r="C174" s="278"/>
      <c r="D174" s="214"/>
      <c r="E174" s="243">
        <f t="shared" si="13"/>
        <v>0</v>
      </c>
      <c r="F174" s="243">
        <f t="shared" si="12"/>
        <v>0</v>
      </c>
      <c r="G174" s="243">
        <f t="shared" si="14"/>
        <v>0</v>
      </c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</row>
    <row r="175" spans="1:37" ht="16.2" hidden="1" thickBot="1" x14ac:dyDescent="0.35">
      <c r="A175" s="122" t="s">
        <v>182</v>
      </c>
      <c r="B175" s="123" t="s">
        <v>359</v>
      </c>
      <c r="C175" s="278"/>
      <c r="D175" s="214"/>
      <c r="E175" s="243">
        <f t="shared" si="13"/>
        <v>0</v>
      </c>
      <c r="F175" s="243">
        <f t="shared" si="12"/>
        <v>0</v>
      </c>
      <c r="G175" s="243">
        <f t="shared" si="14"/>
        <v>0</v>
      </c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</row>
    <row r="176" spans="1:37" ht="16.2" hidden="1" thickBot="1" x14ac:dyDescent="0.35">
      <c r="A176" s="122" t="s">
        <v>183</v>
      </c>
      <c r="B176" s="123" t="s">
        <v>520</v>
      </c>
      <c r="C176" s="277"/>
      <c r="D176" s="214"/>
      <c r="E176" s="243">
        <f t="shared" ref="E176:E188" si="15">IF(ISBLANK(D176),,C176)</f>
        <v>0</v>
      </c>
      <c r="F176" s="243">
        <f t="shared" si="12"/>
        <v>0</v>
      </c>
      <c r="G176" s="243">
        <f t="shared" si="14"/>
        <v>0</v>
      </c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</row>
    <row r="177" spans="1:37" ht="16.2" hidden="1" thickBot="1" x14ac:dyDescent="0.35">
      <c r="A177" s="122" t="s">
        <v>184</v>
      </c>
      <c r="B177" s="123" t="s">
        <v>361</v>
      </c>
      <c r="C177" s="278"/>
      <c r="D177" s="214"/>
      <c r="E177" s="243">
        <f t="shared" si="15"/>
        <v>0</v>
      </c>
      <c r="F177" s="243">
        <f t="shared" si="12"/>
        <v>0</v>
      </c>
      <c r="G177" s="243">
        <f t="shared" si="14"/>
        <v>0</v>
      </c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</row>
    <row r="178" spans="1:37" ht="16.2" hidden="1" thickBot="1" x14ac:dyDescent="0.35">
      <c r="A178" s="122" t="s">
        <v>185</v>
      </c>
      <c r="B178" s="123" t="s">
        <v>362</v>
      </c>
      <c r="C178" s="278"/>
      <c r="D178" s="214"/>
      <c r="E178" s="243">
        <f t="shared" si="15"/>
        <v>0</v>
      </c>
      <c r="F178" s="243">
        <f t="shared" si="12"/>
        <v>0</v>
      </c>
      <c r="G178" s="243">
        <f t="shared" si="14"/>
        <v>0</v>
      </c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</row>
    <row r="179" spans="1:37" ht="16.2" hidden="1" thickBot="1" x14ac:dyDescent="0.35">
      <c r="A179" s="126">
        <v>8001</v>
      </c>
      <c r="B179" s="123" t="s">
        <v>364</v>
      </c>
      <c r="C179" s="277"/>
      <c r="D179" s="214"/>
      <c r="E179" s="243">
        <f t="shared" si="15"/>
        <v>0</v>
      </c>
      <c r="F179" s="243">
        <f t="shared" si="12"/>
        <v>0</v>
      </c>
      <c r="G179" s="243">
        <f t="shared" si="14"/>
        <v>0</v>
      </c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</row>
    <row r="180" spans="1:37" ht="16.2" hidden="1" thickBot="1" x14ac:dyDescent="0.35">
      <c r="A180" s="130" t="s">
        <v>374</v>
      </c>
      <c r="B180" s="127" t="s">
        <v>379</v>
      </c>
      <c r="C180" s="277">
        <f>SUMIF($D$13:$D$179,"9025",$E$13:$E$179)</f>
        <v>0</v>
      </c>
      <c r="D180" s="214"/>
      <c r="E180" s="243">
        <f t="shared" si="15"/>
        <v>0</v>
      </c>
      <c r="F180" s="243">
        <f t="shared" si="12"/>
        <v>0</v>
      </c>
      <c r="G180" s="243">
        <f t="shared" si="14"/>
        <v>0</v>
      </c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</row>
    <row r="181" spans="1:37" ht="16.2" thickBot="1" x14ac:dyDescent="0.35">
      <c r="A181" s="130" t="s">
        <v>375</v>
      </c>
      <c r="B181" s="127" t="s">
        <v>380</v>
      </c>
      <c r="C181" s="277">
        <f>SUMIF(D13:D179,"9035",E13:E179)</f>
        <v>2972</v>
      </c>
      <c r="D181" s="214"/>
      <c r="E181" s="243">
        <f t="shared" si="15"/>
        <v>0</v>
      </c>
      <c r="F181" s="243">
        <f t="shared" si="12"/>
        <v>2972</v>
      </c>
      <c r="G181" s="243">
        <f t="shared" si="14"/>
        <v>0</v>
      </c>
      <c r="H181" s="225"/>
      <c r="I181" s="225"/>
      <c r="J181" s="225"/>
      <c r="K181" s="225"/>
      <c r="L181" s="225"/>
      <c r="M181" s="225"/>
      <c r="N181" s="225"/>
      <c r="O181" s="225">
        <v>997</v>
      </c>
      <c r="P181" s="225">
        <v>499</v>
      </c>
      <c r="Q181" s="225"/>
      <c r="R181" s="225">
        <v>249</v>
      </c>
      <c r="S181" s="225">
        <v>250</v>
      </c>
      <c r="T181" s="225">
        <v>249</v>
      </c>
      <c r="U181" s="225">
        <v>499</v>
      </c>
      <c r="V181" s="225">
        <v>229</v>
      </c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</row>
    <row r="182" spans="1:37" ht="16.2" hidden="1" thickBot="1" x14ac:dyDescent="0.35">
      <c r="A182" s="130">
        <v>9040</v>
      </c>
      <c r="B182" s="128" t="s">
        <v>381</v>
      </c>
      <c r="C182" s="277">
        <f>SUMIF($D$13:$D$179,"9040",$E$13:$E$179)</f>
        <v>0</v>
      </c>
      <c r="D182" s="214"/>
      <c r="E182" s="243">
        <f t="shared" si="15"/>
        <v>0</v>
      </c>
      <c r="F182" s="243">
        <f t="shared" si="12"/>
        <v>0</v>
      </c>
      <c r="G182" s="243">
        <f t="shared" si="14"/>
        <v>0</v>
      </c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</row>
    <row r="183" spans="1:37" ht="16.2" hidden="1" thickBot="1" x14ac:dyDescent="0.35">
      <c r="A183" s="130">
        <v>9050</v>
      </c>
      <c r="B183" s="128" t="s">
        <v>408</v>
      </c>
      <c r="C183" s="277">
        <f>SUMIF($D$13:$D$179,"9050",$E$13:$E$179)</f>
        <v>0</v>
      </c>
      <c r="D183" s="214"/>
      <c r="E183" s="243">
        <f t="shared" si="15"/>
        <v>0</v>
      </c>
      <c r="F183" s="243">
        <f t="shared" si="12"/>
        <v>0</v>
      </c>
      <c r="G183" s="243">
        <f t="shared" si="14"/>
        <v>0</v>
      </c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</row>
    <row r="184" spans="1:37" ht="16.2" thickBot="1" x14ac:dyDescent="0.35">
      <c r="A184" s="130">
        <v>9055</v>
      </c>
      <c r="B184" s="128" t="s">
        <v>409</v>
      </c>
      <c r="C184" s="277">
        <f>SUMIF(D13:D179,"9055",E13:E179)</f>
        <v>991</v>
      </c>
      <c r="D184" s="214"/>
      <c r="E184" s="243">
        <f t="shared" si="15"/>
        <v>0</v>
      </c>
      <c r="F184" s="243">
        <f t="shared" si="12"/>
        <v>0</v>
      </c>
      <c r="G184" s="243">
        <f t="shared" si="14"/>
        <v>991</v>
      </c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</row>
    <row r="185" spans="1:37" ht="16.2" hidden="1" thickBot="1" x14ac:dyDescent="0.35">
      <c r="A185" s="130">
        <v>9060</v>
      </c>
      <c r="B185" s="128" t="s">
        <v>410</v>
      </c>
      <c r="C185" s="277"/>
      <c r="D185" s="214"/>
      <c r="E185" s="243">
        <f t="shared" si="15"/>
        <v>0</v>
      </c>
      <c r="F185" s="243">
        <f t="shared" si="12"/>
        <v>0</v>
      </c>
      <c r="G185" s="243">
        <f t="shared" si="14"/>
        <v>0</v>
      </c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</row>
    <row r="186" spans="1:37" ht="16.2" thickBot="1" x14ac:dyDescent="0.35">
      <c r="A186" s="130">
        <v>9075</v>
      </c>
      <c r="B186" s="127" t="s">
        <v>411</v>
      </c>
      <c r="C186" s="277">
        <f>SUMIF(D13:D179,"9075",E13:E179)</f>
        <v>991</v>
      </c>
      <c r="D186" s="214"/>
      <c r="E186" s="243">
        <f t="shared" si="15"/>
        <v>0</v>
      </c>
      <c r="F186" s="243">
        <f t="shared" si="12"/>
        <v>1870</v>
      </c>
      <c r="G186" s="243">
        <f t="shared" si="14"/>
        <v>-879</v>
      </c>
      <c r="H186" s="225"/>
      <c r="I186" s="225"/>
      <c r="J186" s="225"/>
      <c r="K186" s="225"/>
      <c r="L186" s="225"/>
      <c r="M186" s="225"/>
      <c r="N186" s="225"/>
      <c r="O186" s="225"/>
      <c r="P186" s="225">
        <v>1120</v>
      </c>
      <c r="Q186" s="225"/>
      <c r="R186" s="225"/>
      <c r="S186" s="225"/>
      <c r="T186" s="225">
        <v>750</v>
      </c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</row>
    <row r="187" spans="1:37" s="12" customFormat="1" ht="16.2" hidden="1" thickBot="1" x14ac:dyDescent="0.35">
      <c r="A187" s="130" t="s">
        <v>377</v>
      </c>
      <c r="B187" s="127" t="s">
        <v>382</v>
      </c>
      <c r="C187" s="277">
        <f>SUMIF($D$13:$D$179,"9095",$E$13:$E$179)</f>
        <v>0</v>
      </c>
      <c r="D187" s="214"/>
      <c r="E187" s="243">
        <f t="shared" si="15"/>
        <v>0</v>
      </c>
      <c r="F187" s="243">
        <f t="shared" si="12"/>
        <v>0</v>
      </c>
      <c r="G187" s="243">
        <f t="shared" si="14"/>
        <v>0</v>
      </c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</row>
    <row r="188" spans="1:37" s="12" customFormat="1" ht="16.2" hidden="1" thickBot="1" x14ac:dyDescent="0.35">
      <c r="A188" s="130" t="s">
        <v>378</v>
      </c>
      <c r="B188" s="129" t="s">
        <v>383</v>
      </c>
      <c r="C188" s="277">
        <f>SUMIF($D$13:$D$179,"9125",$E$13:$E$179)</f>
        <v>0</v>
      </c>
      <c r="D188" s="214"/>
      <c r="E188" s="243">
        <f t="shared" si="15"/>
        <v>0</v>
      </c>
      <c r="F188" s="243">
        <f t="shared" si="12"/>
        <v>0</v>
      </c>
      <c r="G188" s="243">
        <f t="shared" si="14"/>
        <v>0</v>
      </c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</row>
    <row r="189" spans="1:37" s="12" customFormat="1" ht="18" thickBot="1" x14ac:dyDescent="0.35">
      <c r="A189" s="130"/>
      <c r="B189" s="129"/>
      <c r="C189" s="277"/>
      <c r="D189" s="125"/>
      <c r="E189" s="243"/>
      <c r="F189" s="243"/>
      <c r="G189" s="281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</row>
    <row r="190" spans="1:37" s="145" customFormat="1" ht="16.2" thickBot="1" x14ac:dyDescent="0.35">
      <c r="A190" s="144" t="s">
        <v>539</v>
      </c>
      <c r="B190" s="144"/>
      <c r="C190" s="279">
        <f>SUM(C13:C189)-E190</f>
        <v>860972</v>
      </c>
      <c r="D190" s="136"/>
      <c r="E190" s="252">
        <f t="shared" ref="E190:AH190" si="16">SUM(E14:E188)</f>
        <v>4954</v>
      </c>
      <c r="F190" s="252">
        <f t="shared" si="16"/>
        <v>596464</v>
      </c>
      <c r="G190" s="252">
        <f t="shared" si="16"/>
        <v>264508</v>
      </c>
      <c r="H190" s="252">
        <f t="shared" si="16"/>
        <v>0</v>
      </c>
      <c r="I190" s="252">
        <f t="shared" si="16"/>
        <v>0</v>
      </c>
      <c r="J190" s="252">
        <f t="shared" si="16"/>
        <v>0</v>
      </c>
      <c r="K190" s="252">
        <f t="shared" si="16"/>
        <v>0</v>
      </c>
      <c r="L190" s="252">
        <f t="shared" si="16"/>
        <v>0</v>
      </c>
      <c r="M190" s="252">
        <f t="shared" si="16"/>
        <v>341</v>
      </c>
      <c r="N190" s="252">
        <f t="shared" si="16"/>
        <v>13510</v>
      </c>
      <c r="O190" s="252">
        <f t="shared" si="16"/>
        <v>25658</v>
      </c>
      <c r="P190" s="252">
        <f t="shared" si="16"/>
        <v>32020</v>
      </c>
      <c r="Q190" s="252">
        <f t="shared" si="16"/>
        <v>36540</v>
      </c>
      <c r="R190" s="252">
        <f t="shared" si="16"/>
        <v>2951</v>
      </c>
      <c r="S190" s="252">
        <f t="shared" si="16"/>
        <v>62043</v>
      </c>
      <c r="T190" s="252">
        <f t="shared" si="16"/>
        <v>60010</v>
      </c>
      <c r="U190" s="252">
        <f t="shared" si="16"/>
        <v>42676</v>
      </c>
      <c r="V190" s="252">
        <f t="shared" si="16"/>
        <v>1005</v>
      </c>
      <c r="W190" s="252">
        <f t="shared" si="16"/>
        <v>16424</v>
      </c>
      <c r="X190" s="252">
        <f t="shared" si="16"/>
        <v>55614</v>
      </c>
      <c r="Y190" s="252">
        <f t="shared" si="16"/>
        <v>10177</v>
      </c>
      <c r="Z190" s="252">
        <f t="shared" si="16"/>
        <v>62041</v>
      </c>
      <c r="AA190" s="252">
        <f t="shared" si="16"/>
        <v>40709</v>
      </c>
      <c r="AB190" s="252">
        <f t="shared" si="16"/>
        <v>18994</v>
      </c>
      <c r="AC190" s="252">
        <f t="shared" si="16"/>
        <v>18118</v>
      </c>
      <c r="AD190" s="252">
        <f t="shared" si="16"/>
        <v>9875</v>
      </c>
      <c r="AE190" s="252">
        <f t="shared" si="16"/>
        <v>21002</v>
      </c>
      <c r="AF190" s="252">
        <f t="shared" si="16"/>
        <v>0</v>
      </c>
      <c r="AG190" s="252">
        <f t="shared" si="16"/>
        <v>2079</v>
      </c>
      <c r="AH190" s="252">
        <f t="shared" si="16"/>
        <v>7</v>
      </c>
      <c r="AI190" s="252">
        <f t="shared" ref="AI190:AJ190" si="17">SUM(AI14:AI188)</f>
        <v>8489</v>
      </c>
      <c r="AJ190" s="252">
        <f t="shared" si="17"/>
        <v>1674</v>
      </c>
      <c r="AK190" s="252">
        <f t="shared" ref="AK190" si="18">SUM(AK14:AK188)</f>
        <v>54507</v>
      </c>
    </row>
    <row r="191" spans="1:37" s="13" customFormat="1" ht="15.6" x14ac:dyDescent="0.3">
      <c r="A191" s="117"/>
      <c r="B191" s="118"/>
      <c r="C191" s="118"/>
      <c r="D191" s="119"/>
      <c r="E191" s="119"/>
      <c r="F191" s="120"/>
      <c r="G191" s="121"/>
    </row>
    <row r="192" spans="1:37" x14ac:dyDescent="0.3">
      <c r="O192" s="193"/>
      <c r="Q192" s="193"/>
      <c r="R192" s="193"/>
      <c r="V192" s="193"/>
    </row>
  </sheetData>
  <sheetProtection password="EF32" sheet="1" objects="1" scenarios="1"/>
  <sortState ref="A13:AH188">
    <sortCondition ref="A13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99CCFF"/>
  </sheetPr>
  <dimension ref="A1:AF198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13" sqref="F13"/>
    </sheetView>
  </sheetViews>
  <sheetFormatPr defaultColWidth="9.109375" defaultRowHeight="14.4" x14ac:dyDescent="0.3"/>
  <cols>
    <col min="1" max="1" width="9.109375" style="2"/>
    <col min="2" max="2" width="36.6640625" style="2" customWidth="1"/>
    <col min="3" max="3" width="20.88671875" style="2" customWidth="1"/>
    <col min="4" max="4" width="18.88671875" style="2" customWidth="1"/>
    <col min="5" max="5" width="17" style="2" customWidth="1"/>
    <col min="6" max="32" width="15.6640625" style="2" customWidth="1"/>
    <col min="33" max="16384" width="9.109375" style="2"/>
  </cols>
  <sheetData>
    <row r="1" spans="1:32" ht="21" x14ac:dyDescent="0.4">
      <c r="A1" s="18" t="s">
        <v>0</v>
      </c>
      <c r="B1" s="19"/>
      <c r="C1" s="20" t="s">
        <v>406</v>
      </c>
      <c r="D1" s="18"/>
      <c r="E1" s="21"/>
      <c r="F1" s="22"/>
      <c r="G1" s="22"/>
      <c r="H1" s="20" t="str">
        <f>C1</f>
        <v>Title VI Rural Low Income Formula</v>
      </c>
      <c r="I1" s="20"/>
      <c r="J1" s="18"/>
      <c r="K1" s="18"/>
      <c r="L1" s="21"/>
      <c r="M1" s="21"/>
      <c r="N1" s="22"/>
      <c r="O1" s="22"/>
      <c r="P1" s="196" t="str">
        <f>C1</f>
        <v>Title VI Rural Low Income Formula</v>
      </c>
      <c r="Q1" s="20"/>
      <c r="R1" s="18"/>
      <c r="S1" s="18"/>
      <c r="T1" s="21"/>
      <c r="U1" s="21"/>
      <c r="V1" s="22"/>
      <c r="W1" s="22"/>
      <c r="X1" s="196" t="str">
        <f>C1</f>
        <v>Title VI Rural Low Income Formula</v>
      </c>
      <c r="Y1" s="20"/>
      <c r="Z1" s="18"/>
      <c r="AA1" s="18"/>
      <c r="AB1" s="21"/>
      <c r="AC1" s="21"/>
      <c r="AD1" s="196" t="str">
        <f>C1</f>
        <v>Title VI Rural Low Income Formula</v>
      </c>
      <c r="AE1" s="22"/>
      <c r="AF1" s="20"/>
    </row>
    <row r="2" spans="1:32" ht="21" x14ac:dyDescent="0.4">
      <c r="A2" s="23" t="s">
        <v>1</v>
      </c>
      <c r="B2" s="19"/>
      <c r="C2" s="24">
        <v>84.358000000000004</v>
      </c>
      <c r="D2" s="23"/>
      <c r="E2" s="25"/>
      <c r="F2" s="22"/>
      <c r="G2" s="22"/>
      <c r="H2" s="23" t="str">
        <f>"FY"&amp;C4</f>
        <v>FY2014-15</v>
      </c>
      <c r="I2" s="20"/>
      <c r="J2" s="20" t="s">
        <v>392</v>
      </c>
      <c r="K2" s="26"/>
      <c r="L2" s="25"/>
      <c r="M2" s="25"/>
      <c r="N2" s="25"/>
      <c r="O2" s="25"/>
      <c r="P2" s="199" t="str">
        <f>"FY"&amp;C4</f>
        <v>FY2014-15</v>
      </c>
      <c r="Q2" s="20"/>
      <c r="R2" s="26"/>
      <c r="S2" s="26"/>
      <c r="T2" s="25"/>
      <c r="U2" s="25"/>
      <c r="V2" s="25"/>
      <c r="W2" s="25"/>
      <c r="X2" s="199" t="str">
        <f>"FY"&amp;C4</f>
        <v>FY2014-15</v>
      </c>
      <c r="Y2" s="20"/>
      <c r="Z2" s="26" t="s">
        <v>392</v>
      </c>
      <c r="AA2" s="26"/>
      <c r="AB2" s="25"/>
      <c r="AC2" s="25"/>
      <c r="AD2" s="199" t="str">
        <f>"FY"&amp;C4</f>
        <v>FY2014-15</v>
      </c>
      <c r="AE2" s="25"/>
      <c r="AF2" s="23"/>
    </row>
    <row r="3" spans="1:32" ht="15.6" x14ac:dyDescent="0.3">
      <c r="A3" s="23" t="s">
        <v>4</v>
      </c>
      <c r="B3" s="19"/>
      <c r="C3" s="26">
        <v>7358</v>
      </c>
      <c r="D3" s="23"/>
      <c r="E3" s="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1" x14ac:dyDescent="0.4">
      <c r="A4" s="23" t="s">
        <v>2</v>
      </c>
      <c r="B4" s="19"/>
      <c r="C4" s="20" t="str">
        <f>'NCLB Title I-A Formula'!$C$4</f>
        <v>2014-15</v>
      </c>
      <c r="D4" s="25"/>
      <c r="E4" s="2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.6" x14ac:dyDescent="0.3">
      <c r="A5" s="23" t="s">
        <v>435</v>
      </c>
      <c r="B5" s="19"/>
      <c r="C5" s="181" t="s">
        <v>536</v>
      </c>
      <c r="D5" s="23"/>
      <c r="E5" s="2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.6" x14ac:dyDescent="0.3">
      <c r="A6" s="23" t="s">
        <v>5</v>
      </c>
      <c r="B6" s="19"/>
      <c r="C6" s="181" t="s">
        <v>368</v>
      </c>
      <c r="D6" s="23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2" customFormat="1" ht="15.6" x14ac:dyDescent="0.3">
      <c r="A7" s="23"/>
      <c r="B7" s="19"/>
      <c r="C7" s="181" t="s">
        <v>459</v>
      </c>
      <c r="D7" s="23"/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.6" x14ac:dyDescent="0.3">
      <c r="A8" s="23"/>
      <c r="B8" s="19"/>
      <c r="C8" s="23"/>
      <c r="D8" s="23"/>
      <c r="E8" s="27"/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5.6" x14ac:dyDescent="0.3">
      <c r="A9" s="23" t="s">
        <v>384</v>
      </c>
      <c r="B9" s="19"/>
      <c r="C9" s="199" t="s">
        <v>475</v>
      </c>
      <c r="D9" s="2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5.6" x14ac:dyDescent="0.3">
      <c r="A10" s="220" t="s">
        <v>385</v>
      </c>
      <c r="B10" s="221"/>
      <c r="C10" s="220" t="s">
        <v>386</v>
      </c>
      <c r="D10" s="222"/>
      <c r="E10" s="223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</row>
    <row r="11" spans="1:32" s="12" customFormat="1" ht="16.2" thickBot="1" x14ac:dyDescent="0.35">
      <c r="A11" s="220" t="s">
        <v>436</v>
      </c>
      <c r="B11" s="221"/>
      <c r="C11" s="220" t="s">
        <v>470</v>
      </c>
      <c r="D11" s="222"/>
      <c r="E11" s="223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</row>
    <row r="12" spans="1:32" s="4" customFormat="1" ht="32.25" customHeight="1" thickBot="1" x14ac:dyDescent="0.35">
      <c r="A12" s="208" t="s">
        <v>369</v>
      </c>
      <c r="B12" s="208" t="s">
        <v>370</v>
      </c>
      <c r="C12" s="208" t="s">
        <v>371</v>
      </c>
      <c r="D12" s="208" t="s">
        <v>372</v>
      </c>
      <c r="E12" s="63" t="s">
        <v>373</v>
      </c>
      <c r="F12" s="111" t="s">
        <v>442</v>
      </c>
      <c r="G12" s="111" t="s">
        <v>443</v>
      </c>
      <c r="H12" s="111" t="s">
        <v>444</v>
      </c>
      <c r="I12" s="111" t="s">
        <v>446</v>
      </c>
      <c r="J12" s="111" t="s">
        <v>447</v>
      </c>
      <c r="K12" s="111" t="s">
        <v>448</v>
      </c>
      <c r="L12" s="111" t="s">
        <v>449</v>
      </c>
      <c r="M12" s="111" t="s">
        <v>450</v>
      </c>
      <c r="N12" s="111" t="s">
        <v>451</v>
      </c>
      <c r="O12" s="111" t="s">
        <v>452</v>
      </c>
      <c r="P12" s="111" t="s">
        <v>453</v>
      </c>
      <c r="Q12" s="111" t="s">
        <v>454</v>
      </c>
      <c r="R12" s="111" t="s">
        <v>455</v>
      </c>
      <c r="S12" s="111" t="s">
        <v>456</v>
      </c>
      <c r="T12" s="111" t="s">
        <v>457</v>
      </c>
      <c r="U12" s="111" t="s">
        <v>464</v>
      </c>
      <c r="V12" s="111" t="s">
        <v>465</v>
      </c>
      <c r="W12" s="111" t="s">
        <v>466</v>
      </c>
      <c r="X12" s="111" t="s">
        <v>527</v>
      </c>
      <c r="Y12" s="111" t="s">
        <v>528</v>
      </c>
      <c r="Z12" s="111" t="s">
        <v>529</v>
      </c>
      <c r="AA12" s="111" t="s">
        <v>530</v>
      </c>
      <c r="AB12" s="111" t="s">
        <v>531</v>
      </c>
      <c r="AC12" s="111" t="s">
        <v>532</v>
      </c>
      <c r="AD12" s="111" t="s">
        <v>533</v>
      </c>
      <c r="AE12" s="111" t="s">
        <v>534</v>
      </c>
      <c r="AF12" s="111" t="s">
        <v>535</v>
      </c>
    </row>
    <row r="13" spans="1:32" ht="19.5" customHeight="1" thickBot="1" x14ac:dyDescent="0.35">
      <c r="A13" s="82" t="s">
        <v>15</v>
      </c>
      <c r="B13" s="83" t="s">
        <v>193</v>
      </c>
      <c r="C13" s="282">
        <v>38389</v>
      </c>
      <c r="D13" s="282">
        <f t="shared" ref="D13:D46" si="0">SUM(F13:AF13)</f>
        <v>38389</v>
      </c>
      <c r="E13" s="282">
        <f t="shared" ref="E13:E46" si="1">C13-D13</f>
        <v>0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>
        <v>2514</v>
      </c>
      <c r="P13" s="150">
        <v>3677</v>
      </c>
      <c r="Q13" s="150">
        <v>4759</v>
      </c>
      <c r="R13" s="150">
        <v>13244</v>
      </c>
      <c r="S13" s="150">
        <v>2226</v>
      </c>
      <c r="T13" s="150"/>
      <c r="U13" s="150">
        <v>3768</v>
      </c>
      <c r="V13" s="150">
        <v>3763</v>
      </c>
      <c r="W13" s="150">
        <v>4438</v>
      </c>
      <c r="X13" s="150"/>
      <c r="Y13" s="150"/>
      <c r="Z13" s="150"/>
      <c r="AA13" s="150"/>
      <c r="AB13" s="150"/>
      <c r="AC13" s="150"/>
      <c r="AD13" s="150"/>
      <c r="AE13" s="150"/>
      <c r="AF13" s="150"/>
    </row>
    <row r="14" spans="1:32" ht="16.2" thickBot="1" x14ac:dyDescent="0.35">
      <c r="A14" s="82" t="s">
        <v>34</v>
      </c>
      <c r="B14" s="83" t="s">
        <v>212</v>
      </c>
      <c r="C14" s="282">
        <v>16999</v>
      </c>
      <c r="D14" s="282">
        <f t="shared" si="0"/>
        <v>16999</v>
      </c>
      <c r="E14" s="282">
        <f t="shared" si="1"/>
        <v>0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>
        <v>16999</v>
      </c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</row>
    <row r="15" spans="1:32" ht="16.2" thickBot="1" x14ac:dyDescent="0.35">
      <c r="A15" s="82" t="s">
        <v>46</v>
      </c>
      <c r="B15" s="83" t="s">
        <v>224</v>
      </c>
      <c r="C15" s="282">
        <v>90277</v>
      </c>
      <c r="D15" s="282">
        <f t="shared" si="0"/>
        <v>68499</v>
      </c>
      <c r="E15" s="282">
        <f t="shared" si="1"/>
        <v>21778</v>
      </c>
      <c r="F15" s="258"/>
      <c r="G15" s="258"/>
      <c r="H15" s="258"/>
      <c r="I15" s="258"/>
      <c r="J15" s="258">
        <v>3910</v>
      </c>
      <c r="K15" s="258">
        <v>6422</v>
      </c>
      <c r="L15" s="258">
        <f>8288+842</f>
        <v>9130</v>
      </c>
      <c r="M15" s="258">
        <v>6978</v>
      </c>
      <c r="N15" s="258"/>
      <c r="O15" s="258">
        <v>16221</v>
      </c>
      <c r="P15" s="258">
        <v>7197</v>
      </c>
      <c r="Q15" s="258">
        <v>7081</v>
      </c>
      <c r="R15" s="258">
        <v>5655</v>
      </c>
      <c r="S15" s="258"/>
      <c r="T15" s="258"/>
      <c r="U15" s="258"/>
      <c r="V15" s="258"/>
      <c r="W15" s="258"/>
      <c r="X15" s="258"/>
      <c r="Y15" s="258"/>
      <c r="Z15" s="258"/>
      <c r="AA15" s="258"/>
      <c r="AB15" s="258">
        <v>5905</v>
      </c>
      <c r="AC15" s="258"/>
      <c r="AD15" s="258"/>
      <c r="AE15" s="258"/>
      <c r="AF15" s="258"/>
    </row>
    <row r="16" spans="1:32" ht="16.2" thickBot="1" x14ac:dyDescent="0.35">
      <c r="A16" s="82" t="s">
        <v>71</v>
      </c>
      <c r="B16" s="83" t="s">
        <v>249</v>
      </c>
      <c r="C16" s="282">
        <v>68502</v>
      </c>
      <c r="D16" s="282">
        <f>SUM(F16:AF16)</f>
        <v>68502</v>
      </c>
      <c r="E16" s="282">
        <f>C16-D16</f>
        <v>0</v>
      </c>
      <c r="F16" s="150"/>
      <c r="G16" s="150"/>
      <c r="H16" s="150"/>
      <c r="I16" s="150"/>
      <c r="J16" s="150">
        <v>4551</v>
      </c>
      <c r="K16" s="150"/>
      <c r="L16" s="150"/>
      <c r="M16" s="150">
        <v>11838</v>
      </c>
      <c r="N16" s="150"/>
      <c r="O16" s="150"/>
      <c r="P16" s="150">
        <v>17174</v>
      </c>
      <c r="Q16" s="150">
        <v>11025</v>
      </c>
      <c r="R16" s="150"/>
      <c r="S16" s="150">
        <v>7420</v>
      </c>
      <c r="T16" s="150"/>
      <c r="U16" s="150"/>
      <c r="V16" s="150"/>
      <c r="W16" s="150">
        <v>16494</v>
      </c>
      <c r="X16" s="150"/>
      <c r="Y16" s="150"/>
      <c r="Z16" s="150"/>
      <c r="AA16" s="150"/>
      <c r="AB16" s="150"/>
      <c r="AC16" s="150"/>
      <c r="AD16" s="150"/>
      <c r="AE16" s="150"/>
      <c r="AF16" s="150"/>
    </row>
    <row r="17" spans="1:32" s="12" customFormat="1" ht="16.2" thickBot="1" x14ac:dyDescent="0.35">
      <c r="A17" s="82" t="s">
        <v>72</v>
      </c>
      <c r="B17" s="205" t="s">
        <v>257</v>
      </c>
      <c r="C17" s="282">
        <v>27219</v>
      </c>
      <c r="D17" s="282">
        <f>SUM(F17:AF17)</f>
        <v>27219</v>
      </c>
      <c r="E17" s="282">
        <f>C17-D17</f>
        <v>0</v>
      </c>
      <c r="F17" s="150"/>
      <c r="G17" s="150"/>
      <c r="H17" s="150"/>
      <c r="I17" s="150"/>
      <c r="J17" s="150"/>
      <c r="K17" s="150">
        <v>14080</v>
      </c>
      <c r="L17" s="150"/>
      <c r="M17" s="150">
        <v>1792</v>
      </c>
      <c r="N17" s="150">
        <v>1908</v>
      </c>
      <c r="O17" s="150"/>
      <c r="P17" s="150"/>
      <c r="Q17" s="150">
        <v>204</v>
      </c>
      <c r="R17" s="150"/>
      <c r="S17" s="150"/>
      <c r="T17" s="150"/>
      <c r="U17" s="150">
        <v>3500</v>
      </c>
      <c r="V17" s="150"/>
      <c r="W17" s="150">
        <v>-3595</v>
      </c>
      <c r="X17" s="150"/>
      <c r="Y17" s="150"/>
      <c r="Z17" s="150"/>
      <c r="AA17" s="150"/>
      <c r="AB17" s="150">
        <v>5684</v>
      </c>
      <c r="AC17" s="150"/>
      <c r="AD17" s="150">
        <v>3646</v>
      </c>
      <c r="AE17" s="150"/>
      <c r="AF17" s="150"/>
    </row>
    <row r="18" spans="1:32" ht="16.2" thickBot="1" x14ac:dyDescent="0.35">
      <c r="A18" s="82" t="s">
        <v>93</v>
      </c>
      <c r="B18" s="83" t="s">
        <v>271</v>
      </c>
      <c r="C18" s="282">
        <v>18760</v>
      </c>
      <c r="D18" s="282">
        <f t="shared" si="0"/>
        <v>18760</v>
      </c>
      <c r="E18" s="282">
        <f t="shared" si="1"/>
        <v>0</v>
      </c>
      <c r="F18" s="280"/>
      <c r="G18" s="280"/>
      <c r="H18" s="150"/>
      <c r="I18" s="150"/>
      <c r="J18" s="150"/>
      <c r="K18" s="150">
        <v>3225</v>
      </c>
      <c r="L18" s="150">
        <v>2521</v>
      </c>
      <c r="M18" s="150">
        <v>1262</v>
      </c>
      <c r="N18" s="150">
        <v>1275</v>
      </c>
      <c r="O18" s="150">
        <v>1261</v>
      </c>
      <c r="P18" s="150">
        <v>1295</v>
      </c>
      <c r="Q18" s="150">
        <v>1223</v>
      </c>
      <c r="R18" s="150"/>
      <c r="S18" s="150"/>
      <c r="T18" s="150"/>
      <c r="U18" s="150"/>
      <c r="V18" s="150">
        <v>4029</v>
      </c>
      <c r="W18" s="150"/>
      <c r="X18" s="150">
        <f>2282+387</f>
        <v>2669</v>
      </c>
      <c r="Y18" s="150"/>
      <c r="Z18" s="150"/>
      <c r="AA18" s="150"/>
      <c r="AB18" s="150"/>
      <c r="AC18" s="150"/>
      <c r="AD18" s="150"/>
      <c r="AE18" s="150"/>
      <c r="AF18" s="150"/>
    </row>
    <row r="19" spans="1:32" ht="16.2" thickBot="1" x14ac:dyDescent="0.35">
      <c r="A19" s="82" t="s">
        <v>96</v>
      </c>
      <c r="B19" s="83" t="s">
        <v>274</v>
      </c>
      <c r="C19" s="282">
        <v>14328</v>
      </c>
      <c r="D19" s="282">
        <f t="shared" si="0"/>
        <v>14328</v>
      </c>
      <c r="E19" s="282">
        <f t="shared" si="1"/>
        <v>0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>
        <v>14328</v>
      </c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</row>
    <row r="20" spans="1:32" ht="16.2" thickBot="1" x14ac:dyDescent="0.35">
      <c r="A20" s="82" t="s">
        <v>118</v>
      </c>
      <c r="B20" s="83" t="s">
        <v>296</v>
      </c>
      <c r="C20" s="283">
        <v>51422</v>
      </c>
      <c r="D20" s="282">
        <f t="shared" si="0"/>
        <v>51422</v>
      </c>
      <c r="E20" s="282">
        <f t="shared" si="1"/>
        <v>0</v>
      </c>
      <c r="F20" s="150"/>
      <c r="G20" s="150"/>
      <c r="H20" s="150"/>
      <c r="I20" s="150">
        <v>3692</v>
      </c>
      <c r="J20" s="150">
        <v>1698</v>
      </c>
      <c r="K20" s="150">
        <v>3247</v>
      </c>
      <c r="L20" s="150">
        <v>3940</v>
      </c>
      <c r="M20" s="150">
        <v>4546</v>
      </c>
      <c r="N20" s="150">
        <v>5568</v>
      </c>
      <c r="O20" s="150">
        <v>5920</v>
      </c>
      <c r="P20" s="150">
        <v>2880</v>
      </c>
      <c r="Q20" s="150">
        <v>8063</v>
      </c>
      <c r="R20" s="150">
        <v>1641</v>
      </c>
      <c r="S20" s="150"/>
      <c r="T20" s="150">
        <v>6179</v>
      </c>
      <c r="U20" s="150"/>
      <c r="V20" s="150">
        <v>4048</v>
      </c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</row>
    <row r="21" spans="1:32" s="12" customFormat="1" ht="16.2" thickBot="1" x14ac:dyDescent="0.35">
      <c r="A21" s="82" t="s">
        <v>119</v>
      </c>
      <c r="B21" s="205" t="s">
        <v>297</v>
      </c>
      <c r="C21" s="283">
        <v>13275</v>
      </c>
      <c r="D21" s="282">
        <f t="shared" ref="D21" si="2">SUM(F21:AF21)</f>
        <v>13275</v>
      </c>
      <c r="E21" s="282">
        <f t="shared" si="1"/>
        <v>0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>
        <v>8196</v>
      </c>
      <c r="P21" s="150"/>
      <c r="Q21" s="150"/>
      <c r="R21" s="150"/>
      <c r="S21" s="150"/>
      <c r="T21" s="150"/>
      <c r="U21" s="150"/>
      <c r="V21" s="150"/>
      <c r="W21" s="150"/>
      <c r="X21" s="150">
        <v>5079</v>
      </c>
      <c r="Y21" s="150"/>
      <c r="Z21" s="150"/>
      <c r="AA21" s="150"/>
      <c r="AB21" s="150"/>
      <c r="AC21" s="150"/>
      <c r="AD21" s="150"/>
      <c r="AE21" s="150"/>
      <c r="AF21" s="150"/>
    </row>
    <row r="22" spans="1:32" ht="16.2" thickBot="1" x14ac:dyDescent="0.35">
      <c r="A22" s="82" t="s">
        <v>121</v>
      </c>
      <c r="B22" s="83" t="s">
        <v>299</v>
      </c>
      <c r="C22" s="282">
        <v>110939</v>
      </c>
      <c r="D22" s="282">
        <f t="shared" si="0"/>
        <v>110939</v>
      </c>
      <c r="E22" s="282">
        <f t="shared" si="1"/>
        <v>0</v>
      </c>
      <c r="F22" s="150"/>
      <c r="G22" s="150"/>
      <c r="H22" s="150"/>
      <c r="I22" s="150"/>
      <c r="J22" s="150">
        <v>14154</v>
      </c>
      <c r="K22" s="150">
        <v>14739</v>
      </c>
      <c r="L22" s="150">
        <v>7277</v>
      </c>
      <c r="M22" s="150">
        <v>7307</v>
      </c>
      <c r="N22" s="150">
        <v>7307</v>
      </c>
      <c r="O22" s="150">
        <v>7307</v>
      </c>
      <c r="P22" s="150">
        <v>7307</v>
      </c>
      <c r="Q22" s="150">
        <v>7307</v>
      </c>
      <c r="R22" s="150">
        <v>7324</v>
      </c>
      <c r="S22" s="150">
        <v>7309</v>
      </c>
      <c r="T22" s="150">
        <v>7309</v>
      </c>
      <c r="U22" s="150">
        <v>11022</v>
      </c>
      <c r="V22" s="150">
        <v>5270</v>
      </c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</row>
    <row r="23" spans="1:32" ht="16.2" thickBot="1" x14ac:dyDescent="0.35">
      <c r="A23" s="82" t="s">
        <v>124</v>
      </c>
      <c r="B23" s="205" t="s">
        <v>302</v>
      </c>
      <c r="C23" s="255">
        <v>55712</v>
      </c>
      <c r="D23" s="282">
        <f t="shared" si="0"/>
        <v>55712</v>
      </c>
      <c r="E23" s="282">
        <f t="shared" si="1"/>
        <v>0</v>
      </c>
      <c r="F23" s="150"/>
      <c r="G23" s="150"/>
      <c r="H23" s="150"/>
      <c r="I23" s="150">
        <v>7920</v>
      </c>
      <c r="J23" s="150"/>
      <c r="K23" s="150"/>
      <c r="L23" s="150">
        <v>4931</v>
      </c>
      <c r="M23" s="150"/>
      <c r="N23" s="150"/>
      <c r="O23" s="150">
        <v>4583</v>
      </c>
      <c r="P23" s="150">
        <v>5793</v>
      </c>
      <c r="Q23" s="150">
        <v>5663</v>
      </c>
      <c r="R23" s="150">
        <v>4589</v>
      </c>
      <c r="S23" s="150">
        <v>1858</v>
      </c>
      <c r="T23" s="150">
        <v>810</v>
      </c>
      <c r="U23" s="150">
        <f>6134+1682</f>
        <v>7816</v>
      </c>
      <c r="V23" s="150">
        <v>1382</v>
      </c>
      <c r="W23" s="150">
        <v>10367</v>
      </c>
      <c r="X23" s="150"/>
      <c r="Y23" s="150"/>
      <c r="Z23" s="150"/>
      <c r="AA23" s="150"/>
      <c r="AB23" s="150"/>
      <c r="AC23" s="150"/>
      <c r="AD23" s="150"/>
      <c r="AE23" s="150"/>
      <c r="AF23" s="150"/>
    </row>
    <row r="24" spans="1:32" ht="16.2" thickBot="1" x14ac:dyDescent="0.35">
      <c r="A24" s="82" t="s">
        <v>127</v>
      </c>
      <c r="B24" s="205" t="s">
        <v>305</v>
      </c>
      <c r="C24" s="243">
        <v>24568</v>
      </c>
      <c r="D24" s="282">
        <f t="shared" si="0"/>
        <v>24568</v>
      </c>
      <c r="E24" s="282">
        <f t="shared" si="1"/>
        <v>0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>
        <f>289+19481</f>
        <v>19770</v>
      </c>
      <c r="R24" s="150"/>
      <c r="S24" s="150"/>
      <c r="T24" s="150">
        <v>4798</v>
      </c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</row>
    <row r="25" spans="1:32" ht="16.2" thickBot="1" x14ac:dyDescent="0.35">
      <c r="A25" s="82" t="s">
        <v>128</v>
      </c>
      <c r="B25" s="205" t="s">
        <v>306</v>
      </c>
      <c r="C25" s="243">
        <v>14692</v>
      </c>
      <c r="D25" s="282">
        <f t="shared" si="0"/>
        <v>7795</v>
      </c>
      <c r="E25" s="282">
        <f t="shared" si="1"/>
        <v>6897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>
        <v>3219</v>
      </c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>
        <v>4576</v>
      </c>
      <c r="AC25" s="150"/>
      <c r="AD25" s="150"/>
      <c r="AE25" s="150"/>
      <c r="AF25" s="150"/>
    </row>
    <row r="26" spans="1:32" ht="16.2" thickBot="1" x14ac:dyDescent="0.35">
      <c r="A26" s="82" t="s">
        <v>149</v>
      </c>
      <c r="B26" s="205" t="s">
        <v>327</v>
      </c>
      <c r="C26" s="243">
        <v>20115</v>
      </c>
      <c r="D26" s="282">
        <f t="shared" si="0"/>
        <v>20115</v>
      </c>
      <c r="E26" s="282">
        <f t="shared" si="1"/>
        <v>0</v>
      </c>
      <c r="F26" s="150"/>
      <c r="G26" s="150"/>
      <c r="H26" s="150"/>
      <c r="I26" s="150">
        <v>2986</v>
      </c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>
        <v>298</v>
      </c>
      <c r="V26" s="150">
        <v>299</v>
      </c>
      <c r="W26" s="150">
        <v>407</v>
      </c>
      <c r="X26" s="150">
        <v>1767</v>
      </c>
      <c r="Y26" s="150">
        <v>601</v>
      </c>
      <c r="Z26" s="150">
        <v>2634</v>
      </c>
      <c r="AA26" s="150">
        <v>2090</v>
      </c>
      <c r="AB26" s="150">
        <v>3305</v>
      </c>
      <c r="AC26" s="150">
        <v>5728</v>
      </c>
      <c r="AD26" s="150"/>
      <c r="AE26" s="150"/>
      <c r="AF26" s="150"/>
    </row>
    <row r="27" spans="1:32" ht="16.5" hidden="1" customHeight="1" thickBot="1" x14ac:dyDescent="0.4">
      <c r="A27" s="82" t="s">
        <v>8</v>
      </c>
      <c r="B27" s="205" t="s">
        <v>186</v>
      </c>
      <c r="C27" s="255"/>
      <c r="D27" s="282">
        <f t="shared" si="0"/>
        <v>0</v>
      </c>
      <c r="E27" s="282">
        <f t="shared" si="1"/>
        <v>0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</row>
    <row r="28" spans="1:32" ht="16.2" hidden="1" thickBot="1" x14ac:dyDescent="0.35">
      <c r="A28" s="82" t="s">
        <v>9</v>
      </c>
      <c r="B28" s="205" t="s">
        <v>187</v>
      </c>
      <c r="C28" s="255"/>
      <c r="D28" s="282">
        <f t="shared" si="0"/>
        <v>0</v>
      </c>
      <c r="E28" s="282">
        <f t="shared" si="1"/>
        <v>0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</row>
    <row r="29" spans="1:32" ht="16.2" hidden="1" thickBot="1" x14ac:dyDescent="0.35">
      <c r="A29" s="82" t="s">
        <v>10</v>
      </c>
      <c r="B29" s="205" t="s">
        <v>188</v>
      </c>
      <c r="C29" s="255"/>
      <c r="D29" s="282">
        <f t="shared" si="0"/>
        <v>0</v>
      </c>
      <c r="E29" s="282">
        <f t="shared" si="1"/>
        <v>0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</row>
    <row r="30" spans="1:32" ht="16.2" hidden="1" thickBot="1" x14ac:dyDescent="0.35">
      <c r="A30" s="82" t="s">
        <v>11</v>
      </c>
      <c r="B30" s="205" t="s">
        <v>189</v>
      </c>
      <c r="C30" s="255"/>
      <c r="D30" s="282">
        <f t="shared" si="0"/>
        <v>0</v>
      </c>
      <c r="E30" s="282">
        <f t="shared" si="1"/>
        <v>0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</row>
    <row r="31" spans="1:32" ht="16.2" hidden="1" thickBot="1" x14ac:dyDescent="0.35">
      <c r="A31" s="82" t="s">
        <v>12</v>
      </c>
      <c r="B31" s="205" t="s">
        <v>190</v>
      </c>
      <c r="C31" s="255"/>
      <c r="D31" s="282">
        <f t="shared" si="0"/>
        <v>0</v>
      </c>
      <c r="E31" s="282">
        <f t="shared" si="1"/>
        <v>0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</row>
    <row r="32" spans="1:32" ht="16.2" hidden="1" thickBot="1" x14ac:dyDescent="0.35">
      <c r="A32" s="82" t="s">
        <v>13</v>
      </c>
      <c r="B32" s="205" t="s">
        <v>191</v>
      </c>
      <c r="C32" s="255"/>
      <c r="D32" s="282">
        <f t="shared" si="0"/>
        <v>0</v>
      </c>
      <c r="E32" s="282">
        <f t="shared" si="1"/>
        <v>0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</row>
    <row r="33" spans="1:32" ht="16.2" hidden="1" thickBot="1" x14ac:dyDescent="0.35">
      <c r="A33" s="82" t="s">
        <v>14</v>
      </c>
      <c r="B33" s="205" t="s">
        <v>192</v>
      </c>
      <c r="C33" s="255"/>
      <c r="D33" s="282">
        <f t="shared" si="0"/>
        <v>0</v>
      </c>
      <c r="E33" s="282">
        <f t="shared" si="1"/>
        <v>0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</row>
    <row r="34" spans="1:32" ht="16.2" hidden="1" thickBot="1" x14ac:dyDescent="0.35">
      <c r="A34" s="82" t="s">
        <v>479</v>
      </c>
      <c r="B34" s="51" t="s">
        <v>194</v>
      </c>
      <c r="C34" s="255"/>
      <c r="D34" s="282">
        <f t="shared" si="0"/>
        <v>0</v>
      </c>
      <c r="E34" s="282">
        <f t="shared" si="1"/>
        <v>0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2" ht="16.2" hidden="1" thickBot="1" x14ac:dyDescent="0.35">
      <c r="A35" s="82" t="s">
        <v>480</v>
      </c>
      <c r="B35" s="51" t="s">
        <v>195</v>
      </c>
      <c r="C35" s="255"/>
      <c r="D35" s="282">
        <f t="shared" si="0"/>
        <v>0</v>
      </c>
      <c r="E35" s="282">
        <f t="shared" si="1"/>
        <v>0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:32" ht="16.2" hidden="1" thickBot="1" x14ac:dyDescent="0.35">
      <c r="A36" s="82" t="s">
        <v>481</v>
      </c>
      <c r="B36" s="51" t="s">
        <v>196</v>
      </c>
      <c r="C36" s="255"/>
      <c r="D36" s="282">
        <f t="shared" si="0"/>
        <v>0</v>
      </c>
      <c r="E36" s="282">
        <f t="shared" si="1"/>
        <v>0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ht="16.2" hidden="1" thickBot="1" x14ac:dyDescent="0.35">
      <c r="A37" s="82" t="s">
        <v>482</v>
      </c>
      <c r="B37" s="51" t="s">
        <v>197</v>
      </c>
      <c r="C37" s="255"/>
      <c r="D37" s="282">
        <f t="shared" si="0"/>
        <v>0</v>
      </c>
      <c r="E37" s="282">
        <f t="shared" si="1"/>
        <v>0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1:32" ht="16.2" hidden="1" thickBot="1" x14ac:dyDescent="0.35">
      <c r="A38" s="82" t="s">
        <v>483</v>
      </c>
      <c r="B38" s="51" t="s">
        <v>198</v>
      </c>
      <c r="C38" s="255"/>
      <c r="D38" s="282">
        <f t="shared" si="0"/>
        <v>0</v>
      </c>
      <c r="E38" s="282">
        <f t="shared" si="1"/>
        <v>0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ht="16.2" hidden="1" thickBot="1" x14ac:dyDescent="0.35">
      <c r="A39" s="82" t="s">
        <v>484</v>
      </c>
      <c r="B39" s="51" t="s">
        <v>199</v>
      </c>
      <c r="C39" s="255"/>
      <c r="D39" s="282">
        <f t="shared" si="0"/>
        <v>0</v>
      </c>
      <c r="E39" s="282">
        <f t="shared" si="1"/>
        <v>0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ht="16.2" hidden="1" thickBot="1" x14ac:dyDescent="0.35">
      <c r="A40" s="82" t="s">
        <v>485</v>
      </c>
      <c r="B40" s="51" t="s">
        <v>200</v>
      </c>
      <c r="C40" s="255"/>
      <c r="D40" s="282">
        <f t="shared" si="0"/>
        <v>0</v>
      </c>
      <c r="E40" s="282">
        <f t="shared" si="1"/>
        <v>0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</row>
    <row r="41" spans="1:32" ht="16.2" hidden="1" thickBot="1" x14ac:dyDescent="0.35">
      <c r="A41" s="82" t="s">
        <v>486</v>
      </c>
      <c r="B41" s="51" t="s">
        <v>201</v>
      </c>
      <c r="C41" s="255"/>
      <c r="D41" s="282">
        <f t="shared" si="0"/>
        <v>0</v>
      </c>
      <c r="E41" s="282">
        <f t="shared" si="1"/>
        <v>0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ht="16.2" hidden="1" thickBot="1" x14ac:dyDescent="0.35">
      <c r="A42" s="82" t="s">
        <v>487</v>
      </c>
      <c r="B42" s="51" t="s">
        <v>202</v>
      </c>
      <c r="C42" s="255"/>
      <c r="D42" s="282">
        <f t="shared" si="0"/>
        <v>0</v>
      </c>
      <c r="E42" s="282">
        <f t="shared" si="1"/>
        <v>0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ht="16.2" hidden="1" thickBot="1" x14ac:dyDescent="0.35">
      <c r="A43" s="82" t="s">
        <v>16</v>
      </c>
      <c r="B43" s="51" t="s">
        <v>203</v>
      </c>
      <c r="C43" s="255"/>
      <c r="D43" s="282">
        <f t="shared" si="0"/>
        <v>0</v>
      </c>
      <c r="E43" s="282">
        <f t="shared" si="1"/>
        <v>0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ht="16.2" hidden="1" thickBot="1" x14ac:dyDescent="0.35">
      <c r="A44" s="82" t="s">
        <v>488</v>
      </c>
      <c r="B44" s="51" t="s">
        <v>204</v>
      </c>
      <c r="C44" s="255"/>
      <c r="D44" s="282">
        <f t="shared" si="0"/>
        <v>0</v>
      </c>
      <c r="E44" s="282">
        <f t="shared" si="1"/>
        <v>0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ht="16.2" hidden="1" thickBot="1" x14ac:dyDescent="0.35">
      <c r="A45" s="82" t="s">
        <v>489</v>
      </c>
      <c r="B45" s="51" t="s">
        <v>205</v>
      </c>
      <c r="C45" s="255"/>
      <c r="D45" s="282">
        <f t="shared" si="0"/>
        <v>0</v>
      </c>
      <c r="E45" s="282">
        <f t="shared" si="1"/>
        <v>0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s="12" customFormat="1" ht="16.2" hidden="1" thickBot="1" x14ac:dyDescent="0.35">
      <c r="A46" s="82" t="s">
        <v>490</v>
      </c>
      <c r="B46" s="205" t="s">
        <v>206</v>
      </c>
      <c r="C46" s="255"/>
      <c r="D46" s="282">
        <f t="shared" si="0"/>
        <v>0</v>
      </c>
      <c r="E46" s="282">
        <f t="shared" si="1"/>
        <v>0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1:32" ht="16.2" hidden="1" thickBot="1" x14ac:dyDescent="0.35">
      <c r="A47" s="77" t="s">
        <v>491</v>
      </c>
      <c r="B47" s="51" t="s">
        <v>207</v>
      </c>
      <c r="C47" s="255"/>
      <c r="D47" s="282">
        <f t="shared" ref="D47:D78" si="3">SUM(F47:AF47)</f>
        <v>0</v>
      </c>
      <c r="E47" s="282">
        <f t="shared" ref="E47:E78" si="4">C47-D47</f>
        <v>0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ht="16.2" hidden="1" thickBot="1" x14ac:dyDescent="0.35">
      <c r="A48" s="77" t="s">
        <v>492</v>
      </c>
      <c r="B48" s="51" t="s">
        <v>208</v>
      </c>
      <c r="C48" s="255"/>
      <c r="D48" s="282">
        <f t="shared" si="3"/>
        <v>0</v>
      </c>
      <c r="E48" s="282">
        <f t="shared" si="4"/>
        <v>0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ht="16.2" hidden="1" thickBot="1" x14ac:dyDescent="0.35">
      <c r="A49" s="77" t="s">
        <v>493</v>
      </c>
      <c r="B49" s="205" t="s">
        <v>209</v>
      </c>
      <c r="C49" s="255"/>
      <c r="D49" s="282">
        <f t="shared" si="3"/>
        <v>0</v>
      </c>
      <c r="E49" s="282">
        <f t="shared" si="4"/>
        <v>0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ht="16.2" hidden="1" thickBot="1" x14ac:dyDescent="0.35">
      <c r="A50" s="77" t="s">
        <v>494</v>
      </c>
      <c r="B50" s="51" t="s">
        <v>210</v>
      </c>
      <c r="C50" s="255"/>
      <c r="D50" s="282">
        <f t="shared" si="3"/>
        <v>0</v>
      </c>
      <c r="E50" s="282">
        <f t="shared" si="4"/>
        <v>0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ht="16.2" hidden="1" thickBot="1" x14ac:dyDescent="0.35">
      <c r="A51" s="77" t="s">
        <v>495</v>
      </c>
      <c r="B51" s="51" t="s">
        <v>211</v>
      </c>
      <c r="C51" s="255"/>
      <c r="D51" s="282">
        <f t="shared" si="3"/>
        <v>0</v>
      </c>
      <c r="E51" s="282">
        <f t="shared" si="4"/>
        <v>0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ht="16.2" hidden="1" thickBot="1" x14ac:dyDescent="0.35">
      <c r="A52" s="77" t="s">
        <v>496</v>
      </c>
      <c r="B52" s="51" t="s">
        <v>212</v>
      </c>
      <c r="C52" s="255"/>
      <c r="D52" s="282">
        <f t="shared" si="3"/>
        <v>0</v>
      </c>
      <c r="E52" s="282">
        <f t="shared" si="4"/>
        <v>0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ht="16.2" hidden="1" thickBot="1" x14ac:dyDescent="0.35">
      <c r="A53" s="77" t="s">
        <v>17</v>
      </c>
      <c r="B53" s="51" t="s">
        <v>213</v>
      </c>
      <c r="C53" s="255"/>
      <c r="D53" s="282">
        <f t="shared" si="3"/>
        <v>0</v>
      </c>
      <c r="E53" s="282">
        <f t="shared" si="4"/>
        <v>0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ht="16.2" hidden="1" thickBot="1" x14ac:dyDescent="0.35">
      <c r="A54" s="77" t="s">
        <v>497</v>
      </c>
      <c r="B54" s="51" t="s">
        <v>214</v>
      </c>
      <c r="C54" s="255"/>
      <c r="D54" s="282">
        <f t="shared" si="3"/>
        <v>0</v>
      </c>
      <c r="E54" s="282">
        <f t="shared" si="4"/>
        <v>0</v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ht="16.2" hidden="1" thickBot="1" x14ac:dyDescent="0.35">
      <c r="A55" s="77" t="s">
        <v>498</v>
      </c>
      <c r="B55" s="51" t="s">
        <v>215</v>
      </c>
      <c r="C55" s="255"/>
      <c r="D55" s="282">
        <f t="shared" si="3"/>
        <v>0</v>
      </c>
      <c r="E55" s="282">
        <f t="shared" si="4"/>
        <v>0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ht="16.2" hidden="1" thickBot="1" x14ac:dyDescent="0.35">
      <c r="A56" s="77" t="s">
        <v>18</v>
      </c>
      <c r="B56" s="51" t="s">
        <v>216</v>
      </c>
      <c r="C56" s="255"/>
      <c r="D56" s="282">
        <f t="shared" si="3"/>
        <v>0</v>
      </c>
      <c r="E56" s="282">
        <f t="shared" si="4"/>
        <v>0</v>
      </c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</row>
    <row r="57" spans="1:32" ht="16.2" hidden="1" thickBot="1" x14ac:dyDescent="0.35">
      <c r="A57" s="77" t="s">
        <v>40</v>
      </c>
      <c r="B57" s="51" t="s">
        <v>218</v>
      </c>
      <c r="C57" s="255"/>
      <c r="D57" s="282">
        <f t="shared" si="3"/>
        <v>0</v>
      </c>
      <c r="E57" s="282">
        <f t="shared" si="4"/>
        <v>0</v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</row>
    <row r="58" spans="1:32" ht="16.2" hidden="1" thickBot="1" x14ac:dyDescent="0.35">
      <c r="A58" s="77" t="s">
        <v>41</v>
      </c>
      <c r="B58" s="51" t="s">
        <v>219</v>
      </c>
      <c r="C58" s="255"/>
      <c r="D58" s="282">
        <f t="shared" si="3"/>
        <v>0</v>
      </c>
      <c r="E58" s="282">
        <f t="shared" si="4"/>
        <v>0</v>
      </c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ht="16.2" hidden="1" thickBot="1" x14ac:dyDescent="0.35">
      <c r="A59" s="77" t="s">
        <v>42</v>
      </c>
      <c r="B59" s="53" t="s">
        <v>220</v>
      </c>
      <c r="C59" s="255"/>
      <c r="D59" s="282">
        <f t="shared" si="3"/>
        <v>0</v>
      </c>
      <c r="E59" s="282">
        <f t="shared" si="4"/>
        <v>0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</row>
    <row r="60" spans="1:32" ht="16.2" hidden="1" thickBot="1" x14ac:dyDescent="0.35">
      <c r="A60" s="77" t="s">
        <v>43</v>
      </c>
      <c r="B60" s="51" t="s">
        <v>221</v>
      </c>
      <c r="C60" s="255"/>
      <c r="D60" s="282">
        <f t="shared" si="3"/>
        <v>0</v>
      </c>
      <c r="E60" s="282">
        <f t="shared" si="4"/>
        <v>0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ht="16.2" hidden="1" thickBot="1" x14ac:dyDescent="0.35">
      <c r="A61" s="77" t="s">
        <v>44</v>
      </c>
      <c r="B61" s="51" t="s">
        <v>222</v>
      </c>
      <c r="C61" s="255"/>
      <c r="D61" s="282">
        <f t="shared" si="3"/>
        <v>0</v>
      </c>
      <c r="E61" s="282">
        <f t="shared" si="4"/>
        <v>0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ht="16.2" hidden="1" thickBot="1" x14ac:dyDescent="0.35">
      <c r="A62" s="77" t="s">
        <v>45</v>
      </c>
      <c r="B62" s="51" t="s">
        <v>223</v>
      </c>
      <c r="C62" s="255"/>
      <c r="D62" s="282">
        <f t="shared" si="3"/>
        <v>0</v>
      </c>
      <c r="E62" s="282">
        <f t="shared" si="4"/>
        <v>0</v>
      </c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ht="16.2" hidden="1" thickBot="1" x14ac:dyDescent="0.35">
      <c r="A63" s="77" t="s">
        <v>47</v>
      </c>
      <c r="B63" s="51" t="s">
        <v>225</v>
      </c>
      <c r="C63" s="255"/>
      <c r="D63" s="282">
        <f t="shared" si="3"/>
        <v>0</v>
      </c>
      <c r="E63" s="282">
        <f t="shared" si="4"/>
        <v>0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</row>
    <row r="64" spans="1:32" ht="16.2" hidden="1" thickBot="1" x14ac:dyDescent="0.35">
      <c r="A64" s="77" t="s">
        <v>48</v>
      </c>
      <c r="B64" s="51" t="s">
        <v>226</v>
      </c>
      <c r="C64" s="255"/>
      <c r="D64" s="282">
        <f t="shared" si="3"/>
        <v>0</v>
      </c>
      <c r="E64" s="282">
        <f t="shared" si="4"/>
        <v>0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</row>
    <row r="65" spans="1:32" ht="16.2" hidden="1" thickBot="1" x14ac:dyDescent="0.35">
      <c r="A65" s="77" t="s">
        <v>49</v>
      </c>
      <c r="B65" s="51" t="s">
        <v>227</v>
      </c>
      <c r="C65" s="255"/>
      <c r="D65" s="282">
        <f t="shared" si="3"/>
        <v>0</v>
      </c>
      <c r="E65" s="282">
        <f t="shared" si="4"/>
        <v>0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16.2" hidden="1" thickBot="1" x14ac:dyDescent="0.35">
      <c r="A66" s="77" t="s">
        <v>50</v>
      </c>
      <c r="B66" s="51" t="s">
        <v>228</v>
      </c>
      <c r="C66" s="255"/>
      <c r="D66" s="282">
        <f t="shared" si="3"/>
        <v>0</v>
      </c>
      <c r="E66" s="282">
        <f t="shared" si="4"/>
        <v>0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6.2" hidden="1" thickBot="1" x14ac:dyDescent="0.35">
      <c r="A67" s="77" t="s">
        <v>51</v>
      </c>
      <c r="B67" s="51" t="s">
        <v>229</v>
      </c>
      <c r="C67" s="255"/>
      <c r="D67" s="282">
        <f t="shared" si="3"/>
        <v>0</v>
      </c>
      <c r="E67" s="282">
        <f t="shared" si="4"/>
        <v>0</v>
      </c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</row>
    <row r="68" spans="1:32" ht="16.2" hidden="1" thickBot="1" x14ac:dyDescent="0.35">
      <c r="A68" s="77" t="s">
        <v>52</v>
      </c>
      <c r="B68" s="51" t="s">
        <v>230</v>
      </c>
      <c r="C68" s="255"/>
      <c r="D68" s="282">
        <f t="shared" si="3"/>
        <v>0</v>
      </c>
      <c r="E68" s="282">
        <f t="shared" si="4"/>
        <v>0</v>
      </c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</row>
    <row r="69" spans="1:32" ht="16.2" hidden="1" thickBot="1" x14ac:dyDescent="0.35">
      <c r="A69" s="77" t="s">
        <v>53</v>
      </c>
      <c r="B69" s="51" t="s">
        <v>231</v>
      </c>
      <c r="C69" s="255"/>
      <c r="D69" s="282">
        <f t="shared" si="3"/>
        <v>0</v>
      </c>
      <c r="E69" s="282">
        <f t="shared" si="4"/>
        <v>0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</row>
    <row r="70" spans="1:32" ht="16.2" hidden="1" thickBot="1" x14ac:dyDescent="0.35">
      <c r="A70" s="77" t="s">
        <v>54</v>
      </c>
      <c r="B70" s="51" t="s">
        <v>232</v>
      </c>
      <c r="C70" s="255"/>
      <c r="D70" s="282">
        <f t="shared" si="3"/>
        <v>0</v>
      </c>
      <c r="E70" s="282">
        <f t="shared" si="4"/>
        <v>0</v>
      </c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</row>
    <row r="71" spans="1:32" ht="16.2" hidden="1" thickBot="1" x14ac:dyDescent="0.35">
      <c r="A71" s="77" t="s">
        <v>55</v>
      </c>
      <c r="B71" s="51" t="s">
        <v>233</v>
      </c>
      <c r="C71" s="255"/>
      <c r="D71" s="282">
        <f t="shared" si="3"/>
        <v>0</v>
      </c>
      <c r="E71" s="282">
        <f t="shared" si="4"/>
        <v>0</v>
      </c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</row>
    <row r="72" spans="1:32" ht="16.2" hidden="1" thickBot="1" x14ac:dyDescent="0.35">
      <c r="A72" s="77" t="s">
        <v>56</v>
      </c>
      <c r="B72" s="51" t="s">
        <v>234</v>
      </c>
      <c r="C72" s="255"/>
      <c r="D72" s="282">
        <f t="shared" si="3"/>
        <v>0</v>
      </c>
      <c r="E72" s="282">
        <f t="shared" si="4"/>
        <v>0</v>
      </c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</row>
    <row r="73" spans="1:32" ht="16.2" hidden="1" thickBot="1" x14ac:dyDescent="0.35">
      <c r="A73" s="77" t="s">
        <v>57</v>
      </c>
      <c r="B73" s="51" t="s">
        <v>235</v>
      </c>
      <c r="C73" s="255"/>
      <c r="D73" s="282">
        <f t="shared" si="3"/>
        <v>0</v>
      </c>
      <c r="E73" s="282">
        <f t="shared" si="4"/>
        <v>0</v>
      </c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</row>
    <row r="74" spans="1:32" ht="16.2" hidden="1" thickBot="1" x14ac:dyDescent="0.35">
      <c r="A74" s="77" t="s">
        <v>58</v>
      </c>
      <c r="B74" s="51" t="s">
        <v>236</v>
      </c>
      <c r="C74" s="255"/>
      <c r="D74" s="282">
        <f t="shared" si="3"/>
        <v>0</v>
      </c>
      <c r="E74" s="282">
        <f t="shared" si="4"/>
        <v>0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</row>
    <row r="75" spans="1:32" ht="16.2" hidden="1" thickBot="1" x14ac:dyDescent="0.35">
      <c r="A75" s="77" t="s">
        <v>59</v>
      </c>
      <c r="B75" s="51" t="s">
        <v>237</v>
      </c>
      <c r="C75" s="255"/>
      <c r="D75" s="282">
        <f t="shared" si="3"/>
        <v>0</v>
      </c>
      <c r="E75" s="282">
        <f t="shared" si="4"/>
        <v>0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</row>
    <row r="76" spans="1:32" ht="16.2" hidden="1" thickBot="1" x14ac:dyDescent="0.35">
      <c r="A76" s="77" t="s">
        <v>60</v>
      </c>
      <c r="B76" s="51" t="s">
        <v>238</v>
      </c>
      <c r="C76" s="255"/>
      <c r="D76" s="282">
        <f t="shared" si="3"/>
        <v>0</v>
      </c>
      <c r="E76" s="282">
        <f t="shared" si="4"/>
        <v>0</v>
      </c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</row>
    <row r="77" spans="1:32" ht="16.2" hidden="1" thickBot="1" x14ac:dyDescent="0.35">
      <c r="A77" s="77" t="s">
        <v>61</v>
      </c>
      <c r="B77" s="51" t="s">
        <v>239</v>
      </c>
      <c r="C77" s="255"/>
      <c r="D77" s="282">
        <f t="shared" si="3"/>
        <v>0</v>
      </c>
      <c r="E77" s="282">
        <f t="shared" si="4"/>
        <v>0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</row>
    <row r="78" spans="1:32" ht="16.2" hidden="1" thickBot="1" x14ac:dyDescent="0.35">
      <c r="A78" s="77" t="s">
        <v>62</v>
      </c>
      <c r="B78" s="51" t="s">
        <v>240</v>
      </c>
      <c r="C78" s="255"/>
      <c r="D78" s="282">
        <f t="shared" si="3"/>
        <v>0</v>
      </c>
      <c r="E78" s="282">
        <f t="shared" si="4"/>
        <v>0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</row>
    <row r="79" spans="1:32" ht="16.2" hidden="1" thickBot="1" x14ac:dyDescent="0.35">
      <c r="A79" s="77" t="s">
        <v>63</v>
      </c>
      <c r="B79" s="51" t="s">
        <v>241</v>
      </c>
      <c r="C79" s="255"/>
      <c r="D79" s="282">
        <f t="shared" ref="D79:D110" si="5">SUM(F79:AF79)</f>
        <v>0</v>
      </c>
      <c r="E79" s="282">
        <f t="shared" ref="E79:E110" si="6">C79-D79</f>
        <v>0</v>
      </c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</row>
    <row r="80" spans="1:32" ht="16.2" hidden="1" thickBot="1" x14ac:dyDescent="0.35">
      <c r="A80" s="77" t="s">
        <v>64</v>
      </c>
      <c r="B80" s="51" t="s">
        <v>242</v>
      </c>
      <c r="C80" s="255"/>
      <c r="D80" s="282">
        <f t="shared" si="5"/>
        <v>0</v>
      </c>
      <c r="E80" s="282">
        <f t="shared" si="6"/>
        <v>0</v>
      </c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</row>
    <row r="81" spans="1:32" ht="16.2" hidden="1" thickBot="1" x14ac:dyDescent="0.35">
      <c r="A81" s="77" t="s">
        <v>65</v>
      </c>
      <c r="B81" s="51" t="s">
        <v>243</v>
      </c>
      <c r="C81" s="255"/>
      <c r="D81" s="282">
        <f t="shared" si="5"/>
        <v>0</v>
      </c>
      <c r="E81" s="282">
        <f t="shared" si="6"/>
        <v>0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</row>
    <row r="82" spans="1:32" ht="16.2" hidden="1" thickBot="1" x14ac:dyDescent="0.35">
      <c r="A82" s="77" t="s">
        <v>66</v>
      </c>
      <c r="B82" s="51" t="s">
        <v>244</v>
      </c>
      <c r="C82" s="255"/>
      <c r="D82" s="282">
        <f t="shared" si="5"/>
        <v>0</v>
      </c>
      <c r="E82" s="282">
        <f t="shared" si="6"/>
        <v>0</v>
      </c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</row>
    <row r="83" spans="1:32" ht="16.2" hidden="1" thickBot="1" x14ac:dyDescent="0.35">
      <c r="A83" s="77" t="s">
        <v>67</v>
      </c>
      <c r="B83" s="51" t="s">
        <v>245</v>
      </c>
      <c r="C83" s="255"/>
      <c r="D83" s="282">
        <f t="shared" si="5"/>
        <v>0</v>
      </c>
      <c r="E83" s="282">
        <f t="shared" si="6"/>
        <v>0</v>
      </c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</row>
    <row r="84" spans="1:32" ht="16.2" hidden="1" thickBot="1" x14ac:dyDescent="0.35">
      <c r="A84" s="77" t="s">
        <v>68</v>
      </c>
      <c r="B84" s="51" t="s">
        <v>246</v>
      </c>
      <c r="C84" s="255"/>
      <c r="D84" s="282">
        <f t="shared" si="5"/>
        <v>0</v>
      </c>
      <c r="E84" s="282">
        <f t="shared" si="6"/>
        <v>0</v>
      </c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</row>
    <row r="85" spans="1:32" ht="16.2" hidden="1" thickBot="1" x14ac:dyDescent="0.35">
      <c r="A85" s="77" t="s">
        <v>69</v>
      </c>
      <c r="B85" s="51" t="s">
        <v>247</v>
      </c>
      <c r="C85" s="255"/>
      <c r="D85" s="282">
        <f t="shared" si="5"/>
        <v>0</v>
      </c>
      <c r="E85" s="282">
        <f t="shared" si="6"/>
        <v>0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</row>
    <row r="86" spans="1:32" ht="16.2" hidden="1" thickBot="1" x14ac:dyDescent="0.35">
      <c r="A86" s="77" t="s">
        <v>70</v>
      </c>
      <c r="B86" s="51" t="s">
        <v>248</v>
      </c>
      <c r="C86" s="255"/>
      <c r="D86" s="282">
        <f t="shared" si="5"/>
        <v>0</v>
      </c>
      <c r="E86" s="282">
        <f t="shared" si="6"/>
        <v>0</v>
      </c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</row>
    <row r="87" spans="1:32" ht="16.2" hidden="1" thickBot="1" x14ac:dyDescent="0.35">
      <c r="A87" s="77" t="s">
        <v>72</v>
      </c>
      <c r="B87" s="51" t="s">
        <v>250</v>
      </c>
      <c r="C87" s="243"/>
      <c r="D87" s="282">
        <f t="shared" si="5"/>
        <v>0</v>
      </c>
      <c r="E87" s="282">
        <f t="shared" si="6"/>
        <v>0</v>
      </c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</row>
    <row r="88" spans="1:32" ht="16.2" hidden="1" thickBot="1" x14ac:dyDescent="0.35">
      <c r="A88" s="77" t="s">
        <v>73</v>
      </c>
      <c r="B88" s="51" t="s">
        <v>251</v>
      </c>
      <c r="C88" s="255"/>
      <c r="D88" s="282">
        <f t="shared" si="5"/>
        <v>0</v>
      </c>
      <c r="E88" s="282">
        <f t="shared" si="6"/>
        <v>0</v>
      </c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</row>
    <row r="89" spans="1:32" s="12" customFormat="1" ht="16.2" hidden="1" thickBot="1" x14ac:dyDescent="0.35">
      <c r="A89" s="77" t="s">
        <v>74</v>
      </c>
      <c r="B89" s="205" t="s">
        <v>252</v>
      </c>
      <c r="C89" s="255"/>
      <c r="D89" s="282">
        <f t="shared" si="5"/>
        <v>0</v>
      </c>
      <c r="E89" s="282">
        <f t="shared" si="6"/>
        <v>0</v>
      </c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</row>
    <row r="90" spans="1:32" ht="16.2" hidden="1" thickBot="1" x14ac:dyDescent="0.35">
      <c r="A90" s="77" t="s">
        <v>75</v>
      </c>
      <c r="B90" s="205" t="s">
        <v>253</v>
      </c>
      <c r="C90" s="255"/>
      <c r="D90" s="282">
        <f t="shared" si="5"/>
        <v>0</v>
      </c>
      <c r="E90" s="282">
        <f t="shared" si="6"/>
        <v>0</v>
      </c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</row>
    <row r="91" spans="1:32" ht="16.2" hidden="1" thickBot="1" x14ac:dyDescent="0.35">
      <c r="A91" s="77" t="s">
        <v>76</v>
      </c>
      <c r="B91" s="205" t="s">
        <v>254</v>
      </c>
      <c r="C91" s="255"/>
      <c r="D91" s="282">
        <f t="shared" si="5"/>
        <v>0</v>
      </c>
      <c r="E91" s="282">
        <f t="shared" si="6"/>
        <v>0</v>
      </c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</row>
    <row r="92" spans="1:32" ht="16.2" hidden="1" thickBot="1" x14ac:dyDescent="0.35">
      <c r="A92" s="77" t="s">
        <v>77</v>
      </c>
      <c r="B92" s="51" t="s">
        <v>255</v>
      </c>
      <c r="C92" s="255"/>
      <c r="D92" s="282">
        <f t="shared" si="5"/>
        <v>0</v>
      </c>
      <c r="E92" s="282">
        <f t="shared" si="6"/>
        <v>0</v>
      </c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</row>
    <row r="93" spans="1:32" ht="16.2" hidden="1" thickBot="1" x14ac:dyDescent="0.35">
      <c r="A93" s="77" t="s">
        <v>78</v>
      </c>
      <c r="B93" s="51" t="s">
        <v>256</v>
      </c>
      <c r="C93" s="255"/>
      <c r="D93" s="282">
        <f t="shared" si="5"/>
        <v>0</v>
      </c>
      <c r="E93" s="282">
        <f t="shared" si="6"/>
        <v>0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</row>
    <row r="94" spans="1:32" ht="16.2" hidden="1" thickBot="1" x14ac:dyDescent="0.35">
      <c r="A94" s="77" t="s">
        <v>79</v>
      </c>
      <c r="B94" s="51" t="s">
        <v>257</v>
      </c>
      <c r="C94" s="255"/>
      <c r="D94" s="282">
        <f t="shared" si="5"/>
        <v>0</v>
      </c>
      <c r="E94" s="282">
        <f t="shared" si="6"/>
        <v>0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</row>
    <row r="95" spans="1:32" ht="16.2" hidden="1" thickBot="1" x14ac:dyDescent="0.35">
      <c r="A95" s="77" t="s">
        <v>80</v>
      </c>
      <c r="B95" s="51" t="s">
        <v>258</v>
      </c>
      <c r="C95" s="255"/>
      <c r="D95" s="282">
        <f t="shared" si="5"/>
        <v>0</v>
      </c>
      <c r="E95" s="282">
        <f t="shared" si="6"/>
        <v>0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</row>
    <row r="96" spans="1:32" ht="16.2" hidden="1" thickBot="1" x14ac:dyDescent="0.35">
      <c r="A96" s="77" t="s">
        <v>81</v>
      </c>
      <c r="B96" s="51" t="s">
        <v>259</v>
      </c>
      <c r="C96" s="255"/>
      <c r="D96" s="282">
        <f t="shared" si="5"/>
        <v>0</v>
      </c>
      <c r="E96" s="282">
        <f t="shared" si="6"/>
        <v>0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</row>
    <row r="97" spans="1:32" ht="16.2" hidden="1" thickBot="1" x14ac:dyDescent="0.35">
      <c r="A97" s="77" t="s">
        <v>83</v>
      </c>
      <c r="B97" s="51" t="s">
        <v>261</v>
      </c>
      <c r="C97" s="255"/>
      <c r="D97" s="282">
        <f t="shared" si="5"/>
        <v>0</v>
      </c>
      <c r="E97" s="282">
        <f t="shared" si="6"/>
        <v>0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</row>
    <row r="98" spans="1:32" ht="16.2" hidden="1" thickBot="1" x14ac:dyDescent="0.35">
      <c r="A98" s="77" t="s">
        <v>84</v>
      </c>
      <c r="B98" s="53" t="s">
        <v>262</v>
      </c>
      <c r="C98" s="255"/>
      <c r="D98" s="282">
        <f t="shared" si="5"/>
        <v>0</v>
      </c>
      <c r="E98" s="282">
        <f t="shared" si="6"/>
        <v>0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</row>
    <row r="99" spans="1:32" ht="16.2" hidden="1" thickBot="1" x14ac:dyDescent="0.35">
      <c r="A99" s="77" t="s">
        <v>85</v>
      </c>
      <c r="B99" s="51" t="s">
        <v>263</v>
      </c>
      <c r="C99" s="255"/>
      <c r="D99" s="282">
        <f t="shared" si="5"/>
        <v>0</v>
      </c>
      <c r="E99" s="282">
        <f t="shared" si="6"/>
        <v>0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</row>
    <row r="100" spans="1:32" ht="16.2" hidden="1" thickBot="1" x14ac:dyDescent="0.35">
      <c r="A100" s="77" t="s">
        <v>86</v>
      </c>
      <c r="B100" s="51" t="s">
        <v>264</v>
      </c>
      <c r="C100" s="255"/>
      <c r="D100" s="282">
        <f t="shared" si="5"/>
        <v>0</v>
      </c>
      <c r="E100" s="282">
        <f t="shared" si="6"/>
        <v>0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</row>
    <row r="101" spans="1:32" ht="16.2" hidden="1" thickBot="1" x14ac:dyDescent="0.35">
      <c r="A101" s="77" t="s">
        <v>87</v>
      </c>
      <c r="B101" s="51" t="s">
        <v>265</v>
      </c>
      <c r="C101" s="255"/>
      <c r="D101" s="282">
        <f t="shared" si="5"/>
        <v>0</v>
      </c>
      <c r="E101" s="282">
        <f t="shared" si="6"/>
        <v>0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</row>
    <row r="102" spans="1:32" ht="16.2" hidden="1" thickBot="1" x14ac:dyDescent="0.35">
      <c r="A102" s="77" t="s">
        <v>88</v>
      </c>
      <c r="B102" s="51" t="s">
        <v>266</v>
      </c>
      <c r="C102" s="255"/>
      <c r="D102" s="282">
        <f t="shared" si="5"/>
        <v>0</v>
      </c>
      <c r="E102" s="282">
        <f t="shared" si="6"/>
        <v>0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</row>
    <row r="103" spans="1:32" ht="16.2" hidden="1" thickBot="1" x14ac:dyDescent="0.35">
      <c r="A103" s="77" t="s">
        <v>89</v>
      </c>
      <c r="B103" s="51" t="s">
        <v>267</v>
      </c>
      <c r="C103" s="255"/>
      <c r="D103" s="282">
        <f t="shared" si="5"/>
        <v>0</v>
      </c>
      <c r="E103" s="282">
        <f t="shared" si="6"/>
        <v>0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</row>
    <row r="104" spans="1:32" ht="16.2" hidden="1" thickBot="1" x14ac:dyDescent="0.35">
      <c r="A104" s="77" t="s">
        <v>90</v>
      </c>
      <c r="B104" s="51" t="s">
        <v>268</v>
      </c>
      <c r="C104" s="255"/>
      <c r="D104" s="282">
        <f t="shared" si="5"/>
        <v>0</v>
      </c>
      <c r="E104" s="282">
        <f t="shared" si="6"/>
        <v>0</v>
      </c>
      <c r="F104" s="280"/>
      <c r="G104" s="28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</row>
    <row r="105" spans="1:32" ht="16.2" hidden="1" thickBot="1" x14ac:dyDescent="0.35">
      <c r="A105" s="77" t="s">
        <v>91</v>
      </c>
      <c r="B105" s="51" t="s">
        <v>269</v>
      </c>
      <c r="C105" s="255"/>
      <c r="D105" s="282">
        <f t="shared" si="5"/>
        <v>0</v>
      </c>
      <c r="E105" s="282">
        <f t="shared" si="6"/>
        <v>0</v>
      </c>
      <c r="F105" s="280"/>
      <c r="G105" s="28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</row>
    <row r="106" spans="1:32" ht="16.2" hidden="1" thickBot="1" x14ac:dyDescent="0.35">
      <c r="A106" s="77" t="s">
        <v>92</v>
      </c>
      <c r="B106" s="51" t="s">
        <v>270</v>
      </c>
      <c r="C106" s="255"/>
      <c r="D106" s="282">
        <f t="shared" si="5"/>
        <v>0</v>
      </c>
      <c r="E106" s="282">
        <f t="shared" si="6"/>
        <v>0</v>
      </c>
      <c r="F106" s="280"/>
      <c r="G106" s="28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</row>
    <row r="107" spans="1:32" s="12" customFormat="1" ht="16.2" hidden="1" thickBot="1" x14ac:dyDescent="0.35">
      <c r="A107" s="77" t="s">
        <v>499</v>
      </c>
      <c r="B107" s="205" t="s">
        <v>272</v>
      </c>
      <c r="C107" s="255"/>
      <c r="D107" s="282">
        <f t="shared" si="5"/>
        <v>0</v>
      </c>
      <c r="E107" s="282">
        <f t="shared" si="6"/>
        <v>0</v>
      </c>
      <c r="F107" s="280"/>
      <c r="G107" s="28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</row>
    <row r="108" spans="1:32" ht="16.2" hidden="1" thickBot="1" x14ac:dyDescent="0.35">
      <c r="A108" s="77" t="s">
        <v>500</v>
      </c>
      <c r="B108" s="51" t="s">
        <v>273</v>
      </c>
      <c r="C108" s="255"/>
      <c r="D108" s="282">
        <f t="shared" si="5"/>
        <v>0</v>
      </c>
      <c r="E108" s="282">
        <f t="shared" si="6"/>
        <v>0</v>
      </c>
      <c r="F108" s="280"/>
      <c r="G108" s="28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</row>
    <row r="109" spans="1:32" ht="16.2" hidden="1" thickBot="1" x14ac:dyDescent="0.35">
      <c r="A109" s="77" t="s">
        <v>501</v>
      </c>
      <c r="B109" s="51" t="s">
        <v>274</v>
      </c>
      <c r="C109" s="255"/>
      <c r="D109" s="282">
        <f t="shared" si="5"/>
        <v>0</v>
      </c>
      <c r="E109" s="282">
        <f t="shared" si="6"/>
        <v>0</v>
      </c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</row>
    <row r="110" spans="1:32" ht="16.2" hidden="1" thickBot="1" x14ac:dyDescent="0.35">
      <c r="A110" s="77" t="s">
        <v>502</v>
      </c>
      <c r="B110" s="51" t="s">
        <v>275</v>
      </c>
      <c r="C110" s="255"/>
      <c r="D110" s="282">
        <f t="shared" si="5"/>
        <v>0</v>
      </c>
      <c r="E110" s="282">
        <f t="shared" si="6"/>
        <v>0</v>
      </c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</row>
    <row r="111" spans="1:32" ht="16.2" hidden="1" thickBot="1" x14ac:dyDescent="0.35">
      <c r="A111" s="77" t="s">
        <v>503</v>
      </c>
      <c r="B111" s="51" t="s">
        <v>276</v>
      </c>
      <c r="C111" s="255"/>
      <c r="D111" s="282">
        <f t="shared" ref="D111:D142" si="7">SUM(F111:AF111)</f>
        <v>0</v>
      </c>
      <c r="E111" s="282">
        <f t="shared" ref="E111:E142" si="8">C111-D111</f>
        <v>0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</row>
    <row r="112" spans="1:32" ht="16.2" hidden="1" thickBot="1" x14ac:dyDescent="0.35">
      <c r="A112" s="77" t="s">
        <v>504</v>
      </c>
      <c r="B112" s="51" t="s">
        <v>277</v>
      </c>
      <c r="C112" s="255"/>
      <c r="D112" s="282">
        <f t="shared" si="7"/>
        <v>0</v>
      </c>
      <c r="E112" s="282">
        <f t="shared" si="8"/>
        <v>0</v>
      </c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</row>
    <row r="113" spans="1:32" ht="16.2" hidden="1" thickBot="1" x14ac:dyDescent="0.35">
      <c r="A113" s="77" t="s">
        <v>101</v>
      </c>
      <c r="B113" s="51" t="s">
        <v>279</v>
      </c>
      <c r="C113" s="255"/>
      <c r="D113" s="282">
        <f t="shared" si="7"/>
        <v>0</v>
      </c>
      <c r="E113" s="282">
        <f t="shared" si="8"/>
        <v>0</v>
      </c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</row>
    <row r="114" spans="1:32" ht="16.2" hidden="1" thickBot="1" x14ac:dyDescent="0.35">
      <c r="A114" s="77" t="s">
        <v>102</v>
      </c>
      <c r="B114" s="51" t="s">
        <v>280</v>
      </c>
      <c r="C114" s="255"/>
      <c r="D114" s="282">
        <f t="shared" si="7"/>
        <v>0</v>
      </c>
      <c r="E114" s="282">
        <f t="shared" si="8"/>
        <v>0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</row>
    <row r="115" spans="1:32" ht="16.2" hidden="1" thickBot="1" x14ac:dyDescent="0.35">
      <c r="A115" s="77" t="s">
        <v>103</v>
      </c>
      <c r="B115" s="51" t="s">
        <v>281</v>
      </c>
      <c r="C115" s="255"/>
      <c r="D115" s="282">
        <f t="shared" si="7"/>
        <v>0</v>
      </c>
      <c r="E115" s="282">
        <f t="shared" si="8"/>
        <v>0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</row>
    <row r="116" spans="1:32" ht="16.2" hidden="1" thickBot="1" x14ac:dyDescent="0.35">
      <c r="A116" s="77" t="s">
        <v>104</v>
      </c>
      <c r="B116" s="51" t="s">
        <v>282</v>
      </c>
      <c r="C116" s="255"/>
      <c r="D116" s="282">
        <f t="shared" si="7"/>
        <v>0</v>
      </c>
      <c r="E116" s="282">
        <f t="shared" si="8"/>
        <v>0</v>
      </c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</row>
    <row r="117" spans="1:32" ht="16.2" hidden="1" thickBot="1" x14ac:dyDescent="0.35">
      <c r="A117" s="77" t="s">
        <v>105</v>
      </c>
      <c r="B117" s="51" t="s">
        <v>283</v>
      </c>
      <c r="C117" s="255"/>
      <c r="D117" s="282">
        <f t="shared" si="7"/>
        <v>0</v>
      </c>
      <c r="E117" s="282">
        <f t="shared" si="8"/>
        <v>0</v>
      </c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</row>
    <row r="118" spans="1:32" ht="16.2" hidden="1" thickBot="1" x14ac:dyDescent="0.35">
      <c r="A118" s="77" t="s">
        <v>106</v>
      </c>
      <c r="B118" s="51" t="s">
        <v>284</v>
      </c>
      <c r="C118" s="255"/>
      <c r="D118" s="282">
        <f t="shared" si="7"/>
        <v>0</v>
      </c>
      <c r="E118" s="282">
        <f t="shared" si="8"/>
        <v>0</v>
      </c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</row>
    <row r="119" spans="1:32" ht="16.2" hidden="1" thickBot="1" x14ac:dyDescent="0.35">
      <c r="A119" s="77" t="s">
        <v>107</v>
      </c>
      <c r="B119" s="51" t="s">
        <v>285</v>
      </c>
      <c r="C119" s="255"/>
      <c r="D119" s="282">
        <f t="shared" si="7"/>
        <v>0</v>
      </c>
      <c r="E119" s="282">
        <f t="shared" si="8"/>
        <v>0</v>
      </c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</row>
    <row r="120" spans="1:32" ht="16.2" hidden="1" thickBot="1" x14ac:dyDescent="0.35">
      <c r="A120" s="77" t="s">
        <v>108</v>
      </c>
      <c r="B120" s="51" t="s">
        <v>286</v>
      </c>
      <c r="C120" s="255"/>
      <c r="D120" s="282">
        <f t="shared" si="7"/>
        <v>0</v>
      </c>
      <c r="E120" s="282">
        <f t="shared" si="8"/>
        <v>0</v>
      </c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</row>
    <row r="121" spans="1:32" ht="16.2" hidden="1" thickBot="1" x14ac:dyDescent="0.35">
      <c r="A121" s="77" t="s">
        <v>109</v>
      </c>
      <c r="B121" s="51" t="s">
        <v>287</v>
      </c>
      <c r="C121" s="255"/>
      <c r="D121" s="282">
        <f t="shared" si="7"/>
        <v>0</v>
      </c>
      <c r="E121" s="282">
        <f t="shared" si="8"/>
        <v>0</v>
      </c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</row>
    <row r="122" spans="1:32" ht="16.2" hidden="1" thickBot="1" x14ac:dyDescent="0.35">
      <c r="A122" s="77" t="s">
        <v>110</v>
      </c>
      <c r="B122" s="51" t="s">
        <v>288</v>
      </c>
      <c r="C122" s="255"/>
      <c r="D122" s="282">
        <f t="shared" si="7"/>
        <v>0</v>
      </c>
      <c r="E122" s="282">
        <f t="shared" si="8"/>
        <v>0</v>
      </c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</row>
    <row r="123" spans="1:32" ht="16.2" hidden="1" thickBot="1" x14ac:dyDescent="0.35">
      <c r="A123" s="77" t="s">
        <v>111</v>
      </c>
      <c r="B123" s="51" t="s">
        <v>289</v>
      </c>
      <c r="C123" s="255"/>
      <c r="D123" s="282">
        <f t="shared" si="7"/>
        <v>0</v>
      </c>
      <c r="E123" s="282">
        <f t="shared" si="8"/>
        <v>0</v>
      </c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</row>
    <row r="124" spans="1:32" ht="16.2" hidden="1" thickBot="1" x14ac:dyDescent="0.35">
      <c r="A124" s="77" t="s">
        <v>112</v>
      </c>
      <c r="B124" s="51" t="s">
        <v>290</v>
      </c>
      <c r="C124" s="255"/>
      <c r="D124" s="282">
        <f t="shared" si="7"/>
        <v>0</v>
      </c>
      <c r="E124" s="282">
        <f t="shared" si="8"/>
        <v>0</v>
      </c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</row>
    <row r="125" spans="1:32" ht="16.2" hidden="1" thickBot="1" x14ac:dyDescent="0.35">
      <c r="A125" s="77" t="s">
        <v>113</v>
      </c>
      <c r="B125" s="51" t="s">
        <v>291</v>
      </c>
      <c r="C125" s="255"/>
      <c r="D125" s="282">
        <f t="shared" si="7"/>
        <v>0</v>
      </c>
      <c r="E125" s="282">
        <f t="shared" si="8"/>
        <v>0</v>
      </c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</row>
    <row r="126" spans="1:32" ht="16.2" hidden="1" thickBot="1" x14ac:dyDescent="0.35">
      <c r="A126" s="77" t="s">
        <v>114</v>
      </c>
      <c r="B126" s="51" t="s">
        <v>292</v>
      </c>
      <c r="C126" s="255"/>
      <c r="D126" s="282">
        <f t="shared" si="7"/>
        <v>0</v>
      </c>
      <c r="E126" s="282">
        <f t="shared" si="8"/>
        <v>0</v>
      </c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</row>
    <row r="127" spans="1:32" ht="16.2" hidden="1" thickBot="1" x14ac:dyDescent="0.35">
      <c r="A127" s="77" t="s">
        <v>115</v>
      </c>
      <c r="B127" s="51" t="s">
        <v>293</v>
      </c>
      <c r="C127" s="255"/>
      <c r="D127" s="282">
        <f t="shared" si="7"/>
        <v>0</v>
      </c>
      <c r="E127" s="282">
        <f t="shared" si="8"/>
        <v>0</v>
      </c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</row>
    <row r="128" spans="1:32" s="12" customFormat="1" ht="16.2" hidden="1" thickBot="1" x14ac:dyDescent="0.35">
      <c r="A128" s="77" t="s">
        <v>116</v>
      </c>
      <c r="B128" s="205" t="s">
        <v>294</v>
      </c>
      <c r="C128" s="255"/>
      <c r="D128" s="282">
        <f t="shared" si="7"/>
        <v>0</v>
      </c>
      <c r="E128" s="282">
        <f t="shared" si="8"/>
        <v>0</v>
      </c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</row>
    <row r="129" spans="1:32" ht="16.2" hidden="1" thickBot="1" x14ac:dyDescent="0.35">
      <c r="A129" s="77" t="s">
        <v>117</v>
      </c>
      <c r="B129" s="51" t="s">
        <v>295</v>
      </c>
      <c r="C129" s="255"/>
      <c r="D129" s="282">
        <f t="shared" si="7"/>
        <v>0</v>
      </c>
      <c r="E129" s="282">
        <f t="shared" si="8"/>
        <v>0</v>
      </c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</row>
    <row r="130" spans="1:32" ht="16.2" hidden="1" thickBot="1" x14ac:dyDescent="0.35">
      <c r="A130" s="77" t="s">
        <v>119</v>
      </c>
      <c r="B130" s="51" t="s">
        <v>297</v>
      </c>
      <c r="C130" s="255"/>
      <c r="D130" s="282">
        <f t="shared" si="7"/>
        <v>0</v>
      </c>
      <c r="E130" s="282">
        <f t="shared" si="8"/>
        <v>0</v>
      </c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</row>
    <row r="131" spans="1:32" ht="16.2" hidden="1" thickBot="1" x14ac:dyDescent="0.35">
      <c r="A131" s="77" t="s">
        <v>120</v>
      </c>
      <c r="B131" s="51" t="s">
        <v>298</v>
      </c>
      <c r="C131" s="255"/>
      <c r="D131" s="282">
        <f t="shared" si="7"/>
        <v>0</v>
      </c>
      <c r="E131" s="282">
        <f t="shared" si="8"/>
        <v>0</v>
      </c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</row>
    <row r="132" spans="1:32" ht="16.2" hidden="1" thickBot="1" x14ac:dyDescent="0.35">
      <c r="A132" s="77" t="s">
        <v>122</v>
      </c>
      <c r="B132" s="51" t="s">
        <v>300</v>
      </c>
      <c r="C132" s="255"/>
      <c r="D132" s="282">
        <f t="shared" si="7"/>
        <v>0</v>
      </c>
      <c r="E132" s="282">
        <f t="shared" si="8"/>
        <v>0</v>
      </c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</row>
    <row r="133" spans="1:32" ht="16.2" hidden="1" thickBot="1" x14ac:dyDescent="0.35">
      <c r="A133" s="77" t="s">
        <v>123</v>
      </c>
      <c r="B133" s="51" t="s">
        <v>301</v>
      </c>
      <c r="C133" s="255"/>
      <c r="D133" s="282">
        <f t="shared" si="7"/>
        <v>0</v>
      </c>
      <c r="E133" s="282">
        <f t="shared" si="8"/>
        <v>0</v>
      </c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</row>
    <row r="134" spans="1:32" ht="16.2" hidden="1" thickBot="1" x14ac:dyDescent="0.35">
      <c r="A134" s="77" t="s">
        <v>125</v>
      </c>
      <c r="B134" s="51" t="s">
        <v>303</v>
      </c>
      <c r="C134" s="255"/>
      <c r="D134" s="282">
        <f t="shared" si="7"/>
        <v>0</v>
      </c>
      <c r="E134" s="282">
        <f t="shared" si="8"/>
        <v>0</v>
      </c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</row>
    <row r="135" spans="1:32" ht="16.2" hidden="1" thickBot="1" x14ac:dyDescent="0.35">
      <c r="A135" s="77" t="s">
        <v>126</v>
      </c>
      <c r="B135" s="51" t="s">
        <v>304</v>
      </c>
      <c r="C135" s="255"/>
      <c r="D135" s="282">
        <f t="shared" si="7"/>
        <v>0</v>
      </c>
      <c r="E135" s="282">
        <f t="shared" si="8"/>
        <v>0</v>
      </c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</row>
    <row r="136" spans="1:32" ht="16.2" hidden="1" thickBot="1" x14ac:dyDescent="0.35">
      <c r="A136" s="77" t="s">
        <v>129</v>
      </c>
      <c r="B136" s="51" t="s">
        <v>307</v>
      </c>
      <c r="C136" s="255"/>
      <c r="D136" s="282">
        <f t="shared" si="7"/>
        <v>0</v>
      </c>
      <c r="E136" s="282">
        <f t="shared" si="8"/>
        <v>0</v>
      </c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</row>
    <row r="137" spans="1:32" ht="16.2" hidden="1" thickBot="1" x14ac:dyDescent="0.35">
      <c r="A137" s="77" t="s">
        <v>130</v>
      </c>
      <c r="B137" s="51" t="s">
        <v>308</v>
      </c>
      <c r="C137" s="255"/>
      <c r="D137" s="282">
        <f t="shared" si="7"/>
        <v>0</v>
      </c>
      <c r="E137" s="282">
        <f t="shared" si="8"/>
        <v>0</v>
      </c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</row>
    <row r="138" spans="1:32" ht="16.2" hidden="1" thickBot="1" x14ac:dyDescent="0.35">
      <c r="A138" s="77" t="s">
        <v>131</v>
      </c>
      <c r="B138" s="51" t="s">
        <v>309</v>
      </c>
      <c r="C138" s="255"/>
      <c r="D138" s="282">
        <f t="shared" si="7"/>
        <v>0</v>
      </c>
      <c r="E138" s="282">
        <f t="shared" si="8"/>
        <v>0</v>
      </c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</row>
    <row r="139" spans="1:32" ht="16.2" hidden="1" thickBot="1" x14ac:dyDescent="0.35">
      <c r="A139" s="77" t="s">
        <v>132</v>
      </c>
      <c r="B139" s="51" t="s">
        <v>310</v>
      </c>
      <c r="C139" s="255"/>
      <c r="D139" s="282">
        <f t="shared" si="7"/>
        <v>0</v>
      </c>
      <c r="E139" s="282">
        <f t="shared" si="8"/>
        <v>0</v>
      </c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</row>
    <row r="140" spans="1:32" ht="16.2" hidden="1" thickBot="1" x14ac:dyDescent="0.35">
      <c r="A140" s="77" t="s">
        <v>133</v>
      </c>
      <c r="B140" s="51" t="s">
        <v>311</v>
      </c>
      <c r="C140" s="255"/>
      <c r="D140" s="282">
        <f t="shared" si="7"/>
        <v>0</v>
      </c>
      <c r="E140" s="282">
        <f t="shared" si="8"/>
        <v>0</v>
      </c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</row>
    <row r="141" spans="1:32" ht="16.2" hidden="1" thickBot="1" x14ac:dyDescent="0.35">
      <c r="A141" s="77" t="s">
        <v>134</v>
      </c>
      <c r="B141" s="51" t="s">
        <v>312</v>
      </c>
      <c r="C141" s="255"/>
      <c r="D141" s="282">
        <f t="shared" si="7"/>
        <v>0</v>
      </c>
      <c r="E141" s="282">
        <f t="shared" si="8"/>
        <v>0</v>
      </c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</row>
    <row r="142" spans="1:32" ht="16.2" hidden="1" thickBot="1" x14ac:dyDescent="0.35">
      <c r="A142" s="77" t="s">
        <v>135</v>
      </c>
      <c r="B142" s="51" t="s">
        <v>313</v>
      </c>
      <c r="C142" s="255"/>
      <c r="D142" s="282">
        <f t="shared" si="7"/>
        <v>0</v>
      </c>
      <c r="E142" s="282">
        <f t="shared" si="8"/>
        <v>0</v>
      </c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</row>
    <row r="143" spans="1:32" ht="16.2" hidden="1" thickBot="1" x14ac:dyDescent="0.35">
      <c r="A143" s="77" t="s">
        <v>136</v>
      </c>
      <c r="B143" s="51" t="s">
        <v>314</v>
      </c>
      <c r="C143" s="255"/>
      <c r="D143" s="282">
        <f t="shared" ref="D143:D174" si="9">SUM(F143:AF143)</f>
        <v>0</v>
      </c>
      <c r="E143" s="282">
        <f t="shared" ref="E143:E174" si="10">C143-D143</f>
        <v>0</v>
      </c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</row>
    <row r="144" spans="1:32" ht="16.2" hidden="1" thickBot="1" x14ac:dyDescent="0.35">
      <c r="A144" s="77" t="s">
        <v>137</v>
      </c>
      <c r="B144" s="51" t="s">
        <v>315</v>
      </c>
      <c r="C144" s="255"/>
      <c r="D144" s="282">
        <f t="shared" si="9"/>
        <v>0</v>
      </c>
      <c r="E144" s="282">
        <f t="shared" si="10"/>
        <v>0</v>
      </c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</row>
    <row r="145" spans="1:32" ht="16.2" hidden="1" thickBot="1" x14ac:dyDescent="0.35">
      <c r="A145" s="77" t="s">
        <v>138</v>
      </c>
      <c r="B145" s="51" t="s">
        <v>316</v>
      </c>
      <c r="C145" s="255"/>
      <c r="D145" s="282">
        <f t="shared" si="9"/>
        <v>0</v>
      </c>
      <c r="E145" s="282">
        <f t="shared" si="10"/>
        <v>0</v>
      </c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</row>
    <row r="146" spans="1:32" ht="16.2" hidden="1" thickBot="1" x14ac:dyDescent="0.35">
      <c r="A146" s="77" t="s">
        <v>139</v>
      </c>
      <c r="B146" s="51" t="s">
        <v>317</v>
      </c>
      <c r="C146" s="255"/>
      <c r="D146" s="282">
        <f t="shared" si="9"/>
        <v>0</v>
      </c>
      <c r="E146" s="282">
        <f t="shared" si="10"/>
        <v>0</v>
      </c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</row>
    <row r="147" spans="1:32" ht="16.2" hidden="1" thickBot="1" x14ac:dyDescent="0.35">
      <c r="A147" s="77" t="s">
        <v>140</v>
      </c>
      <c r="B147" s="51" t="s">
        <v>318</v>
      </c>
      <c r="C147" s="255"/>
      <c r="D147" s="282">
        <f t="shared" si="9"/>
        <v>0</v>
      </c>
      <c r="E147" s="282">
        <f t="shared" si="10"/>
        <v>0</v>
      </c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</row>
    <row r="148" spans="1:32" ht="16.2" hidden="1" thickBot="1" x14ac:dyDescent="0.35">
      <c r="A148" s="77" t="s">
        <v>142</v>
      </c>
      <c r="B148" s="51" t="s">
        <v>320</v>
      </c>
      <c r="C148" s="255"/>
      <c r="D148" s="282">
        <f t="shared" si="9"/>
        <v>0</v>
      </c>
      <c r="E148" s="282">
        <f t="shared" si="10"/>
        <v>0</v>
      </c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</row>
    <row r="149" spans="1:32" ht="16.2" hidden="1" thickBot="1" x14ac:dyDescent="0.35">
      <c r="A149" s="77" t="s">
        <v>143</v>
      </c>
      <c r="B149" s="51" t="s">
        <v>321</v>
      </c>
      <c r="C149" s="255"/>
      <c r="D149" s="282">
        <f t="shared" si="9"/>
        <v>0</v>
      </c>
      <c r="E149" s="282">
        <f t="shared" si="10"/>
        <v>0</v>
      </c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</row>
    <row r="150" spans="1:32" ht="16.2" hidden="1" thickBot="1" x14ac:dyDescent="0.35">
      <c r="A150" s="77" t="s">
        <v>144</v>
      </c>
      <c r="B150" s="51" t="s">
        <v>322</v>
      </c>
      <c r="C150" s="255"/>
      <c r="D150" s="282">
        <f t="shared" si="9"/>
        <v>0</v>
      </c>
      <c r="E150" s="282">
        <f t="shared" si="10"/>
        <v>0</v>
      </c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</row>
    <row r="151" spans="1:32" ht="16.2" hidden="1" thickBot="1" x14ac:dyDescent="0.35">
      <c r="A151" s="77" t="s">
        <v>145</v>
      </c>
      <c r="B151" s="51" t="s">
        <v>323</v>
      </c>
      <c r="C151" s="255"/>
      <c r="D151" s="282">
        <f t="shared" si="9"/>
        <v>0</v>
      </c>
      <c r="E151" s="282">
        <f t="shared" si="10"/>
        <v>0</v>
      </c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</row>
    <row r="152" spans="1:32" ht="16.2" hidden="1" thickBot="1" x14ac:dyDescent="0.35">
      <c r="A152" s="77" t="s">
        <v>146</v>
      </c>
      <c r="B152" s="51" t="s">
        <v>324</v>
      </c>
      <c r="C152" s="255"/>
      <c r="D152" s="282">
        <f t="shared" si="9"/>
        <v>0</v>
      </c>
      <c r="E152" s="282">
        <f t="shared" si="10"/>
        <v>0</v>
      </c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</row>
    <row r="153" spans="1:32" ht="16.2" hidden="1" thickBot="1" x14ac:dyDescent="0.35">
      <c r="A153" s="77" t="s">
        <v>147</v>
      </c>
      <c r="B153" s="51" t="s">
        <v>325</v>
      </c>
      <c r="C153" s="255"/>
      <c r="D153" s="282">
        <f t="shared" si="9"/>
        <v>0</v>
      </c>
      <c r="E153" s="282">
        <f t="shared" si="10"/>
        <v>0</v>
      </c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</row>
    <row r="154" spans="1:32" ht="16.2" hidden="1" thickBot="1" x14ac:dyDescent="0.35">
      <c r="A154" s="77" t="s">
        <v>148</v>
      </c>
      <c r="B154" s="51" t="s">
        <v>326</v>
      </c>
      <c r="C154" s="255"/>
      <c r="D154" s="282">
        <f t="shared" si="9"/>
        <v>0</v>
      </c>
      <c r="E154" s="282">
        <f t="shared" si="10"/>
        <v>0</v>
      </c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</row>
    <row r="155" spans="1:32" ht="16.2" hidden="1" thickBot="1" x14ac:dyDescent="0.35">
      <c r="A155" s="77" t="s">
        <v>150</v>
      </c>
      <c r="B155" s="51" t="s">
        <v>328</v>
      </c>
      <c r="C155" s="243"/>
      <c r="D155" s="282">
        <f t="shared" si="9"/>
        <v>0</v>
      </c>
      <c r="E155" s="282">
        <f t="shared" si="10"/>
        <v>0</v>
      </c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</row>
    <row r="156" spans="1:32" ht="16.2" hidden="1" thickBot="1" x14ac:dyDescent="0.35">
      <c r="A156" s="77" t="s">
        <v>151</v>
      </c>
      <c r="B156" s="51" t="s">
        <v>329</v>
      </c>
      <c r="C156" s="243"/>
      <c r="D156" s="282">
        <f t="shared" si="9"/>
        <v>0</v>
      </c>
      <c r="E156" s="282">
        <f t="shared" si="10"/>
        <v>0</v>
      </c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</row>
    <row r="157" spans="1:32" ht="16.2" hidden="1" thickBot="1" x14ac:dyDescent="0.35">
      <c r="A157" s="77" t="s">
        <v>152</v>
      </c>
      <c r="B157" s="51" t="s">
        <v>330</v>
      </c>
      <c r="C157" s="243"/>
      <c r="D157" s="282">
        <f t="shared" si="9"/>
        <v>0</v>
      </c>
      <c r="E157" s="282">
        <f t="shared" si="10"/>
        <v>0</v>
      </c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</row>
    <row r="158" spans="1:32" ht="16.2" hidden="1" thickBot="1" x14ac:dyDescent="0.35">
      <c r="A158" s="77" t="s">
        <v>153</v>
      </c>
      <c r="B158" s="51" t="s">
        <v>331</v>
      </c>
      <c r="C158" s="243"/>
      <c r="D158" s="282">
        <f t="shared" si="9"/>
        <v>0</v>
      </c>
      <c r="E158" s="282">
        <f t="shared" si="10"/>
        <v>0</v>
      </c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</row>
    <row r="159" spans="1:32" ht="16.2" hidden="1" thickBot="1" x14ac:dyDescent="0.35">
      <c r="A159" s="77" t="s">
        <v>154</v>
      </c>
      <c r="B159" s="51" t="s">
        <v>332</v>
      </c>
      <c r="C159" s="243"/>
      <c r="D159" s="282">
        <f t="shared" si="9"/>
        <v>0</v>
      </c>
      <c r="E159" s="282">
        <f t="shared" si="10"/>
        <v>0</v>
      </c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</row>
    <row r="160" spans="1:32" ht="16.2" hidden="1" thickBot="1" x14ac:dyDescent="0.35">
      <c r="A160" s="77" t="s">
        <v>155</v>
      </c>
      <c r="B160" s="51" t="s">
        <v>333</v>
      </c>
      <c r="C160" s="243"/>
      <c r="D160" s="282">
        <f t="shared" si="9"/>
        <v>0</v>
      </c>
      <c r="E160" s="282">
        <f t="shared" si="10"/>
        <v>0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</row>
    <row r="161" spans="1:32" ht="16.2" hidden="1" thickBot="1" x14ac:dyDescent="0.35">
      <c r="A161" s="77" t="s">
        <v>156</v>
      </c>
      <c r="B161" s="51" t="s">
        <v>334</v>
      </c>
      <c r="C161" s="243"/>
      <c r="D161" s="282">
        <f t="shared" si="9"/>
        <v>0</v>
      </c>
      <c r="E161" s="282">
        <f t="shared" si="10"/>
        <v>0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</row>
    <row r="162" spans="1:32" ht="16.2" hidden="1" thickBot="1" x14ac:dyDescent="0.35">
      <c r="A162" s="77" t="s">
        <v>157</v>
      </c>
      <c r="B162" s="51" t="s">
        <v>335</v>
      </c>
      <c r="C162" s="243"/>
      <c r="D162" s="282">
        <f t="shared" si="9"/>
        <v>0</v>
      </c>
      <c r="E162" s="282">
        <f t="shared" si="10"/>
        <v>0</v>
      </c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</row>
    <row r="163" spans="1:32" ht="16.2" hidden="1" thickBot="1" x14ac:dyDescent="0.35">
      <c r="A163" s="77" t="s">
        <v>158</v>
      </c>
      <c r="B163" s="51" t="s">
        <v>336</v>
      </c>
      <c r="C163" s="243"/>
      <c r="D163" s="282">
        <f t="shared" si="9"/>
        <v>0</v>
      </c>
      <c r="E163" s="282">
        <f t="shared" si="10"/>
        <v>0</v>
      </c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</row>
    <row r="164" spans="1:32" ht="16.2" hidden="1" thickBot="1" x14ac:dyDescent="0.35">
      <c r="A164" s="77" t="s">
        <v>159</v>
      </c>
      <c r="B164" s="51" t="s">
        <v>337</v>
      </c>
      <c r="C164" s="243"/>
      <c r="D164" s="282">
        <f t="shared" si="9"/>
        <v>0</v>
      </c>
      <c r="E164" s="282">
        <f t="shared" si="10"/>
        <v>0</v>
      </c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</row>
    <row r="165" spans="1:32" ht="16.2" hidden="1" thickBot="1" x14ac:dyDescent="0.35">
      <c r="A165" s="77" t="s">
        <v>160</v>
      </c>
      <c r="B165" s="51" t="s">
        <v>338</v>
      </c>
      <c r="C165" s="243"/>
      <c r="D165" s="282">
        <f t="shared" si="9"/>
        <v>0</v>
      </c>
      <c r="E165" s="282">
        <f t="shared" si="10"/>
        <v>0</v>
      </c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</row>
    <row r="166" spans="1:32" ht="16.2" hidden="1" thickBot="1" x14ac:dyDescent="0.35">
      <c r="A166" s="77" t="s">
        <v>161</v>
      </c>
      <c r="B166" s="51" t="s">
        <v>339</v>
      </c>
      <c r="C166" s="243"/>
      <c r="D166" s="282">
        <f t="shared" si="9"/>
        <v>0</v>
      </c>
      <c r="E166" s="282">
        <f t="shared" si="10"/>
        <v>0</v>
      </c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</row>
    <row r="167" spans="1:32" ht="16.2" hidden="1" thickBot="1" x14ac:dyDescent="0.35">
      <c r="A167" s="77" t="s">
        <v>162</v>
      </c>
      <c r="B167" s="51" t="s">
        <v>340</v>
      </c>
      <c r="C167" s="243"/>
      <c r="D167" s="282">
        <f t="shared" si="9"/>
        <v>0</v>
      </c>
      <c r="E167" s="282">
        <f t="shared" si="10"/>
        <v>0</v>
      </c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</row>
    <row r="168" spans="1:32" ht="16.2" hidden="1" thickBot="1" x14ac:dyDescent="0.35">
      <c r="A168" s="77" t="s">
        <v>163</v>
      </c>
      <c r="B168" s="51" t="s">
        <v>341</v>
      </c>
      <c r="C168" s="243"/>
      <c r="D168" s="282">
        <f t="shared" si="9"/>
        <v>0</v>
      </c>
      <c r="E168" s="282">
        <f t="shared" si="10"/>
        <v>0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</row>
    <row r="169" spans="1:32" ht="16.2" hidden="1" thickBot="1" x14ac:dyDescent="0.35">
      <c r="A169" s="77" t="s">
        <v>164</v>
      </c>
      <c r="B169" s="51" t="s">
        <v>342</v>
      </c>
      <c r="C169" s="243"/>
      <c r="D169" s="282">
        <f t="shared" si="9"/>
        <v>0</v>
      </c>
      <c r="E169" s="282">
        <f t="shared" si="10"/>
        <v>0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</row>
    <row r="170" spans="1:32" ht="16.2" hidden="1" thickBot="1" x14ac:dyDescent="0.35">
      <c r="A170" s="77" t="s">
        <v>165</v>
      </c>
      <c r="B170" s="51" t="s">
        <v>343</v>
      </c>
      <c r="C170" s="243"/>
      <c r="D170" s="282">
        <f t="shared" si="9"/>
        <v>0</v>
      </c>
      <c r="E170" s="282">
        <f t="shared" si="10"/>
        <v>0</v>
      </c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</row>
    <row r="171" spans="1:32" ht="16.2" hidden="1" thickBot="1" x14ac:dyDescent="0.35">
      <c r="A171" s="77" t="s">
        <v>166</v>
      </c>
      <c r="B171" s="51" t="s">
        <v>344</v>
      </c>
      <c r="C171" s="243"/>
      <c r="D171" s="282">
        <f t="shared" si="9"/>
        <v>0</v>
      </c>
      <c r="E171" s="282">
        <f t="shared" si="10"/>
        <v>0</v>
      </c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</row>
    <row r="172" spans="1:32" ht="16.2" hidden="1" thickBot="1" x14ac:dyDescent="0.35">
      <c r="A172" s="77" t="s">
        <v>167</v>
      </c>
      <c r="B172" s="51" t="s">
        <v>345</v>
      </c>
      <c r="C172" s="243"/>
      <c r="D172" s="282">
        <f t="shared" si="9"/>
        <v>0</v>
      </c>
      <c r="E172" s="282">
        <f t="shared" si="10"/>
        <v>0</v>
      </c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</row>
    <row r="173" spans="1:32" ht="16.2" hidden="1" thickBot="1" x14ac:dyDescent="0.35">
      <c r="A173" s="77" t="s">
        <v>168</v>
      </c>
      <c r="B173" s="51" t="s">
        <v>346</v>
      </c>
      <c r="C173" s="243"/>
      <c r="D173" s="282">
        <f t="shared" si="9"/>
        <v>0</v>
      </c>
      <c r="E173" s="282">
        <f t="shared" si="10"/>
        <v>0</v>
      </c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</row>
    <row r="174" spans="1:32" ht="16.2" hidden="1" thickBot="1" x14ac:dyDescent="0.35">
      <c r="A174" s="77" t="s">
        <v>169</v>
      </c>
      <c r="B174" s="51" t="s">
        <v>347</v>
      </c>
      <c r="C174" s="243"/>
      <c r="D174" s="282">
        <f t="shared" si="9"/>
        <v>0</v>
      </c>
      <c r="E174" s="282">
        <f t="shared" si="10"/>
        <v>0</v>
      </c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</row>
    <row r="175" spans="1:32" ht="16.2" hidden="1" thickBot="1" x14ac:dyDescent="0.35">
      <c r="A175" s="77" t="s">
        <v>170</v>
      </c>
      <c r="B175" s="51" t="s">
        <v>348</v>
      </c>
      <c r="C175" s="243"/>
      <c r="D175" s="282">
        <f t="shared" ref="D175:D192" si="11">SUM(F175:AF175)</f>
        <v>0</v>
      </c>
      <c r="E175" s="282">
        <f t="shared" ref="E175:E192" si="12">C175-D175</f>
        <v>0</v>
      </c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</row>
    <row r="176" spans="1:32" ht="16.2" hidden="1" thickBot="1" x14ac:dyDescent="0.35">
      <c r="A176" s="77" t="s">
        <v>171</v>
      </c>
      <c r="B176" s="51" t="s">
        <v>349</v>
      </c>
      <c r="C176" s="243"/>
      <c r="D176" s="282">
        <f t="shared" si="11"/>
        <v>0</v>
      </c>
      <c r="E176" s="282">
        <f t="shared" si="12"/>
        <v>0</v>
      </c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</row>
    <row r="177" spans="1:32" ht="16.2" hidden="1" thickBot="1" x14ac:dyDescent="0.35">
      <c r="A177" s="77" t="s">
        <v>172</v>
      </c>
      <c r="B177" s="51" t="s">
        <v>477</v>
      </c>
      <c r="C177" s="243"/>
      <c r="D177" s="282">
        <f t="shared" si="11"/>
        <v>0</v>
      </c>
      <c r="E177" s="282">
        <f t="shared" si="12"/>
        <v>0</v>
      </c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</row>
    <row r="178" spans="1:32" ht="16.2" hidden="1" thickBot="1" x14ac:dyDescent="0.35">
      <c r="A178" s="77" t="s">
        <v>173</v>
      </c>
      <c r="B178" s="51" t="s">
        <v>350</v>
      </c>
      <c r="C178" s="243"/>
      <c r="D178" s="282">
        <f t="shared" si="11"/>
        <v>0</v>
      </c>
      <c r="E178" s="282">
        <f t="shared" si="12"/>
        <v>0</v>
      </c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</row>
    <row r="179" spans="1:32" ht="16.2" hidden="1" thickBot="1" x14ac:dyDescent="0.35">
      <c r="A179" s="77" t="s">
        <v>174</v>
      </c>
      <c r="B179" s="51" t="s">
        <v>351</v>
      </c>
      <c r="C179" s="243"/>
      <c r="D179" s="282">
        <f t="shared" si="11"/>
        <v>0</v>
      </c>
      <c r="E179" s="282">
        <f t="shared" si="12"/>
        <v>0</v>
      </c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</row>
    <row r="180" spans="1:32" ht="16.2" hidden="1" thickBot="1" x14ac:dyDescent="0.35">
      <c r="A180" s="77" t="s">
        <v>175</v>
      </c>
      <c r="B180" s="51" t="s">
        <v>352</v>
      </c>
      <c r="C180" s="243"/>
      <c r="D180" s="282">
        <f t="shared" si="11"/>
        <v>0</v>
      </c>
      <c r="E180" s="282">
        <f t="shared" si="12"/>
        <v>0</v>
      </c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</row>
    <row r="181" spans="1:32" ht="16.2" hidden="1" thickBot="1" x14ac:dyDescent="0.35">
      <c r="A181" s="77" t="s">
        <v>176</v>
      </c>
      <c r="B181" s="51" t="s">
        <v>353</v>
      </c>
      <c r="C181" s="243"/>
      <c r="D181" s="282">
        <f t="shared" si="11"/>
        <v>0</v>
      </c>
      <c r="E181" s="282">
        <f t="shared" si="12"/>
        <v>0</v>
      </c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</row>
    <row r="182" spans="1:32" ht="16.2" hidden="1" thickBot="1" x14ac:dyDescent="0.35">
      <c r="A182" s="77" t="s">
        <v>177</v>
      </c>
      <c r="B182" s="51" t="s">
        <v>354</v>
      </c>
      <c r="C182" s="243"/>
      <c r="D182" s="282">
        <f t="shared" si="11"/>
        <v>0</v>
      </c>
      <c r="E182" s="282">
        <f t="shared" si="12"/>
        <v>0</v>
      </c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</row>
    <row r="183" spans="1:32" ht="16.2" hidden="1" thickBot="1" x14ac:dyDescent="0.35">
      <c r="A183" s="77" t="s">
        <v>178</v>
      </c>
      <c r="B183" s="51" t="s">
        <v>355</v>
      </c>
      <c r="C183" s="243"/>
      <c r="D183" s="282">
        <f t="shared" si="11"/>
        <v>0</v>
      </c>
      <c r="E183" s="282">
        <f t="shared" si="12"/>
        <v>0</v>
      </c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</row>
    <row r="184" spans="1:32" ht="16.2" hidden="1" thickBot="1" x14ac:dyDescent="0.35">
      <c r="A184" s="77" t="s">
        <v>179</v>
      </c>
      <c r="B184" s="51" t="s">
        <v>356</v>
      </c>
      <c r="C184" s="243"/>
      <c r="D184" s="282">
        <f t="shared" si="11"/>
        <v>0</v>
      </c>
      <c r="E184" s="282">
        <f t="shared" si="12"/>
        <v>0</v>
      </c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</row>
    <row r="185" spans="1:32" ht="16.2" hidden="1" thickBot="1" x14ac:dyDescent="0.35">
      <c r="A185" s="77" t="s">
        <v>180</v>
      </c>
      <c r="B185" s="51" t="s">
        <v>357</v>
      </c>
      <c r="C185" s="243"/>
      <c r="D185" s="282">
        <f t="shared" si="11"/>
        <v>0</v>
      </c>
      <c r="E185" s="282">
        <f t="shared" si="12"/>
        <v>0</v>
      </c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</row>
    <row r="186" spans="1:32" ht="16.2" hidden="1" thickBot="1" x14ac:dyDescent="0.35">
      <c r="A186" s="77" t="s">
        <v>181</v>
      </c>
      <c r="B186" s="51" t="s">
        <v>358</v>
      </c>
      <c r="C186" s="243"/>
      <c r="D186" s="282">
        <f t="shared" si="11"/>
        <v>0</v>
      </c>
      <c r="E186" s="282">
        <f t="shared" si="12"/>
        <v>0</v>
      </c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</row>
    <row r="187" spans="1:32" ht="16.2" hidden="1" thickBot="1" x14ac:dyDescent="0.35">
      <c r="A187" s="77" t="s">
        <v>182</v>
      </c>
      <c r="B187" s="51" t="s">
        <v>359</v>
      </c>
      <c r="C187" s="243"/>
      <c r="D187" s="282">
        <f t="shared" si="11"/>
        <v>0</v>
      </c>
      <c r="E187" s="282">
        <f t="shared" si="12"/>
        <v>0</v>
      </c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</row>
    <row r="188" spans="1:32" ht="16.2" hidden="1" thickBot="1" x14ac:dyDescent="0.35">
      <c r="A188" s="77" t="s">
        <v>183</v>
      </c>
      <c r="B188" s="51" t="s">
        <v>360</v>
      </c>
      <c r="C188" s="243"/>
      <c r="D188" s="282">
        <f t="shared" si="11"/>
        <v>0</v>
      </c>
      <c r="E188" s="282">
        <f t="shared" si="12"/>
        <v>0</v>
      </c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</row>
    <row r="189" spans="1:32" ht="16.2" hidden="1" thickBot="1" x14ac:dyDescent="0.35">
      <c r="A189" s="77" t="s">
        <v>184</v>
      </c>
      <c r="B189" s="51" t="s">
        <v>361</v>
      </c>
      <c r="C189" s="243"/>
      <c r="D189" s="282">
        <f t="shared" si="11"/>
        <v>0</v>
      </c>
      <c r="E189" s="282">
        <f t="shared" si="12"/>
        <v>0</v>
      </c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</row>
    <row r="190" spans="1:32" ht="16.2" hidden="1" thickBot="1" x14ac:dyDescent="0.35">
      <c r="A190" s="77" t="s">
        <v>185</v>
      </c>
      <c r="B190" s="51" t="s">
        <v>362</v>
      </c>
      <c r="C190" s="243"/>
      <c r="D190" s="282">
        <f t="shared" si="11"/>
        <v>0</v>
      </c>
      <c r="E190" s="282">
        <f t="shared" si="12"/>
        <v>0</v>
      </c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</row>
    <row r="191" spans="1:32" ht="16.2" hidden="1" thickBot="1" x14ac:dyDescent="0.35">
      <c r="A191" s="84">
        <v>8001</v>
      </c>
      <c r="B191" s="51" t="s">
        <v>364</v>
      </c>
      <c r="C191" s="243"/>
      <c r="D191" s="282">
        <f t="shared" si="11"/>
        <v>0</v>
      </c>
      <c r="E191" s="282">
        <f t="shared" si="12"/>
        <v>0</v>
      </c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</row>
    <row r="192" spans="1:32" ht="16.2" hidden="1" thickBot="1" x14ac:dyDescent="0.35">
      <c r="A192" s="77" t="s">
        <v>366</v>
      </c>
      <c r="B192" s="51" t="s">
        <v>365</v>
      </c>
      <c r="C192" s="243"/>
      <c r="D192" s="282">
        <f t="shared" si="11"/>
        <v>0</v>
      </c>
      <c r="E192" s="282">
        <f t="shared" si="12"/>
        <v>0</v>
      </c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</row>
    <row r="193" spans="1:32" s="12" customFormat="1" ht="16.2" thickBot="1" x14ac:dyDescent="0.35">
      <c r="A193" s="55"/>
      <c r="B193" s="51"/>
      <c r="C193" s="243"/>
      <c r="D193" s="243"/>
      <c r="E193" s="243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</row>
    <row r="194" spans="1:32" s="145" customFormat="1" ht="16.2" thickBot="1" x14ac:dyDescent="0.35">
      <c r="A194" s="146" t="s">
        <v>537</v>
      </c>
      <c r="B194" s="135"/>
      <c r="C194" s="253">
        <f>SUM($C$13:$C$193)</f>
        <v>565197</v>
      </c>
      <c r="D194" s="253">
        <f>SUM($D$13:$D$193)</f>
        <v>536522</v>
      </c>
      <c r="E194" s="253">
        <f>SUM($E$13:$E$193)</f>
        <v>28675</v>
      </c>
      <c r="F194" s="285">
        <f>SUM(F13:F193)</f>
        <v>0</v>
      </c>
      <c r="G194" s="285">
        <f t="shared" ref="G194:AF194" si="13">SUM(G13:G193)</f>
        <v>0</v>
      </c>
      <c r="H194" s="285">
        <f t="shared" si="13"/>
        <v>0</v>
      </c>
      <c r="I194" s="285">
        <f t="shared" si="13"/>
        <v>14598</v>
      </c>
      <c r="J194" s="285">
        <f t="shared" si="13"/>
        <v>24313</v>
      </c>
      <c r="K194" s="285">
        <f t="shared" si="13"/>
        <v>41713</v>
      </c>
      <c r="L194" s="285">
        <f t="shared" si="13"/>
        <v>27799</v>
      </c>
      <c r="M194" s="285">
        <f t="shared" si="13"/>
        <v>33723</v>
      </c>
      <c r="N194" s="285">
        <f t="shared" si="13"/>
        <v>16058</v>
      </c>
      <c r="O194" s="285">
        <f t="shared" si="13"/>
        <v>46002</v>
      </c>
      <c r="P194" s="285">
        <f t="shared" si="13"/>
        <v>62322</v>
      </c>
      <c r="Q194" s="285">
        <f t="shared" si="13"/>
        <v>68314</v>
      </c>
      <c r="R194" s="285">
        <f t="shared" si="13"/>
        <v>32453</v>
      </c>
      <c r="S194" s="285">
        <f t="shared" si="13"/>
        <v>33141</v>
      </c>
      <c r="T194" s="285">
        <f t="shared" si="13"/>
        <v>19096</v>
      </c>
      <c r="U194" s="285">
        <f t="shared" si="13"/>
        <v>26404</v>
      </c>
      <c r="V194" s="285">
        <f t="shared" si="13"/>
        <v>18791</v>
      </c>
      <c r="W194" s="285">
        <f t="shared" si="13"/>
        <v>28111</v>
      </c>
      <c r="X194" s="285">
        <f t="shared" si="13"/>
        <v>9515</v>
      </c>
      <c r="Y194" s="285">
        <f t="shared" si="13"/>
        <v>601</v>
      </c>
      <c r="Z194" s="285">
        <f t="shared" si="13"/>
        <v>2634</v>
      </c>
      <c r="AA194" s="285">
        <f t="shared" si="13"/>
        <v>2090</v>
      </c>
      <c r="AB194" s="285">
        <f t="shared" si="13"/>
        <v>19470</v>
      </c>
      <c r="AC194" s="285">
        <f t="shared" si="13"/>
        <v>5728</v>
      </c>
      <c r="AD194" s="285">
        <f t="shared" si="13"/>
        <v>3646</v>
      </c>
      <c r="AE194" s="285">
        <f t="shared" si="13"/>
        <v>0</v>
      </c>
      <c r="AF194" s="285">
        <f t="shared" si="13"/>
        <v>0</v>
      </c>
    </row>
    <row r="195" spans="1:32" x14ac:dyDescent="0.3">
      <c r="I195" s="12"/>
    </row>
    <row r="198" spans="1:32" x14ac:dyDescent="0.3">
      <c r="T198" s="193"/>
    </row>
  </sheetData>
  <sheetProtection password="EF32" sheet="1" objects="1" scenarios="1"/>
  <sortState ref="A13:AF191">
    <sortCondition ref="A13:A191"/>
  </sortState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OF FORMULA GRANT</vt:lpstr>
      <vt:lpstr>NCLB Title I-A Formula</vt:lpstr>
      <vt:lpstr>NCLB Title I-C Migrant</vt:lpstr>
      <vt:lpstr>NCLB Title I-Delinquent</vt:lpstr>
      <vt:lpstr>StateAgenciesTitle I-Delinquent</vt:lpstr>
      <vt:lpstr>NCLB Title II-A Formula</vt:lpstr>
      <vt:lpstr>NCLB Title III-A </vt:lpstr>
      <vt:lpstr>NCLB Title III SAI</vt:lpstr>
      <vt:lpstr>TITLE VI RURAL LI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Hawkins, Robert</cp:lastModifiedBy>
  <cp:lastPrinted>2015-04-03T16:53:01Z</cp:lastPrinted>
  <dcterms:created xsi:type="dcterms:W3CDTF">2011-11-14T17:06:02Z</dcterms:created>
  <dcterms:modified xsi:type="dcterms:W3CDTF">2018-11-14T17:06:21Z</dcterms:modified>
</cp:coreProperties>
</file>