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Competitive Distribution\"/>
    </mc:Choice>
  </mc:AlternateContent>
  <xr:revisionPtr revIDLastSave="0" documentId="13_ncr:1_{DF7928E1-EEEC-4B33-9095-6D712BD1B84F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SLFRF - Concurrent Enrollment" sheetId="154" r:id="rId1"/>
    <sheet name="21ST ESSER I" sheetId="151" r:id="rId2"/>
    <sheet name="21ST C8" sheetId="126" r:id="rId3"/>
    <sheet name="21ST C9" sheetId="148" r:id="rId4"/>
    <sheet name="21ST CE2" sheetId="149" r:id="rId5"/>
    <sheet name="CLSD" sheetId="150" r:id="rId6"/>
    <sheet name="SRAE" sheetId="116" r:id="rId7"/>
    <sheet name="Workforce Diploma" sheetId="152" r:id="rId8"/>
    <sheet name="Colorado School Climate" sheetId="138" r:id="rId9"/>
    <sheet name="MTB Framework" sheetId="143" r:id="rId10"/>
    <sheet name="BEST Instruction" sheetId="132" state="hidden" r:id="rId11"/>
    <sheet name="AEFLA Match &amp; PI" sheetId="139" state="hidden" r:id="rId12"/>
    <sheet name="CDC Impr Student Health" sheetId="141" r:id="rId13"/>
    <sheet name="DB Centers" sheetId="133" state="hidden" r:id="rId14"/>
    <sheet name="High Flyers" sheetId="125" state="hidden" r:id="rId15"/>
    <sheet name="JAVITS R4R" sheetId="136" state="hidden" r:id="rId16"/>
    <sheet name="JAVITS R4R Y042" sheetId="137" state="hidden" r:id="rId17"/>
    <sheet name="IEL CIVICS Match &amp; PI" sheetId="140" state="hidden" r:id="rId18"/>
    <sheet name="McKinney Vento" sheetId="131" r:id="rId19"/>
    <sheet name="MSIX" sheetId="99" state="hidden" r:id="rId20"/>
    <sheet name="MTSS " sheetId="113" state="hidden" r:id="rId21"/>
    <sheet name="ARP HRCY 27SD" sheetId="158" r:id="rId22"/>
    <sheet name="ARP HRCY II 27SE" sheetId="159" r:id="rId23"/>
    <sheet name="Project Aware" sheetId="145" r:id="rId24"/>
    <sheet name="TITLE IC MIGRANT" sheetId="118" r:id="rId25"/>
    <sheet name="Title I Reallocated Assistance" sheetId="155" r:id="rId26"/>
    <sheet name="TITLE II B MSP" sheetId="95" state="hidden" r:id="rId27"/>
    <sheet name="Title III PD" sheetId="128" state="hidden" r:id="rId28"/>
    <sheet name="All_Allocations" sheetId="147" state="hidden" r:id="rId29"/>
    <sheet name="Charter School Remote Learning" sheetId="144" r:id="rId30"/>
    <sheet name="TITLE VI Charter 2020" sheetId="142" r:id="rId31"/>
    <sheet name="TITLE V CHARTER 44xC " sheetId="121" r:id="rId32"/>
    <sheet name="GEERS CEL" sheetId="156" r:id="rId33"/>
    <sheet name="GEERS QT" sheetId="157" r:id="rId34"/>
    <sheet name="Sheet2" sheetId="153" state="hidden" r:id="rId35"/>
    <sheet name="Sheet1" sheetId="146" state="hidden" r:id="rId36"/>
  </sheets>
  <definedNames>
    <definedName name="_xlnm._FilterDatabase" localSheetId="2" hidden="1">'21ST C8'!$A$8:$AP$65</definedName>
    <definedName name="_xlnm._FilterDatabase" localSheetId="3" hidden="1">'21ST C9'!$A$8:$AN$51</definedName>
    <definedName name="_xlnm._FilterDatabase" localSheetId="4" hidden="1">'21ST CE2'!$A$8:$AN$41</definedName>
    <definedName name="_xlnm._FilterDatabase" localSheetId="1" hidden="1">'21ST ESSER I'!$A$8:$AP$38</definedName>
    <definedName name="_xlnm._FilterDatabase" localSheetId="28" hidden="1">All_Allocations!$A$1:$J$67</definedName>
    <definedName name="_xlnm._FilterDatabase" localSheetId="29" hidden="1">'Charter School Remote Learning'!$A$1:$CA$97</definedName>
    <definedName name="_xlnm._FilterDatabase" localSheetId="31" hidden="1">'TITLE V CHARTER 44xC '!$A$8:$U$15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59" l="1"/>
  <c r="G14" i="159" s="1"/>
  <c r="G23" i="158"/>
  <c r="T46" i="159"/>
  <c r="R46" i="159"/>
  <c r="Q46" i="159"/>
  <c r="P46" i="159"/>
  <c r="N46" i="159"/>
  <c r="M46" i="159"/>
  <c r="L46" i="159"/>
  <c r="K46" i="159"/>
  <c r="J46" i="159"/>
  <c r="I46" i="159"/>
  <c r="H46" i="159"/>
  <c r="D46" i="159"/>
  <c r="C46" i="159"/>
  <c r="F44" i="159"/>
  <c r="E44" i="159"/>
  <c r="G44" i="159" s="1"/>
  <c r="F42" i="159"/>
  <c r="E42" i="159"/>
  <c r="F41" i="159"/>
  <c r="E41" i="159"/>
  <c r="G41" i="159" s="1"/>
  <c r="E40" i="159"/>
  <c r="F39" i="159"/>
  <c r="E39" i="159"/>
  <c r="G39" i="159" s="1"/>
  <c r="F38" i="159"/>
  <c r="E38" i="159"/>
  <c r="G38" i="159" s="1"/>
  <c r="F37" i="159"/>
  <c r="E37" i="159"/>
  <c r="G37" i="159" s="1"/>
  <c r="F36" i="159"/>
  <c r="E36" i="159"/>
  <c r="G36" i="159" s="1"/>
  <c r="G35" i="159"/>
  <c r="F35" i="159"/>
  <c r="E35" i="159"/>
  <c r="F34" i="159"/>
  <c r="E34" i="159"/>
  <c r="G34" i="159" s="1"/>
  <c r="G33" i="159"/>
  <c r="F33" i="159"/>
  <c r="E33" i="159"/>
  <c r="F32" i="159"/>
  <c r="E32" i="159"/>
  <c r="G32" i="159" s="1"/>
  <c r="F31" i="159"/>
  <c r="E31" i="159"/>
  <c r="G31" i="159" s="1"/>
  <c r="F30" i="159"/>
  <c r="E30" i="159"/>
  <c r="G30" i="159" s="1"/>
  <c r="F29" i="159"/>
  <c r="E29" i="159"/>
  <c r="G29" i="159" s="1"/>
  <c r="F28" i="159"/>
  <c r="E28" i="159"/>
  <c r="G28" i="159" s="1"/>
  <c r="G27" i="159"/>
  <c r="F27" i="159"/>
  <c r="E27" i="159"/>
  <c r="F26" i="159"/>
  <c r="G26" i="159" s="1"/>
  <c r="E26" i="159"/>
  <c r="S25" i="159"/>
  <c r="F25" i="159" s="1"/>
  <c r="E25" i="159"/>
  <c r="G25" i="159" s="1"/>
  <c r="F24" i="159"/>
  <c r="E24" i="159"/>
  <c r="G24" i="159" s="1"/>
  <c r="F23" i="159"/>
  <c r="E23" i="159"/>
  <c r="G23" i="159" s="1"/>
  <c r="G22" i="159"/>
  <c r="F22" i="159"/>
  <c r="E22" i="159"/>
  <c r="F21" i="159"/>
  <c r="G21" i="159" s="1"/>
  <c r="E21" i="159"/>
  <c r="G20" i="159"/>
  <c r="F20" i="159"/>
  <c r="E20" i="159"/>
  <c r="F19" i="159"/>
  <c r="E19" i="159"/>
  <c r="G19" i="159" s="1"/>
  <c r="F18" i="159"/>
  <c r="E18" i="159"/>
  <c r="G18" i="159" s="1"/>
  <c r="F17" i="159"/>
  <c r="G17" i="159" s="1"/>
  <c r="E17" i="159"/>
  <c r="F16" i="159"/>
  <c r="E16" i="159"/>
  <c r="G16" i="159" s="1"/>
  <c r="F15" i="159"/>
  <c r="E15" i="159"/>
  <c r="G15" i="159" s="1"/>
  <c r="E14" i="159"/>
  <c r="G13" i="159"/>
  <c r="F13" i="159"/>
  <c r="E13" i="159"/>
  <c r="G12" i="159"/>
  <c r="F12" i="159"/>
  <c r="E12" i="159"/>
  <c r="F11" i="159"/>
  <c r="E11" i="159"/>
  <c r="G11" i="159" s="1"/>
  <c r="S10" i="159"/>
  <c r="S46" i="159" s="1"/>
  <c r="O10" i="159"/>
  <c r="O46" i="159" s="1"/>
  <c r="G10" i="159"/>
  <c r="F10" i="159"/>
  <c r="E10" i="159"/>
  <c r="F9" i="159"/>
  <c r="E9" i="159"/>
  <c r="E46" i="159" s="1"/>
  <c r="W36" i="158"/>
  <c r="V36" i="158"/>
  <c r="U36" i="158"/>
  <c r="T36" i="158"/>
  <c r="P36" i="158"/>
  <c r="M36" i="158"/>
  <c r="L36" i="158"/>
  <c r="J36" i="158"/>
  <c r="I36" i="158"/>
  <c r="H36" i="158"/>
  <c r="D36" i="158"/>
  <c r="C36" i="158"/>
  <c r="F34" i="158"/>
  <c r="E34" i="158"/>
  <c r="G34" i="158" s="1"/>
  <c r="Q33" i="158"/>
  <c r="Q36" i="158" s="1"/>
  <c r="O33" i="158"/>
  <c r="O36" i="158" s="1"/>
  <c r="N33" i="158"/>
  <c r="F33" i="158" s="1"/>
  <c r="E33" i="158"/>
  <c r="F32" i="158"/>
  <c r="E32" i="158"/>
  <c r="G32" i="158" s="1"/>
  <c r="F31" i="158"/>
  <c r="E31" i="158"/>
  <c r="G31" i="158" s="1"/>
  <c r="F30" i="158"/>
  <c r="E30" i="158"/>
  <c r="G30" i="158" s="1"/>
  <c r="R29" i="158"/>
  <c r="R36" i="158" s="1"/>
  <c r="E29" i="158"/>
  <c r="F28" i="158"/>
  <c r="E28" i="158"/>
  <c r="G28" i="158" s="1"/>
  <c r="F27" i="158"/>
  <c r="E27" i="158"/>
  <c r="G27" i="158" s="1"/>
  <c r="K26" i="158"/>
  <c r="F26" i="158" s="1"/>
  <c r="G26" i="158" s="1"/>
  <c r="E26" i="158"/>
  <c r="F25" i="158"/>
  <c r="E25" i="158"/>
  <c r="G25" i="158" s="1"/>
  <c r="F24" i="158"/>
  <c r="E24" i="158"/>
  <c r="G24" i="158" s="1"/>
  <c r="F23" i="158"/>
  <c r="E23" i="158"/>
  <c r="F22" i="158"/>
  <c r="E22" i="158"/>
  <c r="G22" i="158" s="1"/>
  <c r="S21" i="158"/>
  <c r="F21" i="158"/>
  <c r="G21" i="158" s="1"/>
  <c r="E21" i="158"/>
  <c r="F20" i="158"/>
  <c r="E20" i="158"/>
  <c r="G20" i="158" s="1"/>
  <c r="F19" i="158"/>
  <c r="E19" i="158"/>
  <c r="G19" i="158" s="1"/>
  <c r="G18" i="158"/>
  <c r="F18" i="158"/>
  <c r="E18" i="158"/>
  <c r="F17" i="158"/>
  <c r="E17" i="158"/>
  <c r="G17" i="158" s="1"/>
  <c r="F16" i="158"/>
  <c r="E16" i="158"/>
  <c r="G16" i="158" s="1"/>
  <c r="F15" i="158"/>
  <c r="E15" i="158"/>
  <c r="G15" i="158" s="1"/>
  <c r="F14" i="158"/>
  <c r="E14" i="158"/>
  <c r="G14" i="158" s="1"/>
  <c r="F13" i="158"/>
  <c r="G13" i="158" s="1"/>
  <c r="E13" i="158"/>
  <c r="F12" i="158"/>
  <c r="E12" i="158"/>
  <c r="G12" i="158" s="1"/>
  <c r="F11" i="158"/>
  <c r="E11" i="158"/>
  <c r="G11" i="158" s="1"/>
  <c r="S10" i="158"/>
  <c r="S36" i="158" s="1"/>
  <c r="N10" i="158"/>
  <c r="N36" i="158" s="1"/>
  <c r="K10" i="158"/>
  <c r="K36" i="158" s="1"/>
  <c r="E10" i="158"/>
  <c r="F9" i="158"/>
  <c r="E9" i="158"/>
  <c r="E36" i="158" s="1"/>
  <c r="U21" i="131"/>
  <c r="F21" i="131"/>
  <c r="G21" i="131" s="1"/>
  <c r="E21" i="131"/>
  <c r="P20" i="131"/>
  <c r="O20" i="131"/>
  <c r="J20" i="131"/>
  <c r="F20" i="131" s="1"/>
  <c r="E20" i="131"/>
  <c r="G19" i="131"/>
  <c r="F19" i="131"/>
  <c r="E19" i="131"/>
  <c r="F18" i="131"/>
  <c r="E18" i="131"/>
  <c r="G18" i="131" s="1"/>
  <c r="F17" i="131"/>
  <c r="E17" i="131"/>
  <c r="G17" i="131" s="1"/>
  <c r="F16" i="131"/>
  <c r="E16" i="131"/>
  <c r="G16" i="131" s="1"/>
  <c r="P15" i="131"/>
  <c r="F15" i="131"/>
  <c r="E15" i="131"/>
  <c r="G15" i="131" s="1"/>
  <c r="G14" i="131"/>
  <c r="F14" i="131"/>
  <c r="E14" i="131"/>
  <c r="S13" i="131"/>
  <c r="F13" i="131"/>
  <c r="E13" i="131"/>
  <c r="G13" i="131" s="1"/>
  <c r="F12" i="131"/>
  <c r="G12" i="131" s="1"/>
  <c r="E12" i="131"/>
  <c r="R11" i="131"/>
  <c r="F11" i="131" s="1"/>
  <c r="E11" i="131"/>
  <c r="G11" i="131" s="1"/>
  <c r="R10" i="131"/>
  <c r="F10" i="131"/>
  <c r="G10" i="131" s="1"/>
  <c r="E10" i="131"/>
  <c r="Q9" i="131"/>
  <c r="F9" i="131" s="1"/>
  <c r="E9" i="131"/>
  <c r="G9" i="131" s="1"/>
  <c r="U46" i="159" l="1"/>
  <c r="G42" i="159"/>
  <c r="G33" i="158"/>
  <c r="F46" i="159"/>
  <c r="G9" i="158"/>
  <c r="F29" i="158"/>
  <c r="G29" i="158" s="1"/>
  <c r="F10" i="158"/>
  <c r="G10" i="158" s="1"/>
  <c r="G9" i="159"/>
  <c r="G20" i="131"/>
  <c r="G46" i="159" l="1"/>
  <c r="F36" i="158"/>
  <c r="G36" i="158"/>
  <c r="T41" i="149" l="1"/>
  <c r="Q41" i="149"/>
  <c r="F41" i="149"/>
  <c r="G41" i="149" s="1"/>
  <c r="U40" i="149"/>
  <c r="F40" i="149"/>
  <c r="G40" i="149" s="1"/>
  <c r="F39" i="149"/>
  <c r="G39" i="149" s="1"/>
  <c r="F38" i="149"/>
  <c r="G38" i="149" s="1"/>
  <c r="F37" i="149"/>
  <c r="G37" i="149" s="1"/>
  <c r="F36" i="149"/>
  <c r="G36" i="149" s="1"/>
  <c r="G35" i="149"/>
  <c r="F35" i="149"/>
  <c r="F34" i="149"/>
  <c r="G34" i="149" s="1"/>
  <c r="F33" i="149"/>
  <c r="G33" i="149" s="1"/>
  <c r="F32" i="149"/>
  <c r="G32" i="149" s="1"/>
  <c r="Q31" i="149"/>
  <c r="F31" i="149" s="1"/>
  <c r="G31" i="149" s="1"/>
  <c r="Q30" i="149"/>
  <c r="F30" i="149" s="1"/>
  <c r="G30" i="149" s="1"/>
  <c r="F29" i="149"/>
  <c r="G29" i="149" s="1"/>
  <c r="F28" i="149"/>
  <c r="G28" i="149" s="1"/>
  <c r="F27" i="149"/>
  <c r="G27" i="149" s="1"/>
  <c r="F26" i="149"/>
  <c r="G26" i="149" s="1"/>
  <c r="F25" i="149"/>
  <c r="G25" i="149" s="1"/>
  <c r="F24" i="149"/>
  <c r="G24" i="149" s="1"/>
  <c r="R23" i="149"/>
  <c r="F23" i="149"/>
  <c r="G23" i="149" s="1"/>
  <c r="T22" i="149"/>
  <c r="F22" i="149"/>
  <c r="G22" i="149" s="1"/>
  <c r="F21" i="149"/>
  <c r="G21" i="149" s="1"/>
  <c r="F20" i="149"/>
  <c r="G20" i="149" s="1"/>
  <c r="F19" i="149"/>
  <c r="G19" i="149" s="1"/>
  <c r="F18" i="149"/>
  <c r="G18" i="149" s="1"/>
  <c r="F17" i="149"/>
  <c r="G17" i="149" s="1"/>
  <c r="F16" i="149"/>
  <c r="G16" i="149" s="1"/>
  <c r="F15" i="149"/>
  <c r="G15" i="149" s="1"/>
  <c r="R14" i="149"/>
  <c r="F14" i="149"/>
  <c r="G14" i="149" s="1"/>
  <c r="R13" i="149"/>
  <c r="F13" i="149"/>
  <c r="G13" i="149" s="1"/>
  <c r="R12" i="149"/>
  <c r="F12" i="149"/>
  <c r="G12" i="149" s="1"/>
  <c r="F11" i="149"/>
  <c r="G11" i="149" s="1"/>
  <c r="R10" i="149"/>
  <c r="F10" i="149"/>
  <c r="G10" i="149" s="1"/>
  <c r="N9" i="149"/>
  <c r="F9" i="149"/>
  <c r="G9" i="149" s="1"/>
  <c r="H54" i="151" l="1"/>
  <c r="I54" i="151" s="1"/>
  <c r="H53" i="151"/>
  <c r="I53" i="151" s="1"/>
  <c r="I52" i="151"/>
  <c r="H52" i="151"/>
  <c r="H51" i="151"/>
  <c r="I51" i="151" s="1"/>
  <c r="H50" i="151"/>
  <c r="I50" i="151" s="1"/>
  <c r="H49" i="151"/>
  <c r="I49" i="151" s="1"/>
  <c r="H48" i="151"/>
  <c r="I48" i="151" s="1"/>
  <c r="U47" i="151"/>
  <c r="R47" i="151"/>
  <c r="H47" i="151" s="1"/>
  <c r="I47" i="151" s="1"/>
  <c r="U46" i="151"/>
  <c r="R46" i="151"/>
  <c r="H46" i="151"/>
  <c r="I46" i="151" s="1"/>
  <c r="R45" i="151"/>
  <c r="I45" i="151"/>
  <c r="H45" i="151"/>
  <c r="Q44" i="151"/>
  <c r="H44" i="151" s="1"/>
  <c r="I44" i="151" s="1"/>
  <c r="N43" i="151"/>
  <c r="H43" i="151" s="1"/>
  <c r="I43" i="151" s="1"/>
  <c r="V42" i="151"/>
  <c r="U42" i="151"/>
  <c r="H42" i="151" s="1"/>
  <c r="I42" i="151" s="1"/>
  <c r="H41" i="151"/>
  <c r="I41" i="151" s="1"/>
  <c r="I40" i="151"/>
  <c r="H40" i="151"/>
  <c r="S39" i="151"/>
  <c r="Q39" i="151"/>
  <c r="O39" i="151"/>
  <c r="H39" i="151" s="1"/>
  <c r="I39" i="151" s="1"/>
  <c r="T38" i="151"/>
  <c r="H38" i="151" s="1"/>
  <c r="I38" i="151" s="1"/>
  <c r="I37" i="151"/>
  <c r="H37" i="151"/>
  <c r="I36" i="151"/>
  <c r="H36" i="151"/>
  <c r="H35" i="151"/>
  <c r="I35" i="151" s="1"/>
  <c r="I34" i="151"/>
  <c r="H34" i="151"/>
  <c r="I33" i="151"/>
  <c r="H33" i="151"/>
  <c r="I32" i="151"/>
  <c r="H32" i="151"/>
  <c r="U31" i="151"/>
  <c r="H31" i="151"/>
  <c r="I31" i="151" s="1"/>
  <c r="W30" i="151"/>
  <c r="Q30" i="151"/>
  <c r="N30" i="151"/>
  <c r="H30" i="151" s="1"/>
  <c r="I30" i="151" s="1"/>
  <c r="S29" i="151"/>
  <c r="N29" i="151"/>
  <c r="H29" i="151" s="1"/>
  <c r="I29" i="151" s="1"/>
  <c r="P28" i="151"/>
  <c r="H28" i="151"/>
  <c r="I28" i="151" s="1"/>
  <c r="H27" i="151"/>
  <c r="I27" i="151" s="1"/>
  <c r="H26" i="151"/>
  <c r="I26" i="151" s="1"/>
  <c r="R25" i="151"/>
  <c r="P25" i="151"/>
  <c r="H25" i="151"/>
  <c r="I25" i="151" s="1"/>
  <c r="H24" i="151"/>
  <c r="I24" i="151" s="1"/>
  <c r="V23" i="151"/>
  <c r="H23" i="151" s="1"/>
  <c r="I23" i="151" s="1"/>
  <c r="I22" i="151"/>
  <c r="H22" i="151"/>
  <c r="I21" i="151"/>
  <c r="H21" i="151"/>
  <c r="H20" i="151"/>
  <c r="I20" i="151" s="1"/>
  <c r="I19" i="151"/>
  <c r="H19" i="151"/>
  <c r="I18" i="151"/>
  <c r="H18" i="151"/>
  <c r="Q17" i="151"/>
  <c r="H17" i="151" s="1"/>
  <c r="I17" i="151" s="1"/>
  <c r="H16" i="151"/>
  <c r="I16" i="151" s="1"/>
  <c r="H15" i="151"/>
  <c r="I15" i="151" s="1"/>
  <c r="R14" i="151"/>
  <c r="H14" i="151" s="1"/>
  <c r="I14" i="151" s="1"/>
  <c r="H13" i="151"/>
  <c r="I13" i="151" s="1"/>
  <c r="I12" i="151"/>
  <c r="H12" i="151"/>
  <c r="U11" i="151"/>
  <c r="H11" i="151"/>
  <c r="I11" i="151" s="1"/>
  <c r="U10" i="151"/>
  <c r="H10" i="151"/>
  <c r="I10" i="151" s="1"/>
  <c r="U9" i="151"/>
  <c r="H9" i="151" s="1"/>
  <c r="I9" i="151" s="1"/>
  <c r="U51" i="148" l="1"/>
  <c r="F51" i="148"/>
  <c r="G51" i="148" s="1"/>
  <c r="U50" i="148"/>
  <c r="P50" i="148"/>
  <c r="F50" i="148" s="1"/>
  <c r="G50" i="148" s="1"/>
  <c r="U49" i="148"/>
  <c r="F49" i="148" s="1"/>
  <c r="G49" i="148" s="1"/>
  <c r="F48" i="148"/>
  <c r="G48" i="148" s="1"/>
  <c r="U47" i="148"/>
  <c r="F47" i="148" s="1"/>
  <c r="G47" i="148" s="1"/>
  <c r="U46" i="148"/>
  <c r="F46" i="148" s="1"/>
  <c r="G46" i="148" s="1"/>
  <c r="F45" i="148"/>
  <c r="G45" i="148" s="1"/>
  <c r="P44" i="148"/>
  <c r="F44" i="148" s="1"/>
  <c r="G44" i="148" s="1"/>
  <c r="P43" i="148"/>
  <c r="F43" i="148" s="1"/>
  <c r="G43" i="148" s="1"/>
  <c r="P42" i="148"/>
  <c r="F42" i="148"/>
  <c r="G42" i="148" s="1"/>
  <c r="P41" i="148"/>
  <c r="P53" i="148" s="1"/>
  <c r="P40" i="148"/>
  <c r="F40" i="148"/>
  <c r="G40" i="148" s="1"/>
  <c r="F39" i="148"/>
  <c r="G39" i="148" s="1"/>
  <c r="G38" i="148"/>
  <c r="F38" i="148"/>
  <c r="F37" i="148"/>
  <c r="G37" i="148" s="1"/>
  <c r="F36" i="148"/>
  <c r="G36" i="148" s="1"/>
  <c r="F35" i="148"/>
  <c r="G35" i="148" s="1"/>
  <c r="U34" i="148"/>
  <c r="P34" i="148"/>
  <c r="F34" i="148" s="1"/>
  <c r="G34" i="148" s="1"/>
  <c r="F33" i="148"/>
  <c r="G33" i="148" s="1"/>
  <c r="F32" i="148"/>
  <c r="G32" i="148" s="1"/>
  <c r="F31" i="148"/>
  <c r="G31" i="148" s="1"/>
  <c r="F30" i="148"/>
  <c r="G30" i="148" s="1"/>
  <c r="F29" i="148"/>
  <c r="G29" i="148" s="1"/>
  <c r="F28" i="148"/>
  <c r="G28" i="148" s="1"/>
  <c r="F27" i="148"/>
  <c r="G27" i="148" s="1"/>
  <c r="G26" i="148"/>
  <c r="F26" i="148"/>
  <c r="F25" i="148"/>
  <c r="G25" i="148" s="1"/>
  <c r="F24" i="148"/>
  <c r="G24" i="148" s="1"/>
  <c r="F23" i="148"/>
  <c r="G23" i="148" s="1"/>
  <c r="F22" i="148"/>
  <c r="G22" i="148" s="1"/>
  <c r="U21" i="148"/>
  <c r="F21" i="148" s="1"/>
  <c r="G21" i="148" s="1"/>
  <c r="F20" i="148"/>
  <c r="G20" i="148" s="1"/>
  <c r="F19" i="148"/>
  <c r="G19" i="148" s="1"/>
  <c r="F18" i="148"/>
  <c r="G18" i="148" s="1"/>
  <c r="F17" i="148"/>
  <c r="G17" i="148" s="1"/>
  <c r="S16" i="148"/>
  <c r="F16" i="148" s="1"/>
  <c r="G16" i="148" s="1"/>
  <c r="U15" i="148"/>
  <c r="F15" i="148" s="1"/>
  <c r="G15" i="148" s="1"/>
  <c r="S14" i="148"/>
  <c r="F14" i="148"/>
  <c r="G14" i="148" s="1"/>
  <c r="S13" i="148"/>
  <c r="S53" i="148" s="1"/>
  <c r="S12" i="148"/>
  <c r="F12" i="148" s="1"/>
  <c r="G12" i="148" s="1"/>
  <c r="N11" i="148"/>
  <c r="F11" i="148"/>
  <c r="G11" i="148" s="1"/>
  <c r="N10" i="148"/>
  <c r="F10" i="148" s="1"/>
  <c r="G10" i="148" s="1"/>
  <c r="R9" i="148"/>
  <c r="Q9" i="148"/>
  <c r="M9" i="148"/>
  <c r="F9" i="148"/>
  <c r="G9" i="148" s="1"/>
  <c r="H65" i="126"/>
  <c r="G65" i="126"/>
  <c r="I65" i="126" s="1"/>
  <c r="H64" i="126"/>
  <c r="G64" i="126"/>
  <c r="H63" i="126"/>
  <c r="G63" i="126"/>
  <c r="H62" i="126"/>
  <c r="G62" i="126"/>
  <c r="I62" i="126" s="1"/>
  <c r="H61" i="126"/>
  <c r="G61" i="126"/>
  <c r="I61" i="126" s="1"/>
  <c r="O60" i="126"/>
  <c r="H60" i="126" s="1"/>
  <c r="I60" i="126" s="1"/>
  <c r="G60" i="126"/>
  <c r="Q59" i="126"/>
  <c r="H59" i="126"/>
  <c r="I59" i="126" s="1"/>
  <c r="G59" i="126"/>
  <c r="H58" i="126"/>
  <c r="G58" i="126"/>
  <c r="H57" i="126"/>
  <c r="G57" i="126"/>
  <c r="H56" i="126"/>
  <c r="G56" i="126"/>
  <c r="H55" i="126"/>
  <c r="G55" i="126"/>
  <c r="I55" i="126" s="1"/>
  <c r="H54" i="126"/>
  <c r="G54" i="126"/>
  <c r="I54" i="126" s="1"/>
  <c r="H53" i="126"/>
  <c r="G53" i="126"/>
  <c r="H52" i="126"/>
  <c r="G52" i="126"/>
  <c r="T51" i="126"/>
  <c r="L51" i="126"/>
  <c r="H51" i="126"/>
  <c r="G51" i="126"/>
  <c r="L50" i="126"/>
  <c r="H50" i="126" s="1"/>
  <c r="G50" i="126"/>
  <c r="W49" i="126"/>
  <c r="L49" i="126"/>
  <c r="H49" i="126"/>
  <c r="G49" i="126"/>
  <c r="L48" i="126"/>
  <c r="H48" i="126"/>
  <c r="G48" i="126"/>
  <c r="I48" i="126" s="1"/>
  <c r="H47" i="126"/>
  <c r="G47" i="126"/>
  <c r="H46" i="126"/>
  <c r="G46" i="126"/>
  <c r="H45" i="126"/>
  <c r="G45" i="126"/>
  <c r="I45" i="126" s="1"/>
  <c r="H44" i="126"/>
  <c r="G44" i="126"/>
  <c r="H43" i="126"/>
  <c r="G43" i="126"/>
  <c r="I43" i="126" s="1"/>
  <c r="H42" i="126"/>
  <c r="G42" i="126"/>
  <c r="H41" i="126"/>
  <c r="G41" i="126"/>
  <c r="Q40" i="126"/>
  <c r="H40" i="126"/>
  <c r="G40" i="126"/>
  <c r="Q39" i="126"/>
  <c r="H39" i="126" s="1"/>
  <c r="I39" i="126" s="1"/>
  <c r="G39" i="126"/>
  <c r="H38" i="126"/>
  <c r="G38" i="126"/>
  <c r="H37" i="126"/>
  <c r="G37" i="126"/>
  <c r="H36" i="126"/>
  <c r="G36" i="126"/>
  <c r="O35" i="126"/>
  <c r="O68" i="126" s="1"/>
  <c r="N35" i="126"/>
  <c r="H35" i="126"/>
  <c r="G35" i="126"/>
  <c r="I35" i="126" s="1"/>
  <c r="U34" i="126"/>
  <c r="H34" i="126" s="1"/>
  <c r="G34" i="126"/>
  <c r="I34" i="126" s="1"/>
  <c r="U33" i="126"/>
  <c r="H33" i="126"/>
  <c r="G33" i="126"/>
  <c r="H32" i="126"/>
  <c r="G32" i="126"/>
  <c r="H31" i="126"/>
  <c r="G31" i="126"/>
  <c r="I31" i="126" s="1"/>
  <c r="H30" i="126"/>
  <c r="G30" i="126"/>
  <c r="U29" i="126"/>
  <c r="H29" i="126"/>
  <c r="G29" i="126"/>
  <c r="U28" i="126"/>
  <c r="H28" i="126"/>
  <c r="G28" i="126"/>
  <c r="H27" i="126"/>
  <c r="G27" i="126"/>
  <c r="H26" i="126"/>
  <c r="G26" i="126"/>
  <c r="U25" i="126"/>
  <c r="H25" i="126" s="1"/>
  <c r="I25" i="126" s="1"/>
  <c r="G25" i="126"/>
  <c r="H24" i="126"/>
  <c r="G24" i="126"/>
  <c r="I24" i="126" s="1"/>
  <c r="U23" i="126"/>
  <c r="H23" i="126" s="1"/>
  <c r="G23" i="126"/>
  <c r="H22" i="126"/>
  <c r="G22" i="126"/>
  <c r="I22" i="126" s="1"/>
  <c r="V21" i="126"/>
  <c r="H21" i="126"/>
  <c r="G21" i="126"/>
  <c r="V20" i="126"/>
  <c r="H20" i="126"/>
  <c r="G20" i="126"/>
  <c r="I20" i="126" s="1"/>
  <c r="V19" i="126"/>
  <c r="H19" i="126"/>
  <c r="I19" i="126" s="1"/>
  <c r="G19" i="126"/>
  <c r="H18" i="126"/>
  <c r="G18" i="126"/>
  <c r="H17" i="126"/>
  <c r="G17" i="126"/>
  <c r="P16" i="126"/>
  <c r="H16" i="126" s="1"/>
  <c r="I16" i="126" s="1"/>
  <c r="G16" i="126"/>
  <c r="V15" i="126"/>
  <c r="H15" i="126" s="1"/>
  <c r="G15" i="126"/>
  <c r="V14" i="126"/>
  <c r="H14" i="126" s="1"/>
  <c r="G14" i="126"/>
  <c r="T13" i="126"/>
  <c r="T68" i="126" s="1"/>
  <c r="R13" i="126"/>
  <c r="R68" i="126" s="1"/>
  <c r="O13" i="126"/>
  <c r="H13" i="126"/>
  <c r="G13" i="126"/>
  <c r="H12" i="126"/>
  <c r="G12" i="126"/>
  <c r="I12" i="126" s="1"/>
  <c r="T11" i="126"/>
  <c r="H11" i="126"/>
  <c r="G11" i="126"/>
  <c r="T10" i="126"/>
  <c r="H10" i="126" s="1"/>
  <c r="G10" i="126"/>
  <c r="T9" i="126"/>
  <c r="H9" i="126"/>
  <c r="G9" i="126"/>
  <c r="N21" i="154"/>
  <c r="N22" i="154"/>
  <c r="F10" i="150"/>
  <c r="F11" i="150"/>
  <c r="F12" i="150"/>
  <c r="F13" i="150"/>
  <c r="F14" i="150"/>
  <c r="F15" i="150"/>
  <c r="F16" i="150"/>
  <c r="F17" i="150"/>
  <c r="F18" i="150"/>
  <c r="D25" i="131"/>
  <c r="E25" i="131"/>
  <c r="F25" i="131"/>
  <c r="G25" i="131"/>
  <c r="H25" i="131"/>
  <c r="I25" i="131"/>
  <c r="J25" i="131"/>
  <c r="K25" i="131"/>
  <c r="L25" i="131"/>
  <c r="M25" i="131"/>
  <c r="N25" i="131"/>
  <c r="O25" i="131"/>
  <c r="P25" i="131"/>
  <c r="Q25" i="131"/>
  <c r="R25" i="131"/>
  <c r="S25" i="131"/>
  <c r="T25" i="131"/>
  <c r="U25" i="131"/>
  <c r="V25" i="131"/>
  <c r="W25" i="131"/>
  <c r="X25" i="131"/>
  <c r="C25" i="131"/>
  <c r="F43" i="149"/>
  <c r="G43" i="149"/>
  <c r="H43" i="149"/>
  <c r="I43" i="149"/>
  <c r="J43" i="149"/>
  <c r="K43" i="149"/>
  <c r="L43" i="149"/>
  <c r="M43" i="149"/>
  <c r="N43" i="149"/>
  <c r="O43" i="149"/>
  <c r="P43" i="149"/>
  <c r="Q43" i="149"/>
  <c r="R43" i="149"/>
  <c r="S43" i="149"/>
  <c r="T43" i="149"/>
  <c r="U43" i="149"/>
  <c r="V43" i="149"/>
  <c r="W43" i="149"/>
  <c r="X43" i="149"/>
  <c r="Y43" i="149"/>
  <c r="Z43" i="149"/>
  <c r="E43" i="149"/>
  <c r="H53" i="148"/>
  <c r="I53" i="148"/>
  <c r="J53" i="148"/>
  <c r="K53" i="148"/>
  <c r="L53" i="148"/>
  <c r="M53" i="148"/>
  <c r="N53" i="148"/>
  <c r="O53" i="148"/>
  <c r="Q53" i="148"/>
  <c r="R53" i="148"/>
  <c r="T53" i="148"/>
  <c r="V53" i="148"/>
  <c r="W53" i="148"/>
  <c r="X53" i="148"/>
  <c r="Y53" i="148"/>
  <c r="Z53" i="148"/>
  <c r="E53" i="148"/>
  <c r="F68" i="126"/>
  <c r="J68" i="126"/>
  <c r="K68" i="126"/>
  <c r="L68" i="126"/>
  <c r="M68" i="126"/>
  <c r="N68" i="126"/>
  <c r="S68" i="126"/>
  <c r="W68" i="126"/>
  <c r="X68" i="126"/>
  <c r="Y68" i="126"/>
  <c r="Z68" i="126"/>
  <c r="AA68" i="126"/>
  <c r="AB68" i="126"/>
  <c r="E68" i="126"/>
  <c r="F57" i="151"/>
  <c r="G57" i="151"/>
  <c r="H57" i="151"/>
  <c r="I57" i="151"/>
  <c r="J57" i="151"/>
  <c r="K57" i="151"/>
  <c r="L57" i="151"/>
  <c r="M57" i="151"/>
  <c r="N57" i="151"/>
  <c r="O57" i="151"/>
  <c r="P57" i="151"/>
  <c r="Q57" i="151"/>
  <c r="R57" i="151"/>
  <c r="S57" i="151"/>
  <c r="T57" i="151"/>
  <c r="U57" i="151"/>
  <c r="V57" i="151"/>
  <c r="W57" i="151"/>
  <c r="X57" i="151"/>
  <c r="Y57" i="151"/>
  <c r="Z57" i="151"/>
  <c r="AA57" i="151"/>
  <c r="AB57" i="151"/>
  <c r="E57" i="151"/>
  <c r="D9" i="157"/>
  <c r="K9" i="157"/>
  <c r="E9" i="157" s="1"/>
  <c r="D10" i="157"/>
  <c r="K10" i="157"/>
  <c r="E10" i="157" s="1"/>
  <c r="F10" i="157" s="1"/>
  <c r="T10" i="157"/>
  <c r="D11" i="157"/>
  <c r="O11" i="157"/>
  <c r="Q11" i="157"/>
  <c r="E11" i="157" s="1"/>
  <c r="F11" i="157" s="1"/>
  <c r="D12" i="157"/>
  <c r="D14" i="157" s="1"/>
  <c r="E12" i="157"/>
  <c r="F12" i="157" s="1"/>
  <c r="C14" i="157"/>
  <c r="G14" i="157"/>
  <c r="H14" i="157"/>
  <c r="I14" i="157"/>
  <c r="J14" i="157"/>
  <c r="L14" i="157"/>
  <c r="M14" i="157"/>
  <c r="N14" i="157"/>
  <c r="O14" i="157"/>
  <c r="P14" i="157"/>
  <c r="Q14" i="157"/>
  <c r="R14" i="157"/>
  <c r="S14" i="157"/>
  <c r="T14" i="157"/>
  <c r="U14" i="157"/>
  <c r="V14" i="157"/>
  <c r="W14" i="157"/>
  <c r="X14" i="157"/>
  <c r="AR14" i="157"/>
  <c r="AS14" i="157"/>
  <c r="D9" i="156"/>
  <c r="D11" i="156" s="1"/>
  <c r="E9" i="156"/>
  <c r="F9" i="156" s="1"/>
  <c r="F11" i="156" s="1"/>
  <c r="L9" i="156"/>
  <c r="R9" i="156"/>
  <c r="C11" i="156"/>
  <c r="G11" i="156"/>
  <c r="H11" i="156"/>
  <c r="I11" i="156"/>
  <c r="J11" i="156"/>
  <c r="K11" i="156"/>
  <c r="L11" i="156"/>
  <c r="M11" i="156"/>
  <c r="N11" i="156"/>
  <c r="O11" i="156"/>
  <c r="P11" i="156"/>
  <c r="Q11" i="156"/>
  <c r="R11" i="156"/>
  <c r="S11" i="156"/>
  <c r="U11" i="156"/>
  <c r="V11" i="156"/>
  <c r="I30" i="126" l="1"/>
  <c r="I28" i="126"/>
  <c r="I41" i="126"/>
  <c r="I14" i="126"/>
  <c r="I21" i="126"/>
  <c r="I32" i="126"/>
  <c r="I42" i="126"/>
  <c r="I46" i="126"/>
  <c r="I29" i="126"/>
  <c r="I47" i="126"/>
  <c r="I52" i="126"/>
  <c r="I36" i="126"/>
  <c r="I40" i="126"/>
  <c r="I53" i="126"/>
  <c r="H68" i="126"/>
  <c r="I11" i="126"/>
  <c r="I17" i="126"/>
  <c r="I23" i="126"/>
  <c r="I27" i="126"/>
  <c r="I33" i="126"/>
  <c r="I51" i="126"/>
  <c r="I57" i="126"/>
  <c r="I63" i="126"/>
  <c r="I18" i="126"/>
  <c r="I64" i="126"/>
  <c r="G68" i="126"/>
  <c r="I49" i="126"/>
  <c r="I58" i="126"/>
  <c r="I37" i="126"/>
  <c r="I10" i="126"/>
  <c r="I13" i="126"/>
  <c r="I26" i="126"/>
  <c r="I38" i="126"/>
  <c r="I44" i="126"/>
  <c r="I50" i="126"/>
  <c r="I56" i="126"/>
  <c r="F13" i="148"/>
  <c r="G13" i="148" s="1"/>
  <c r="F41" i="148"/>
  <c r="G41" i="148" s="1"/>
  <c r="U53" i="148"/>
  <c r="I15" i="126"/>
  <c r="I9" i="126"/>
  <c r="V68" i="126"/>
  <c r="P68" i="126"/>
  <c r="U68" i="126"/>
  <c r="Q68" i="126"/>
  <c r="E14" i="157"/>
  <c r="F9" i="157"/>
  <c r="F14" i="157" s="1"/>
  <c r="K14" i="157"/>
  <c r="E11" i="156"/>
  <c r="G53" i="148" l="1"/>
  <c r="F53" i="148"/>
  <c r="I68" i="126"/>
  <c r="G10" i="150"/>
  <c r="G11" i="150"/>
  <c r="G12" i="150"/>
  <c r="M24" i="154"/>
  <c r="N24" i="154"/>
  <c r="O24" i="154"/>
  <c r="P24" i="154"/>
  <c r="Q24" i="154"/>
  <c r="R24" i="154"/>
  <c r="S24" i="154"/>
  <c r="T24" i="154"/>
  <c r="U24" i="154"/>
  <c r="V24" i="154"/>
  <c r="W24" i="154"/>
  <c r="X24" i="154"/>
  <c r="Y24" i="154"/>
  <c r="Z24" i="154"/>
  <c r="AA24" i="154"/>
  <c r="AB24" i="154"/>
  <c r="L24" i="154"/>
  <c r="M13" i="116"/>
  <c r="M10" i="116"/>
  <c r="G14" i="150"/>
  <c r="G15" i="150"/>
  <c r="G16" i="150"/>
  <c r="H12" i="150"/>
  <c r="H11" i="150"/>
  <c r="H10" i="150"/>
  <c r="E18" i="155"/>
  <c r="E17" i="155"/>
  <c r="E16" i="155"/>
  <c r="F11" i="155"/>
  <c r="G11" i="155" s="1"/>
  <c r="F12" i="155"/>
  <c r="G12" i="155" s="1"/>
  <c r="F13" i="155"/>
  <c r="G13" i="155" s="1"/>
  <c r="F14" i="155"/>
  <c r="G14" i="155" s="1"/>
  <c r="F15" i="155"/>
  <c r="G15" i="155" s="1"/>
  <c r="F16" i="155"/>
  <c r="G16" i="155" s="1"/>
  <c r="F17" i="155"/>
  <c r="G17" i="155" s="1"/>
  <c r="F18" i="155"/>
  <c r="G18" i="155" s="1"/>
  <c r="E11" i="155"/>
  <c r="E12" i="155"/>
  <c r="E13" i="155"/>
  <c r="E14" i="155"/>
  <c r="E15" i="155"/>
  <c r="V20" i="155"/>
  <c r="U20" i="155"/>
  <c r="T20" i="155"/>
  <c r="S20" i="155"/>
  <c r="R20" i="155"/>
  <c r="Q20" i="155"/>
  <c r="P20" i="155"/>
  <c r="O20" i="155"/>
  <c r="N20" i="155"/>
  <c r="M20" i="155"/>
  <c r="L20" i="155"/>
  <c r="K20" i="155"/>
  <c r="J20" i="155"/>
  <c r="I20" i="155"/>
  <c r="H20" i="155"/>
  <c r="C20" i="155"/>
  <c r="E20" i="155" s="1"/>
  <c r="F10" i="155"/>
  <c r="G10" i="155" s="1"/>
  <c r="E10" i="155"/>
  <c r="T2" i="155"/>
  <c r="N2" i="155"/>
  <c r="T1" i="155"/>
  <c r="N1" i="155"/>
  <c r="K13" i="116"/>
  <c r="G14" i="154"/>
  <c r="G16" i="154"/>
  <c r="G18" i="154"/>
  <c r="G19" i="154"/>
  <c r="G20" i="154"/>
  <c r="F14" i="154"/>
  <c r="F15" i="154"/>
  <c r="G15" i="154" s="1"/>
  <c r="F16" i="154"/>
  <c r="F17" i="154"/>
  <c r="G17" i="154" s="1"/>
  <c r="F18" i="154"/>
  <c r="F19" i="154"/>
  <c r="F20" i="154"/>
  <c r="F21" i="154"/>
  <c r="G21" i="154" s="1"/>
  <c r="F22" i="154"/>
  <c r="G22" i="154" s="1"/>
  <c r="C24" i="154"/>
  <c r="E22" i="154"/>
  <c r="E18" i="154"/>
  <c r="E19" i="154"/>
  <c r="E17" i="154"/>
  <c r="E16" i="154"/>
  <c r="E20" i="154"/>
  <c r="E15" i="154"/>
  <c r="E14" i="154"/>
  <c r="AJ24" i="154"/>
  <c r="AI24" i="154"/>
  <c r="AH24" i="154"/>
  <c r="AG24" i="154"/>
  <c r="AF24" i="154"/>
  <c r="AE24" i="154"/>
  <c r="AD24" i="154"/>
  <c r="AC24" i="154"/>
  <c r="K24" i="154"/>
  <c r="J24" i="154"/>
  <c r="I24" i="154"/>
  <c r="H24" i="154"/>
  <c r="E24" i="154"/>
  <c r="E21" i="154"/>
  <c r="F13" i="154"/>
  <c r="G13" i="154" s="1"/>
  <c r="E13" i="154"/>
  <c r="F12" i="154"/>
  <c r="G12" i="154" s="1"/>
  <c r="E12" i="154"/>
  <c r="F11" i="154"/>
  <c r="G11" i="154" s="1"/>
  <c r="E11" i="154"/>
  <c r="F10" i="154"/>
  <c r="G10" i="154" s="1"/>
  <c r="E10" i="154"/>
  <c r="AA2" i="154"/>
  <c r="T2" i="154"/>
  <c r="N2" i="154"/>
  <c r="AA1" i="154"/>
  <c r="T1" i="154"/>
  <c r="N1" i="154"/>
  <c r="D15" i="152"/>
  <c r="E15" i="152" s="1"/>
  <c r="D9" i="152"/>
  <c r="E9" i="152" s="1"/>
  <c r="D14" i="152"/>
  <c r="E14" i="152" s="1"/>
  <c r="D13" i="152"/>
  <c r="E13" i="152" s="1"/>
  <c r="D12" i="152"/>
  <c r="E12" i="152" s="1"/>
  <c r="D11" i="152"/>
  <c r="E11" i="152" s="1"/>
  <c r="D10" i="152"/>
  <c r="E10" i="152" s="1"/>
  <c r="F24" i="154" l="1"/>
  <c r="H16" i="150"/>
  <c r="G24" i="154"/>
  <c r="H15" i="150"/>
  <c r="H14" i="150"/>
  <c r="G20" i="155"/>
  <c r="F20" i="155"/>
  <c r="Y2" i="151" l="1"/>
  <c r="R2" i="151"/>
  <c r="L2" i="151"/>
  <c r="Y1" i="151"/>
  <c r="R1" i="151"/>
  <c r="L1" i="151"/>
  <c r="D12" i="145" l="1"/>
  <c r="E12" i="145" s="1"/>
  <c r="D11" i="145"/>
  <c r="E11" i="145" s="1"/>
  <c r="D10" i="145"/>
  <c r="E10" i="145" s="1"/>
  <c r="D9" i="145"/>
  <c r="E9" i="145" s="1"/>
  <c r="T19" i="150" l="1"/>
  <c r="S19" i="150"/>
  <c r="R19" i="150"/>
  <c r="Q19" i="150"/>
  <c r="P19" i="150"/>
  <c r="O19" i="150"/>
  <c r="N19" i="150"/>
  <c r="M19" i="150"/>
  <c r="L19" i="150"/>
  <c r="K19" i="150"/>
  <c r="J19" i="150"/>
  <c r="I19" i="150"/>
  <c r="E19" i="150"/>
  <c r="C19" i="150"/>
  <c r="G18" i="150"/>
  <c r="G17" i="150"/>
  <c r="G13" i="150"/>
  <c r="G9" i="150"/>
  <c r="F9" i="150"/>
  <c r="P2" i="150"/>
  <c r="I2" i="150"/>
  <c r="P1" i="150"/>
  <c r="I1" i="150"/>
  <c r="H9" i="150" l="1"/>
  <c r="H13" i="150"/>
  <c r="H18" i="150"/>
  <c r="G19" i="150"/>
  <c r="H17" i="150"/>
  <c r="F19" i="150"/>
  <c r="H19" i="150" l="1"/>
  <c r="W2" i="149"/>
  <c r="P2" i="149"/>
  <c r="J2" i="149"/>
  <c r="W1" i="149"/>
  <c r="P1" i="149"/>
  <c r="J1" i="149"/>
  <c r="W2" i="148"/>
  <c r="P2" i="148"/>
  <c r="J2" i="148"/>
  <c r="W1" i="148"/>
  <c r="P1" i="148"/>
  <c r="J1" i="148"/>
  <c r="K3" i="147"/>
  <c r="K4" i="147"/>
  <c r="K5" i="147"/>
  <c r="K6" i="147"/>
  <c r="K7" i="147"/>
  <c r="K8" i="147"/>
  <c r="K9" i="147"/>
  <c r="K10" i="147"/>
  <c r="K11" i="147"/>
  <c r="K12" i="147"/>
  <c r="K13" i="147"/>
  <c r="K14" i="147"/>
  <c r="K15" i="147"/>
  <c r="K16" i="147"/>
  <c r="K17" i="147"/>
  <c r="K18" i="147"/>
  <c r="K19" i="147"/>
  <c r="K20" i="147"/>
  <c r="K21" i="147"/>
  <c r="K22" i="147"/>
  <c r="K23" i="147"/>
  <c r="K24" i="147"/>
  <c r="K25" i="147"/>
  <c r="K26" i="147"/>
  <c r="K27" i="147"/>
  <c r="K28" i="147"/>
  <c r="K29" i="147"/>
  <c r="K30" i="147"/>
  <c r="K31" i="147"/>
  <c r="K32" i="147"/>
  <c r="K33" i="147"/>
  <c r="K34" i="147"/>
  <c r="K35" i="147"/>
  <c r="K36" i="147"/>
  <c r="K37" i="147"/>
  <c r="K38" i="147"/>
  <c r="K39" i="147"/>
  <c r="K40" i="147"/>
  <c r="K41" i="147"/>
  <c r="K42" i="147"/>
  <c r="K43" i="147"/>
  <c r="K44" i="147"/>
  <c r="K45" i="147"/>
  <c r="K46" i="147"/>
  <c r="K47" i="147"/>
  <c r="K48" i="147"/>
  <c r="K49" i="147"/>
  <c r="K50" i="147"/>
  <c r="K51" i="147"/>
  <c r="K52" i="147"/>
  <c r="K53" i="147"/>
  <c r="K54" i="147"/>
  <c r="K55" i="147"/>
  <c r="K56" i="147"/>
  <c r="K57" i="147"/>
  <c r="K58" i="147"/>
  <c r="K59" i="147"/>
  <c r="K60" i="147"/>
  <c r="K61" i="147"/>
  <c r="K62" i="147"/>
  <c r="K63" i="147"/>
  <c r="K64" i="147"/>
  <c r="K65" i="147"/>
  <c r="K66" i="147"/>
  <c r="K2" i="147"/>
  <c r="H67" i="147"/>
  <c r="F25" i="142"/>
  <c r="G13" i="142" l="1"/>
  <c r="H13" i="142" s="1"/>
  <c r="G14" i="142"/>
  <c r="H14" i="142" s="1"/>
  <c r="G15" i="142"/>
  <c r="H15" i="142" s="1"/>
  <c r="G16" i="142"/>
  <c r="H16" i="142" s="1"/>
  <c r="G17" i="142"/>
  <c r="H17" i="142" s="1"/>
  <c r="G19" i="142"/>
  <c r="H19" i="142" s="1"/>
  <c r="G20" i="142"/>
  <c r="G21" i="142"/>
  <c r="S17" i="121"/>
  <c r="T17" i="121"/>
  <c r="R17" i="121"/>
  <c r="R25" i="142" l="1"/>
  <c r="S25" i="142"/>
  <c r="T25" i="142"/>
  <c r="U25" i="142"/>
  <c r="I25" i="142"/>
  <c r="J25" i="142"/>
  <c r="K25" i="142"/>
  <c r="M25" i="142"/>
  <c r="N25" i="142"/>
  <c r="O25" i="142"/>
  <c r="P25" i="142"/>
  <c r="Q25" i="142"/>
  <c r="G9" i="142"/>
  <c r="H9" i="142" s="1"/>
  <c r="G10" i="142"/>
  <c r="H10" i="142" s="1"/>
  <c r="G9" i="121" l="1"/>
  <c r="H9" i="121" s="1"/>
  <c r="E17" i="121"/>
  <c r="L17" i="121"/>
  <c r="M17" i="121"/>
  <c r="O17" i="121"/>
  <c r="P17" i="121"/>
  <c r="Q17" i="121"/>
  <c r="I17" i="121"/>
  <c r="J17" i="121"/>
  <c r="K17" i="121"/>
  <c r="G32" i="144" l="1"/>
  <c r="H32" i="144" s="1"/>
  <c r="G11" i="144"/>
  <c r="H11" i="144" s="1"/>
  <c r="G31" i="144"/>
  <c r="H31" i="144" s="1"/>
  <c r="E79" i="144" l="1"/>
  <c r="E84" i="144" s="1"/>
  <c r="N17" i="121" l="1"/>
  <c r="P2" i="145" l="1"/>
  <c r="J2" i="145"/>
  <c r="P1" i="145"/>
  <c r="J1" i="145"/>
  <c r="F1" i="145"/>
  <c r="L25" i="142" l="1"/>
  <c r="G18" i="142"/>
  <c r="H18" i="142" s="1"/>
  <c r="D9" i="141" l="1"/>
  <c r="E9" i="141" s="1"/>
  <c r="U79" i="144"/>
  <c r="T79" i="144"/>
  <c r="S79" i="144"/>
  <c r="R79" i="144"/>
  <c r="Q79" i="144"/>
  <c r="P79" i="144"/>
  <c r="O79" i="144"/>
  <c r="N79" i="144"/>
  <c r="M79" i="144"/>
  <c r="L79" i="144"/>
  <c r="K79" i="144"/>
  <c r="J79" i="144"/>
  <c r="I79" i="144"/>
  <c r="G65" i="144"/>
  <c r="H65" i="144" s="1"/>
  <c r="G64" i="144"/>
  <c r="H64" i="144" s="1"/>
  <c r="G63" i="144"/>
  <c r="H63" i="144" s="1"/>
  <c r="G62" i="144"/>
  <c r="H62" i="144" s="1"/>
  <c r="G61" i="144"/>
  <c r="H61" i="144" s="1"/>
  <c r="G60" i="144"/>
  <c r="H60" i="144" s="1"/>
  <c r="G59" i="144"/>
  <c r="H59" i="144" s="1"/>
  <c r="G58" i="144"/>
  <c r="H58" i="144" s="1"/>
  <c r="G57" i="144"/>
  <c r="H57" i="144" s="1"/>
  <c r="G56" i="144"/>
  <c r="H56" i="144" s="1"/>
  <c r="G55" i="144"/>
  <c r="H55" i="144" s="1"/>
  <c r="G54" i="144"/>
  <c r="H54" i="144" s="1"/>
  <c r="G53" i="144"/>
  <c r="H53" i="144" s="1"/>
  <c r="G52" i="144"/>
  <c r="H52" i="144" s="1"/>
  <c r="G51" i="144"/>
  <c r="H51" i="144" s="1"/>
  <c r="G50" i="144"/>
  <c r="H50" i="144" s="1"/>
  <c r="G49" i="144"/>
  <c r="H49" i="144" s="1"/>
  <c r="G48" i="144"/>
  <c r="H48" i="144" s="1"/>
  <c r="G47" i="144"/>
  <c r="H47" i="144" s="1"/>
  <c r="G46" i="144"/>
  <c r="H46" i="144" s="1"/>
  <c r="G45" i="144"/>
  <c r="H45" i="144" s="1"/>
  <c r="G44" i="144"/>
  <c r="H44" i="144" s="1"/>
  <c r="G43" i="144"/>
  <c r="H43" i="144" s="1"/>
  <c r="G42" i="144"/>
  <c r="H42" i="144" s="1"/>
  <c r="G41" i="144"/>
  <c r="H41" i="144" s="1"/>
  <c r="G40" i="144"/>
  <c r="H40" i="144" s="1"/>
  <c r="G39" i="144"/>
  <c r="H39" i="144" s="1"/>
  <c r="G38" i="144"/>
  <c r="H38" i="144" s="1"/>
  <c r="G37" i="144"/>
  <c r="H37" i="144" s="1"/>
  <c r="G36" i="144"/>
  <c r="H36" i="144" s="1"/>
  <c r="G35" i="144"/>
  <c r="H35" i="144" s="1"/>
  <c r="G34" i="144"/>
  <c r="H34" i="144" s="1"/>
  <c r="G33" i="144"/>
  <c r="H33" i="144" s="1"/>
  <c r="G30" i="144"/>
  <c r="H30" i="144" s="1"/>
  <c r="G29" i="144"/>
  <c r="H29" i="144" s="1"/>
  <c r="G28" i="144"/>
  <c r="H28" i="144" s="1"/>
  <c r="G27" i="144"/>
  <c r="H27" i="144" s="1"/>
  <c r="G26" i="144"/>
  <c r="H26" i="144" s="1"/>
  <c r="G25" i="144"/>
  <c r="H25" i="144" s="1"/>
  <c r="G24" i="144"/>
  <c r="H24" i="144" s="1"/>
  <c r="G23" i="144"/>
  <c r="H23" i="144" s="1"/>
  <c r="G22" i="144"/>
  <c r="H22" i="144" s="1"/>
  <c r="G21" i="144"/>
  <c r="H21" i="144" s="1"/>
  <c r="G20" i="144"/>
  <c r="H20" i="144" s="1"/>
  <c r="G19" i="144"/>
  <c r="H19" i="144" s="1"/>
  <c r="G18" i="144"/>
  <c r="H18" i="144" s="1"/>
  <c r="G17" i="144"/>
  <c r="H17" i="144" s="1"/>
  <c r="G16" i="144"/>
  <c r="H16" i="144" s="1"/>
  <c r="G15" i="144"/>
  <c r="H15" i="144" s="1"/>
  <c r="G14" i="144"/>
  <c r="H14" i="144" s="1"/>
  <c r="G13" i="144"/>
  <c r="H13" i="144" s="1"/>
  <c r="G12" i="144"/>
  <c r="H12" i="144" s="1"/>
  <c r="G10" i="144"/>
  <c r="H10" i="144" s="1"/>
  <c r="G9" i="144"/>
  <c r="H9" i="144" s="1"/>
  <c r="G66" i="144"/>
  <c r="G67" i="144"/>
  <c r="H67" i="144" s="1"/>
  <c r="G68" i="144"/>
  <c r="H68" i="144" s="1"/>
  <c r="G69" i="144"/>
  <c r="H69" i="144" s="1"/>
  <c r="G70" i="144"/>
  <c r="H70" i="144" s="1"/>
  <c r="G71" i="144"/>
  <c r="H71" i="144" s="1"/>
  <c r="G72" i="144"/>
  <c r="H72" i="144" s="1"/>
  <c r="P2" i="144"/>
  <c r="J2" i="144"/>
  <c r="P1" i="144"/>
  <c r="J1" i="144"/>
  <c r="H21" i="142"/>
  <c r="E8" i="138"/>
  <c r="D8" i="138"/>
  <c r="AA2" i="118"/>
  <c r="E9" i="128"/>
  <c r="T2" i="143"/>
  <c r="N2" i="143"/>
  <c r="D14" i="116"/>
  <c r="C14" i="116"/>
  <c r="E13" i="116"/>
  <c r="E12" i="116"/>
  <c r="E11" i="116"/>
  <c r="E10" i="116"/>
  <c r="E9" i="116"/>
  <c r="F11" i="116"/>
  <c r="F9" i="116"/>
  <c r="Q14" i="116"/>
  <c r="F10" i="116"/>
  <c r="N14" i="116"/>
  <c r="L14" i="116"/>
  <c r="M14" i="116"/>
  <c r="O14" i="116"/>
  <c r="P14" i="116"/>
  <c r="R14" i="116"/>
  <c r="K14" i="116"/>
  <c r="F12" i="116"/>
  <c r="S14" i="116"/>
  <c r="F13" i="116"/>
  <c r="N20" i="143"/>
  <c r="O20" i="143"/>
  <c r="P20" i="143"/>
  <c r="Q20" i="143"/>
  <c r="R20" i="143"/>
  <c r="S20" i="143"/>
  <c r="T20" i="143"/>
  <c r="U20" i="143"/>
  <c r="V20" i="143"/>
  <c r="W20" i="143"/>
  <c r="M20" i="143"/>
  <c r="D9" i="143"/>
  <c r="E9" i="143"/>
  <c r="D10" i="143"/>
  <c r="E10" i="143"/>
  <c r="D11" i="143"/>
  <c r="E11" i="143"/>
  <c r="D12" i="143"/>
  <c r="E12" i="143"/>
  <c r="D13" i="143"/>
  <c r="E13" i="143"/>
  <c r="D14" i="143"/>
  <c r="E14" i="143"/>
  <c r="D15" i="143"/>
  <c r="E15" i="143"/>
  <c r="D16" i="143"/>
  <c r="E16" i="143"/>
  <c r="D17" i="143"/>
  <c r="E17" i="143"/>
  <c r="D18" i="143"/>
  <c r="E18" i="143"/>
  <c r="D19" i="143"/>
  <c r="E19" i="143"/>
  <c r="D8" i="143"/>
  <c r="Z20" i="143"/>
  <c r="Y20" i="143"/>
  <c r="X20" i="143"/>
  <c r="L20" i="143"/>
  <c r="K20" i="143"/>
  <c r="J20" i="143"/>
  <c r="I20" i="143"/>
  <c r="H20" i="143"/>
  <c r="G20" i="143"/>
  <c r="F20" i="143"/>
  <c r="R1" i="143"/>
  <c r="L1" i="143"/>
  <c r="D20" i="143"/>
  <c r="E8" i="143"/>
  <c r="E20" i="143"/>
  <c r="V25" i="142"/>
  <c r="E25" i="142"/>
  <c r="H20" i="142"/>
  <c r="G12" i="142"/>
  <c r="H12" i="142" s="1"/>
  <c r="G11" i="142"/>
  <c r="H11" i="142" s="1"/>
  <c r="P2" i="142"/>
  <c r="J2" i="142"/>
  <c r="P1" i="142"/>
  <c r="J1" i="142"/>
  <c r="H46" i="113"/>
  <c r="I46" i="113"/>
  <c r="J46" i="113"/>
  <c r="K46" i="113"/>
  <c r="L46" i="113"/>
  <c r="M46" i="113"/>
  <c r="N46" i="113"/>
  <c r="O46" i="113"/>
  <c r="P46" i="113"/>
  <c r="Q46" i="113"/>
  <c r="R46" i="113"/>
  <c r="S46" i="113"/>
  <c r="T46" i="113"/>
  <c r="U46" i="113"/>
  <c r="D14" i="141"/>
  <c r="E14" i="141" s="1"/>
  <c r="D13" i="141"/>
  <c r="E13" i="141"/>
  <c r="D12" i="141"/>
  <c r="E12" i="141"/>
  <c r="D11" i="141"/>
  <c r="E11" i="141" s="1"/>
  <c r="D10" i="141"/>
  <c r="E10" i="141" s="1"/>
  <c r="P1" i="141"/>
  <c r="J1" i="141"/>
  <c r="G15" i="121"/>
  <c r="H15" i="121" s="1"/>
  <c r="C12" i="138"/>
  <c r="D10" i="138"/>
  <c r="E10" i="138"/>
  <c r="D11" i="138"/>
  <c r="E11" i="138"/>
  <c r="D9" i="138"/>
  <c r="E9" i="138"/>
  <c r="R18" i="140"/>
  <c r="Q18" i="140"/>
  <c r="P18" i="140"/>
  <c r="O18" i="140"/>
  <c r="N18" i="140"/>
  <c r="M18" i="140"/>
  <c r="K18" i="140"/>
  <c r="K33" i="139"/>
  <c r="L31" i="139"/>
  <c r="L30" i="139"/>
  <c r="L29" i="139"/>
  <c r="L28" i="139"/>
  <c r="L27" i="139"/>
  <c r="L26" i="139"/>
  <c r="L25" i="139"/>
  <c r="L24" i="139"/>
  <c r="L23" i="139"/>
  <c r="L22" i="139"/>
  <c r="L21" i="139"/>
  <c r="L20" i="139"/>
  <c r="L19" i="139"/>
  <c r="L18" i="139"/>
  <c r="L17" i="139"/>
  <c r="L16" i="139"/>
  <c r="L15" i="139"/>
  <c r="L14" i="139"/>
  <c r="L13" i="139"/>
  <c r="L12" i="139"/>
  <c r="L11" i="139"/>
  <c r="L10" i="139"/>
  <c r="L9" i="139"/>
  <c r="J31" i="139"/>
  <c r="J30" i="139"/>
  <c r="J29" i="139"/>
  <c r="J28" i="139"/>
  <c r="J27" i="139"/>
  <c r="J26" i="139"/>
  <c r="J25" i="139"/>
  <c r="J24" i="139"/>
  <c r="J23" i="139"/>
  <c r="J22" i="139"/>
  <c r="J21" i="139"/>
  <c r="J20" i="139"/>
  <c r="J19" i="139"/>
  <c r="J18" i="139"/>
  <c r="J17" i="139"/>
  <c r="J16" i="139"/>
  <c r="J15" i="139"/>
  <c r="J14" i="139"/>
  <c r="J13" i="139"/>
  <c r="J12" i="139"/>
  <c r="J11" i="139"/>
  <c r="J10" i="139"/>
  <c r="J9" i="139"/>
  <c r="F17" i="140"/>
  <c r="F16" i="140"/>
  <c r="F15" i="140"/>
  <c r="L17" i="140"/>
  <c r="L16" i="140"/>
  <c r="L15" i="140"/>
  <c r="L14" i="140"/>
  <c r="L13" i="140"/>
  <c r="L12" i="140"/>
  <c r="L11" i="140"/>
  <c r="L10" i="140"/>
  <c r="L9" i="140"/>
  <c r="J17" i="140"/>
  <c r="J16" i="140"/>
  <c r="J15" i="140"/>
  <c r="J14" i="140"/>
  <c r="J13" i="140"/>
  <c r="J12" i="140"/>
  <c r="J11" i="140"/>
  <c r="J10" i="140"/>
  <c r="J9" i="140"/>
  <c r="F9" i="140"/>
  <c r="E12" i="140"/>
  <c r="E18" i="140"/>
  <c r="E24" i="139"/>
  <c r="H29" i="139"/>
  <c r="H26" i="139"/>
  <c r="H27" i="139"/>
  <c r="H28" i="139"/>
  <c r="H30" i="139"/>
  <c r="H31" i="139"/>
  <c r="F23" i="139"/>
  <c r="F24" i="139"/>
  <c r="F25" i="139"/>
  <c r="F26" i="139"/>
  <c r="F27" i="139"/>
  <c r="F28" i="139"/>
  <c r="F30" i="139"/>
  <c r="F31" i="139"/>
  <c r="H23" i="139"/>
  <c r="H9" i="139"/>
  <c r="H11" i="139"/>
  <c r="H10" i="139"/>
  <c r="H12" i="139"/>
  <c r="H13" i="139"/>
  <c r="H14" i="139"/>
  <c r="H15" i="139"/>
  <c r="H16" i="139"/>
  <c r="H17" i="139"/>
  <c r="H18" i="139"/>
  <c r="H19" i="139"/>
  <c r="H20" i="139"/>
  <c r="H21" i="139"/>
  <c r="H22" i="139"/>
  <c r="H24" i="139"/>
  <c r="H25" i="139"/>
  <c r="F10" i="140"/>
  <c r="F11" i="140"/>
  <c r="F13" i="140"/>
  <c r="F14" i="140"/>
  <c r="AA33" i="139"/>
  <c r="Z33" i="139"/>
  <c r="Y33" i="139"/>
  <c r="X33" i="139"/>
  <c r="W33" i="139"/>
  <c r="V33" i="139"/>
  <c r="U33" i="139"/>
  <c r="T33" i="139"/>
  <c r="S33" i="139"/>
  <c r="R33" i="139"/>
  <c r="Q33" i="139"/>
  <c r="P33" i="139"/>
  <c r="O33" i="139"/>
  <c r="N33" i="139"/>
  <c r="M33" i="139"/>
  <c r="I33" i="139"/>
  <c r="G33" i="139"/>
  <c r="F13" i="139"/>
  <c r="F14" i="139"/>
  <c r="F15" i="139"/>
  <c r="F16" i="139"/>
  <c r="F17" i="139"/>
  <c r="F18" i="139"/>
  <c r="F19" i="139"/>
  <c r="F20" i="139"/>
  <c r="F21" i="139"/>
  <c r="F22" i="139"/>
  <c r="F10" i="139"/>
  <c r="F11" i="139"/>
  <c r="F12" i="139"/>
  <c r="F9" i="139"/>
  <c r="AV18" i="140"/>
  <c r="AU18" i="140"/>
  <c r="AT18" i="140"/>
  <c r="AS18" i="140"/>
  <c r="AR18" i="140"/>
  <c r="AQ18" i="140"/>
  <c r="AP18" i="140"/>
  <c r="AO18" i="140"/>
  <c r="AN18" i="140"/>
  <c r="AM18" i="140"/>
  <c r="AL18" i="140"/>
  <c r="AK18" i="140"/>
  <c r="AJ18" i="140"/>
  <c r="AI18" i="140"/>
  <c r="AH18" i="140"/>
  <c r="AG18" i="140"/>
  <c r="AF18" i="140"/>
  <c r="AE18" i="140"/>
  <c r="AA18" i="140"/>
  <c r="W18" i="140"/>
  <c r="S18" i="140"/>
  <c r="I18" i="140"/>
  <c r="D18" i="140"/>
  <c r="C18" i="140"/>
  <c r="AT2" i="140"/>
  <c r="AM2" i="140"/>
  <c r="AF2" i="140"/>
  <c r="I2" i="140"/>
  <c r="AT1" i="140"/>
  <c r="AM1" i="140"/>
  <c r="AF1" i="140"/>
  <c r="I1" i="140"/>
  <c r="E33" i="139"/>
  <c r="C33" i="139"/>
  <c r="W2" i="139"/>
  <c r="I2" i="139"/>
  <c r="W1" i="139"/>
  <c r="I1" i="139"/>
  <c r="K12" i="138"/>
  <c r="J12" i="138"/>
  <c r="I12" i="138"/>
  <c r="H12" i="138"/>
  <c r="G12" i="138"/>
  <c r="F12" i="138"/>
  <c r="W12" i="138"/>
  <c r="V12" i="138"/>
  <c r="U12" i="138"/>
  <c r="T12" i="138"/>
  <c r="S12" i="138"/>
  <c r="R12" i="138"/>
  <c r="Q12" i="138"/>
  <c r="P12" i="138"/>
  <c r="O12" i="138"/>
  <c r="N12" i="138"/>
  <c r="M12" i="138"/>
  <c r="L12" i="138"/>
  <c r="F1" i="138"/>
  <c r="E14" i="118"/>
  <c r="E13" i="118"/>
  <c r="E12" i="118"/>
  <c r="E11" i="118"/>
  <c r="E10" i="118"/>
  <c r="G12" i="121"/>
  <c r="H12" i="121" s="1"/>
  <c r="G40" i="113"/>
  <c r="G41" i="113"/>
  <c r="Q16" i="118"/>
  <c r="G14" i="113"/>
  <c r="D46" i="113"/>
  <c r="C46" i="113"/>
  <c r="G10" i="121"/>
  <c r="H10" i="121" s="1"/>
  <c r="G13" i="121"/>
  <c r="H13" i="121" s="1"/>
  <c r="E46" i="113"/>
  <c r="AJ11" i="137"/>
  <c r="AI11" i="137"/>
  <c r="AH11" i="137"/>
  <c r="AG11" i="137"/>
  <c r="AF11" i="137"/>
  <c r="AE11" i="137"/>
  <c r="AD11" i="137"/>
  <c r="AC11" i="137"/>
  <c r="AB11" i="137"/>
  <c r="AA11" i="137"/>
  <c r="Z11" i="137"/>
  <c r="Y11" i="137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C11" i="137"/>
  <c r="E11" i="137"/>
  <c r="F9" i="137"/>
  <c r="G9" i="137"/>
  <c r="G11" i="137"/>
  <c r="E9" i="137"/>
  <c r="AA2" i="137"/>
  <c r="T2" i="137"/>
  <c r="N2" i="137"/>
  <c r="AA1" i="137"/>
  <c r="T1" i="137"/>
  <c r="N1" i="137"/>
  <c r="AD15" i="136"/>
  <c r="AC15" i="136"/>
  <c r="AB15" i="136"/>
  <c r="AA15" i="136"/>
  <c r="Z15" i="136"/>
  <c r="Y15" i="136"/>
  <c r="X15" i="136"/>
  <c r="W15" i="136"/>
  <c r="V15" i="136"/>
  <c r="U15" i="136"/>
  <c r="T15" i="136"/>
  <c r="S15" i="136"/>
  <c r="R15" i="136"/>
  <c r="Q15" i="136"/>
  <c r="P15" i="136"/>
  <c r="O15" i="136"/>
  <c r="N15" i="136"/>
  <c r="M15" i="136"/>
  <c r="L15" i="136"/>
  <c r="K15" i="136"/>
  <c r="J15" i="136"/>
  <c r="I15" i="136"/>
  <c r="H15" i="136"/>
  <c r="C15" i="136"/>
  <c r="E15" i="136"/>
  <c r="F13" i="136"/>
  <c r="G13" i="136"/>
  <c r="E13" i="136"/>
  <c r="F12" i="136"/>
  <c r="G12" i="136"/>
  <c r="E12" i="136"/>
  <c r="F11" i="136"/>
  <c r="G11" i="136"/>
  <c r="E11" i="136"/>
  <c r="F10" i="136"/>
  <c r="G10" i="136"/>
  <c r="E10" i="136"/>
  <c r="F9" i="136"/>
  <c r="G9" i="136"/>
  <c r="E9" i="136"/>
  <c r="T2" i="136"/>
  <c r="N2" i="136"/>
  <c r="T1" i="136"/>
  <c r="N1" i="136"/>
  <c r="AB13" i="133"/>
  <c r="AA13" i="133"/>
  <c r="Z13" i="133"/>
  <c r="Y13" i="133"/>
  <c r="X13" i="133"/>
  <c r="W13" i="133"/>
  <c r="V13" i="133"/>
  <c r="U13" i="133"/>
  <c r="T13" i="133"/>
  <c r="S13" i="133"/>
  <c r="R13" i="133"/>
  <c r="Q13" i="133"/>
  <c r="P13" i="133"/>
  <c r="O13" i="133"/>
  <c r="N13" i="133"/>
  <c r="M13" i="133"/>
  <c r="L13" i="133"/>
  <c r="K13" i="133"/>
  <c r="J13" i="133"/>
  <c r="I13" i="133"/>
  <c r="H13" i="133"/>
  <c r="G13" i="133"/>
  <c r="F13" i="133"/>
  <c r="C13" i="133"/>
  <c r="D11" i="133"/>
  <c r="E11" i="133"/>
  <c r="D10" i="133"/>
  <c r="E10" i="133"/>
  <c r="D9" i="133"/>
  <c r="E9" i="133"/>
  <c r="R2" i="133"/>
  <c r="L2" i="133"/>
  <c r="R1" i="133"/>
  <c r="L1" i="133"/>
  <c r="AB18" i="132"/>
  <c r="AA18" i="132"/>
  <c r="Z18" i="132"/>
  <c r="Y18" i="132"/>
  <c r="X18" i="132"/>
  <c r="W18" i="132"/>
  <c r="V18" i="132"/>
  <c r="U18" i="132"/>
  <c r="T18" i="132"/>
  <c r="S18" i="132"/>
  <c r="R18" i="132"/>
  <c r="Q18" i="132"/>
  <c r="P18" i="132"/>
  <c r="O18" i="132"/>
  <c r="N18" i="132"/>
  <c r="M18" i="132"/>
  <c r="L18" i="132"/>
  <c r="K18" i="132"/>
  <c r="J18" i="132"/>
  <c r="I18" i="132"/>
  <c r="H18" i="132"/>
  <c r="E18" i="132"/>
  <c r="F16" i="132"/>
  <c r="G16" i="132"/>
  <c r="F15" i="132"/>
  <c r="G15" i="132"/>
  <c r="F14" i="132"/>
  <c r="G14" i="132"/>
  <c r="F13" i="132"/>
  <c r="G13" i="132"/>
  <c r="F12" i="132"/>
  <c r="G12" i="132"/>
  <c r="F11" i="132"/>
  <c r="G11" i="132"/>
  <c r="F10" i="132"/>
  <c r="G10" i="132"/>
  <c r="F9" i="132"/>
  <c r="G9" i="132"/>
  <c r="W2" i="132"/>
  <c r="P2" i="132"/>
  <c r="J2" i="132"/>
  <c r="W1" i="132"/>
  <c r="P1" i="132"/>
  <c r="J1" i="132"/>
  <c r="F12" i="118"/>
  <c r="G12" i="118" s="1"/>
  <c r="T2" i="131"/>
  <c r="N2" i="131"/>
  <c r="J2" i="131"/>
  <c r="T1" i="131"/>
  <c r="N1" i="131"/>
  <c r="J1" i="131"/>
  <c r="U17" i="121"/>
  <c r="G14" i="121"/>
  <c r="H14" i="121" s="1"/>
  <c r="G11" i="121"/>
  <c r="H11" i="121" s="1"/>
  <c r="Z11" i="128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K11" i="128"/>
  <c r="I11" i="128"/>
  <c r="H11" i="128"/>
  <c r="C11" i="128"/>
  <c r="E11" i="128"/>
  <c r="L11" i="128"/>
  <c r="J11" i="128"/>
  <c r="F9" i="128"/>
  <c r="F11" i="128" s="1"/>
  <c r="T2" i="128"/>
  <c r="N2" i="128"/>
  <c r="T1" i="128"/>
  <c r="N1" i="128"/>
  <c r="G11" i="113"/>
  <c r="G12" i="113"/>
  <c r="G13" i="113"/>
  <c r="G25" i="113"/>
  <c r="G15" i="113"/>
  <c r="G16" i="113"/>
  <c r="G17" i="113"/>
  <c r="G18" i="113"/>
  <c r="G19" i="113"/>
  <c r="G20" i="113"/>
  <c r="G21" i="113"/>
  <c r="G22" i="113"/>
  <c r="G23" i="113"/>
  <c r="G24" i="113"/>
  <c r="G26" i="113"/>
  <c r="G27" i="113"/>
  <c r="G29" i="113"/>
  <c r="G30" i="113"/>
  <c r="G31" i="113"/>
  <c r="G32" i="113"/>
  <c r="G35" i="113"/>
  <c r="G36" i="113"/>
  <c r="G37" i="113"/>
  <c r="G38" i="113"/>
  <c r="G39" i="113"/>
  <c r="G9" i="113"/>
  <c r="G33" i="113"/>
  <c r="Y2" i="126"/>
  <c r="R2" i="126"/>
  <c r="L2" i="126"/>
  <c r="Y1" i="126"/>
  <c r="R1" i="126"/>
  <c r="L1" i="126"/>
  <c r="AB16" i="125"/>
  <c r="AA16" i="125"/>
  <c r="Z16" i="125"/>
  <c r="Y16" i="125"/>
  <c r="X16" i="125"/>
  <c r="W16" i="125"/>
  <c r="V16" i="125"/>
  <c r="U16" i="125"/>
  <c r="T16" i="125"/>
  <c r="S16" i="125"/>
  <c r="R16" i="125"/>
  <c r="Q16" i="125"/>
  <c r="P16" i="125"/>
  <c r="O16" i="125"/>
  <c r="N16" i="125"/>
  <c r="M16" i="125"/>
  <c r="L16" i="125"/>
  <c r="K16" i="125"/>
  <c r="J16" i="125"/>
  <c r="I16" i="125"/>
  <c r="H16" i="125"/>
  <c r="E16" i="125"/>
  <c r="F14" i="125"/>
  <c r="G14" i="125"/>
  <c r="F13" i="125"/>
  <c r="G13" i="125"/>
  <c r="F12" i="125"/>
  <c r="G12" i="125"/>
  <c r="F11" i="125"/>
  <c r="G11" i="125"/>
  <c r="F10" i="125"/>
  <c r="G10" i="125"/>
  <c r="F9" i="125"/>
  <c r="W2" i="125"/>
  <c r="P2" i="125"/>
  <c r="J2" i="125"/>
  <c r="W1" i="125"/>
  <c r="P1" i="125"/>
  <c r="J1" i="125"/>
  <c r="P2" i="121"/>
  <c r="J2" i="121"/>
  <c r="P1" i="121"/>
  <c r="J1" i="121"/>
  <c r="F10" i="95"/>
  <c r="F11" i="95"/>
  <c r="F12" i="95"/>
  <c r="F13" i="95"/>
  <c r="F14" i="95"/>
  <c r="F9" i="95"/>
  <c r="E10" i="99"/>
  <c r="E11" i="99"/>
  <c r="E9" i="99"/>
  <c r="L13" i="99"/>
  <c r="M13" i="99"/>
  <c r="AJ16" i="95"/>
  <c r="AK16" i="95"/>
  <c r="AI16" i="118"/>
  <c r="AJ16" i="118"/>
  <c r="AG2" i="95"/>
  <c r="AG1" i="95"/>
  <c r="Z2" i="95"/>
  <c r="Z1" i="95"/>
  <c r="AA1" i="118"/>
  <c r="T1" i="118"/>
  <c r="N1" i="118"/>
  <c r="AA2" i="113"/>
  <c r="AA1" i="113"/>
  <c r="T2" i="113"/>
  <c r="T1" i="113"/>
  <c r="N2" i="113"/>
  <c r="N1" i="113"/>
  <c r="O2" i="116"/>
  <c r="O1" i="116"/>
  <c r="H2" i="116"/>
  <c r="H1" i="116"/>
  <c r="F10" i="118"/>
  <c r="G10" i="118" s="1"/>
  <c r="F11" i="118"/>
  <c r="G11" i="118" s="1"/>
  <c r="F13" i="118"/>
  <c r="G13" i="118" s="1"/>
  <c r="F14" i="118"/>
  <c r="G14" i="118" s="1"/>
  <c r="C16" i="118"/>
  <c r="E16" i="118" s="1"/>
  <c r="H16" i="118"/>
  <c r="I16" i="118"/>
  <c r="J16" i="118"/>
  <c r="K16" i="118"/>
  <c r="M16" i="118"/>
  <c r="N16" i="118"/>
  <c r="O16" i="118"/>
  <c r="P16" i="118"/>
  <c r="R16" i="118"/>
  <c r="S16" i="118"/>
  <c r="T16" i="118"/>
  <c r="U16" i="118"/>
  <c r="V16" i="118"/>
  <c r="W16" i="118"/>
  <c r="X16" i="118"/>
  <c r="Y16" i="118"/>
  <c r="Z16" i="118"/>
  <c r="AA16" i="118"/>
  <c r="AB16" i="118"/>
  <c r="AC16" i="118"/>
  <c r="AD16" i="118"/>
  <c r="AE16" i="118"/>
  <c r="AF16" i="118"/>
  <c r="AG16" i="118"/>
  <c r="AH16" i="118"/>
  <c r="N2" i="118"/>
  <c r="T2" i="118"/>
  <c r="L16" i="118"/>
  <c r="G10" i="95"/>
  <c r="G11" i="95"/>
  <c r="H11" i="95"/>
  <c r="G12" i="95"/>
  <c r="G13" i="95"/>
  <c r="G14" i="95"/>
  <c r="G9" i="95"/>
  <c r="F9" i="99"/>
  <c r="G9" i="99"/>
  <c r="F11" i="99"/>
  <c r="G11" i="99"/>
  <c r="F10" i="99"/>
  <c r="G10" i="99"/>
  <c r="K13" i="99"/>
  <c r="G34" i="113"/>
  <c r="I16" i="95"/>
  <c r="J16" i="95"/>
  <c r="K16" i="95"/>
  <c r="L16" i="95"/>
  <c r="M16" i="95"/>
  <c r="N16" i="95"/>
  <c r="O16" i="95"/>
  <c r="P16" i="95"/>
  <c r="Q16" i="95"/>
  <c r="R16" i="95"/>
  <c r="S16" i="95"/>
  <c r="T16" i="95"/>
  <c r="U16" i="95"/>
  <c r="V16" i="95"/>
  <c r="W16" i="95"/>
  <c r="X16" i="95"/>
  <c r="Y16" i="95"/>
  <c r="Z16" i="95"/>
  <c r="AA16" i="95"/>
  <c r="AB16" i="95"/>
  <c r="AC16" i="95"/>
  <c r="AD16" i="95"/>
  <c r="AE16" i="95"/>
  <c r="AF16" i="95"/>
  <c r="AG16" i="95"/>
  <c r="AH16" i="95"/>
  <c r="AI16" i="95"/>
  <c r="D16" i="95"/>
  <c r="C16" i="95"/>
  <c r="J13" i="99"/>
  <c r="I13" i="99"/>
  <c r="H13" i="99"/>
  <c r="C13" i="99"/>
  <c r="E13" i="99"/>
  <c r="S2" i="95"/>
  <c r="M2" i="95"/>
  <c r="M1" i="95"/>
  <c r="G10" i="113"/>
  <c r="G28" i="113"/>
  <c r="F46" i="113"/>
  <c r="D33" i="139"/>
  <c r="G9" i="125"/>
  <c r="H10" i="95"/>
  <c r="H12" i="95"/>
  <c r="F12" i="140"/>
  <c r="D12" i="138"/>
  <c r="L33" i="139"/>
  <c r="F16" i="95"/>
  <c r="D13" i="133"/>
  <c r="H14" i="95"/>
  <c r="G13" i="99"/>
  <c r="H13" i="95"/>
  <c r="J33" i="139"/>
  <c r="F13" i="99"/>
  <c r="G46" i="113"/>
  <c r="F11" i="137"/>
  <c r="H33" i="139"/>
  <c r="H9" i="95"/>
  <c r="E13" i="133"/>
  <c r="J18" i="140"/>
  <c r="F16" i="125"/>
  <c r="F15" i="136"/>
  <c r="L18" i="140"/>
  <c r="E12" i="138"/>
  <c r="G16" i="95"/>
  <c r="F33" i="139"/>
  <c r="G15" i="136"/>
  <c r="G18" i="132"/>
  <c r="G16" i="125"/>
  <c r="F18" i="132"/>
  <c r="H16" i="95"/>
  <c r="H14" i="116"/>
  <c r="J14" i="116"/>
  <c r="I14" i="116"/>
  <c r="G9" i="116" l="1"/>
  <c r="G11" i="116"/>
  <c r="G12" i="116"/>
  <c r="G13" i="116"/>
  <c r="E14" i="116"/>
  <c r="G10" i="116"/>
  <c r="H17" i="121"/>
  <c r="G17" i="121"/>
  <c r="G9" i="128"/>
  <c r="G11" i="128" s="1"/>
  <c r="G79" i="144"/>
  <c r="H66" i="144"/>
  <c r="H79" i="144" s="1"/>
  <c r="G25" i="142"/>
  <c r="F14" i="116"/>
  <c r="H25" i="142"/>
  <c r="G16" i="118"/>
  <c r="F16" i="118"/>
  <c r="G14" i="1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Mueller, Pam</author>
    <author>Buchanan, Cody</author>
  </authors>
  <commentList>
    <comment ref="F16" authorId="0" shapeId="0" xr:uid="{12808B6C-00F9-4ABC-A176-519345DD1881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AFR reported $2180 carryover which was drawn in Fy1920
</t>
        </r>
      </text>
    </comment>
    <comment ref="F18" authorId="0" shapeId="0" xr:uid="{CF260A5B-9638-4434-BE1E-FC42AD811E54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AFR reported $43,385 carryover. $366.69 was drawn in Fy1920 </t>
        </r>
      </text>
    </comment>
    <comment ref="C30" authorId="1" shapeId="0" xr:uid="{82A6B559-6600-4187-B1A5-5FC494B70D92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  <comment ref="B34" authorId="2" shapeId="0" xr:uid="{AAD343F7-59EF-4676-A566-A67447834EBB}">
      <text>
        <r>
          <rPr>
            <b/>
            <sz val="9"/>
            <color indexed="81"/>
            <rFont val="Tahoma"/>
            <family val="2"/>
          </rPr>
          <t>Buchanan, Cody:</t>
        </r>
        <r>
          <rPr>
            <sz val="9"/>
            <color indexed="81"/>
            <rFont val="Tahoma"/>
            <family val="2"/>
          </rPr>
          <t xml:space="preserve">
Changed on 2/1/19 as we identified Onward as the true fiscal agent.  SCYC is a program of Onward.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  <author>Rodriguez, Marti</author>
  </authors>
  <commentList>
    <comment ref="B29" authorId="0" shapeId="0" xr:uid="{EA7E3520-95DD-441B-B40E-5BB72135D423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M37" authorId="1" shapeId="0" xr:uid="{CC1BEADC-4F70-4F52-BF3A-AD28448BC827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Payment of $2,100.30 plus return of cashh on hand $8,027.97
</t>
        </r>
      </text>
    </comment>
    <comment ref="C54" authorId="0" shapeId="0" xr:uid="{8A0DAC38-191F-4BB8-AEE1-F246CD693A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  <author>Rodriguez, Marti</author>
  </authors>
  <commentList>
    <comment ref="B24" authorId="0" shapeId="0" xr:uid="{B2819127-20E8-4A25-963E-78E3F28772DA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C40" authorId="0" shapeId="0" xr:uid="{3B288579-CC8D-4001-9B89-1ACA4339ABD2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  <comment ref="K46" authorId="1" shapeId="0" xr:uid="{D8282834-919B-4C83-8F10-6D4E53B1E3AA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Payment of $2,100.30 plus return of cashh on hand $8,027.97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Mueller, Pam</author>
  </authors>
  <commentList>
    <comment ref="E13" authorId="0" shapeId="0" xr:uid="{D6F91D12-E858-4F85-AAF6-7128A18BABB7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
</t>
        </r>
      </text>
    </comment>
    <comment ref="E24" authorId="0" shapeId="0" xr:uid="{BBCE0749-401D-4FD5-852D-0A62F6864DEE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$52,992
</t>
        </r>
      </text>
    </comment>
    <comment ref="B28" authorId="1" shapeId="0" xr:uid="{F9F5123E-8564-4777-A697-72759A3C241B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E33" authorId="0" shapeId="0" xr:uid="{63A41429-41D3-458B-A240-5A14DD5D6481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$48,000</t>
        </r>
      </text>
    </comment>
    <comment ref="E34" authorId="0" shapeId="0" xr:uid="{021F15FB-DBA4-4472-ACCE-C85C28E19E75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$119,592
</t>
        </r>
      </text>
    </comment>
    <comment ref="C38" authorId="1" shapeId="0" xr:uid="{ED639817-356C-4485-B64C-FB3443F12823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Patrick</author>
  </authors>
  <commentList>
    <comment ref="J10" authorId="0" shapeId="0" xr:uid="{D1E61B3C-1054-4A98-96C6-4184E7B68FC6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670C 8985.99 671C 
1849.24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manager.  Once the Match PI form is received the document will be updated  mr
</t>
        </r>
      </text>
    </comment>
    <comment ref="E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Call into fiscal manager at Montrose to discuss Match PI reporting.  Followup will be included on worksheet once completed</t>
        </r>
      </text>
    </comment>
    <comment ref="E3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Fiscal Manager is updating the Match PI form. Once received worksheet will be updated mr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manager-will be submitting updated Match PI Forms and once received worksheet will be updated . Mr
</t>
        </r>
      </text>
    </comment>
    <comment ref="E1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APDC submitted a Match PI form that is not in the correct format.  Will update once received from the fiscal manager. Mr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Hambleton, Jennifer</author>
  </authors>
  <commentList>
    <comment ref="C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No new allocation in FY1718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Patrick</author>
  </authors>
  <commentList>
    <comment ref="P9" authorId="0" shapeId="0" xr:uid="{74CE9865-C120-4AA7-A5AA-C07E85BC23DF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refund from district 6 15 21 per CORE</t>
        </r>
      </text>
    </comment>
  </commentList>
</comments>
</file>

<file path=xl/sharedStrings.xml><?xml version="1.0" encoding="utf-8"?>
<sst xmlns="http://schemas.openxmlformats.org/spreadsheetml/2006/main" count="2944" uniqueCount="1045">
  <si>
    <t>Grant:</t>
  </si>
  <si>
    <t>GRANT NUMBER:</t>
  </si>
  <si>
    <t>FISCAL YEAR:</t>
  </si>
  <si>
    <t>0030</t>
  </si>
  <si>
    <t>0180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</si>
  <si>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</si>
  <si>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</si>
  <si>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</si>
  <si>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</si>
  <si>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</si>
  <si>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</si>
  <si>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</si>
  <si>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</si>
  <si>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Y711</t>
  </si>
  <si>
    <t>ALLOCATION</t>
  </si>
  <si>
    <t>PAYMENTS TO DATE</t>
  </si>
  <si>
    <t>BALANCE</t>
  </si>
  <si>
    <t>Question regarding payments:</t>
  </si>
  <si>
    <t xml:space="preserve">Questions regarding grant: </t>
  </si>
  <si>
    <t xml:space="preserve">Adult Education </t>
  </si>
  <si>
    <t>Marti Rodriguez  303-866-6769 or rodriguez_m@cde.state.co.us</t>
  </si>
  <si>
    <t>0020</t>
  </si>
  <si>
    <t>0120</t>
  </si>
  <si>
    <t>Summer Scholars</t>
  </si>
  <si>
    <t>McKinney-Vento Homeless</t>
  </si>
  <si>
    <t>Title II-B Math &amp; Science Partnerships</t>
  </si>
  <si>
    <t>Denver Public Schools</t>
  </si>
  <si>
    <t>3120</t>
  </si>
  <si>
    <t>1420</t>
  </si>
  <si>
    <t>Y006</t>
  </si>
  <si>
    <t>Y007</t>
  </si>
  <si>
    <t>Marti Rodriguez 303-866-6769 or rodriguez_m@cde.state.co.us</t>
  </si>
  <si>
    <t xml:space="preserve"> </t>
  </si>
  <si>
    <t>1510</t>
  </si>
  <si>
    <t>9035</t>
  </si>
  <si>
    <t>3080</t>
  </si>
  <si>
    <t>0870</t>
  </si>
  <si>
    <t>2020</t>
  </si>
  <si>
    <t>1560</t>
  </si>
  <si>
    <t>3130</t>
  </si>
  <si>
    <t>1828</t>
  </si>
  <si>
    <t>SCHOOL NAME</t>
  </si>
  <si>
    <t>DISTRICT NAME</t>
  </si>
  <si>
    <t>Evan Davis 303-866-6129 or davis_e@cde.state.co.us</t>
  </si>
  <si>
    <t>Totals</t>
  </si>
  <si>
    <t>Title V-B Charter School Grant Program C1</t>
  </si>
  <si>
    <t>0123</t>
  </si>
  <si>
    <t>0290</t>
  </si>
  <si>
    <t>0580</t>
  </si>
  <si>
    <t>0880</t>
  </si>
  <si>
    <t>1530</t>
  </si>
  <si>
    <t>1550</t>
  </si>
  <si>
    <t>8001</t>
  </si>
  <si>
    <t>Poudre School District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</si>
  <si>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</si>
  <si>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</si>
  <si>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</si>
  <si>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</si>
  <si>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</si>
  <si>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</si>
  <si>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</si>
  <si>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</si>
  <si>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</si>
  <si>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0010</t>
  </si>
  <si>
    <t>9050</t>
  </si>
  <si>
    <t>Y009</t>
  </si>
  <si>
    <t>Y646</t>
  </si>
  <si>
    <t>Y701</t>
  </si>
  <si>
    <t>Y705</t>
  </si>
  <si>
    <t>Y709</t>
  </si>
  <si>
    <t>Y815</t>
  </si>
  <si>
    <t>1010</t>
  </si>
  <si>
    <t>2180</t>
  </si>
  <si>
    <t>Colorado Mountain College</t>
  </si>
  <si>
    <t>Focus Points Family Resource Center</t>
  </si>
  <si>
    <t>Community College of Denver</t>
  </si>
  <si>
    <t>Adams 12 Five Star Schools</t>
  </si>
  <si>
    <t>Adams County School District 14</t>
  </si>
  <si>
    <t>Jefferson County School District R-1</t>
  </si>
  <si>
    <t>Thompson School District R2J</t>
  </si>
  <si>
    <t>2000</t>
  </si>
  <si>
    <t>Mesa County Valley School District #51</t>
  </si>
  <si>
    <t>Weld County School District 6</t>
  </si>
  <si>
    <t>Centennial Board of Cooperative Educational Services</t>
  </si>
  <si>
    <t>9055</t>
  </si>
  <si>
    <t>IEL CIVICS</t>
  </si>
  <si>
    <t>0900</t>
  </si>
  <si>
    <t>Douglas County School District</t>
  </si>
  <si>
    <t>Aurora Public Schools</t>
  </si>
  <si>
    <t>0990</t>
  </si>
  <si>
    <t>Y004</t>
  </si>
  <si>
    <t>Y861</t>
  </si>
  <si>
    <t>Wyatt Academy</t>
  </si>
  <si>
    <t>Y584</t>
  </si>
  <si>
    <t>Sheridan 2</t>
  </si>
  <si>
    <t>1110</t>
  </si>
  <si>
    <t>2580</t>
  </si>
  <si>
    <t>CARRYOVER</t>
  </si>
  <si>
    <t>2190</t>
  </si>
  <si>
    <t>1520</t>
  </si>
  <si>
    <t>1360</t>
  </si>
  <si>
    <t>1380</t>
  </si>
  <si>
    <t>2590</t>
  </si>
  <si>
    <t>2780</t>
  </si>
  <si>
    <t>2840</t>
  </si>
  <si>
    <t>3090</t>
  </si>
  <si>
    <t>3210</t>
  </si>
  <si>
    <t>Widefield School District 3</t>
  </si>
  <si>
    <t>Durango School District 9-R</t>
  </si>
  <si>
    <t>Wray School District RD-2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</si>
  <si>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</si>
  <si>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</si>
  <si>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</si>
  <si>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</si>
  <si>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</si>
  <si>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</si>
  <si>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</si>
  <si>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</si>
  <si>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</si>
  <si>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</si>
  <si>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</si>
  <si>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</si>
  <si>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>DECEMBER
2019</t>
  </si>
  <si>
    <t xml:space="preserve">Javits Gifted and Talented - Right 4 Rural </t>
  </si>
  <si>
    <t>DISTRICT/AGENCY NAME</t>
  </si>
  <si>
    <t>Y028</t>
  </si>
  <si>
    <t>Y031</t>
  </si>
  <si>
    <t>Migrant Student Information Exchange</t>
  </si>
  <si>
    <t>4144</t>
  </si>
  <si>
    <t>Y044</t>
  </si>
  <si>
    <t>DISTRICT CODE</t>
  </si>
  <si>
    <t>FISCAL AGENT</t>
  </si>
  <si>
    <t>TOTAL ALLOCATION</t>
  </si>
  <si>
    <t>Questions regarding payments:</t>
  </si>
  <si>
    <t>Title I-C Migrant</t>
  </si>
  <si>
    <t>SCHOOL CODE</t>
  </si>
  <si>
    <t>30xC</t>
  </si>
  <si>
    <t>GBL:</t>
  </si>
  <si>
    <t>27xC</t>
  </si>
  <si>
    <t xml:space="preserve">74xC </t>
  </si>
  <si>
    <t>21xC</t>
  </si>
  <si>
    <t>Multi-Tiered System of Supports</t>
  </si>
  <si>
    <t>32xG</t>
  </si>
  <si>
    <t>28xC</t>
  </si>
  <si>
    <t>CARRY FORWARD</t>
  </si>
  <si>
    <t>REVERT</t>
  </si>
  <si>
    <t>SUPPLEMENTAL</t>
  </si>
  <si>
    <t>Deaf and Blind Centers</t>
  </si>
  <si>
    <t>38xD</t>
  </si>
  <si>
    <t>2018-19</t>
  </si>
  <si>
    <t>OCTOBER
2019</t>
  </si>
  <si>
    <t>NOVEMBER
2019</t>
  </si>
  <si>
    <t>Boulder Valley School District RE-2</t>
  </si>
  <si>
    <t>School District No 1 In the City and County of Denver and State of Colorado</t>
  </si>
  <si>
    <t>Lake County School District R-1</t>
  </si>
  <si>
    <t>Asian Pacific Development Center of Colorado</t>
  </si>
  <si>
    <t>Colorado Charter School Institute</t>
  </si>
  <si>
    <t>21st Century Cohort 8</t>
  </si>
  <si>
    <t>BEST Instruction</t>
  </si>
  <si>
    <t>78xB</t>
  </si>
  <si>
    <t>5367</t>
  </si>
  <si>
    <t>1050</t>
  </si>
  <si>
    <t>1540</t>
  </si>
  <si>
    <t>2600</t>
  </si>
  <si>
    <t>Las Animas School District RE-1</t>
  </si>
  <si>
    <t>South Conejos School District RE-10</t>
  </si>
  <si>
    <t>Ellicott School District # 22</t>
  </si>
  <si>
    <t>Ignacio School District 11-JT</t>
  </si>
  <si>
    <t>Moffat County School District 1</t>
  </si>
  <si>
    <t>Platte Canyon School District No 1</t>
  </si>
  <si>
    <t>Multiple Sites</t>
  </si>
  <si>
    <t>AIM Global</t>
  </si>
  <si>
    <t>Guadalupe Elementary</t>
  </si>
  <si>
    <t>Ellicott Elementary School</t>
  </si>
  <si>
    <t>Ignacio High School</t>
  </si>
  <si>
    <t>Moffat County High School</t>
  </si>
  <si>
    <t>Platte Canyon High School</t>
  </si>
  <si>
    <t>TPAAK</t>
  </si>
  <si>
    <t>High Flyers</t>
  </si>
  <si>
    <t>70xH</t>
  </si>
  <si>
    <t>6010</t>
  </si>
  <si>
    <t>0980</t>
  </si>
  <si>
    <t>2770</t>
  </si>
  <si>
    <t>9175</t>
  </si>
  <si>
    <t>Harrison School District Two</t>
  </si>
  <si>
    <t>Steamboat Springs School District RE 2</t>
  </si>
  <si>
    <t>Colorado River BOCES</t>
  </si>
  <si>
    <t>2145</t>
  </si>
  <si>
    <t>2186</t>
  </si>
  <si>
    <t>Green Valley High School</t>
  </si>
  <si>
    <t>Byers Middle School</t>
  </si>
  <si>
    <t>Soaring Eagles Elementary</t>
  </si>
  <si>
    <t>Tavelli Elementary School</t>
  </si>
  <si>
    <t>Strawberry Park Elementary</t>
  </si>
  <si>
    <t>Yampah Mountain School</t>
  </si>
  <si>
    <t>Pam Mueller 303-866-6905 or mueller_pam@cde.state.co.us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</si>
  <si>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</si>
  <si>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</si>
  <si>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</si>
  <si>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</si>
  <si>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</si>
  <si>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</si>
  <si>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</si>
  <si>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</si>
  <si>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</si>
  <si>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Durango Education Center</t>
  </si>
  <si>
    <t>School District#1 in the City and County of Denver and State of Colorado DBA Emily Griffith Technical School</t>
  </si>
  <si>
    <t>Right to Read of Weld County Inc</t>
  </si>
  <si>
    <t>Colorado Springs School District 11</t>
  </si>
  <si>
    <t xml:space="preserve">Adams State University  </t>
  </si>
  <si>
    <t>0310</t>
  </si>
  <si>
    <t>1220</t>
  </si>
  <si>
    <t>1390</t>
  </si>
  <si>
    <t>1590</t>
  </si>
  <si>
    <t>1620</t>
  </si>
  <si>
    <t>2820</t>
  </si>
  <si>
    <t>Y061</t>
  </si>
  <si>
    <t>Y063</t>
  </si>
  <si>
    <t>Y064</t>
  </si>
  <si>
    <t>Y071</t>
  </si>
  <si>
    <t>Y081</t>
  </si>
  <si>
    <t>Mc Clave School District RE 2</t>
  </si>
  <si>
    <t>Garfield County School District 16</t>
  </si>
  <si>
    <t>Huerfano School District Number RE-1</t>
  </si>
  <si>
    <t>Primero Reorganized School District Number 2</t>
  </si>
  <si>
    <t>Aguilar School District RE-6</t>
  </si>
  <si>
    <t>Silverton School District 1</t>
  </si>
  <si>
    <t>Heart &amp; Hand Center</t>
  </si>
  <si>
    <t>High Valley Community Center, Inc.</t>
  </si>
  <si>
    <t>Riverside Educational Center</t>
  </si>
  <si>
    <t>0504</t>
  </si>
  <si>
    <t>0503</t>
  </si>
  <si>
    <t>0464</t>
  </si>
  <si>
    <t>4496</t>
  </si>
  <si>
    <t>0520</t>
  </si>
  <si>
    <t>0040</t>
  </si>
  <si>
    <t>9212</t>
  </si>
  <si>
    <t>0108</t>
  </si>
  <si>
    <t>0109</t>
  </si>
  <si>
    <t>9486</t>
  </si>
  <si>
    <t>0612</t>
  </si>
  <si>
    <t>0054</t>
  </si>
  <si>
    <t>Justice High Charter School</t>
  </si>
  <si>
    <t>Vega Collegiate Academy</t>
  </si>
  <si>
    <t>San Luis Valley Combined Educators</t>
  </si>
  <si>
    <t>Y066</t>
  </si>
  <si>
    <t>Y027</t>
  </si>
  <si>
    <t xml:space="preserve">Colorado Northwestern Community College </t>
  </si>
  <si>
    <t>6914</t>
  </si>
  <si>
    <t>0860</t>
  </si>
  <si>
    <t>2740</t>
  </si>
  <si>
    <t>2810</t>
  </si>
  <si>
    <t>3000</t>
  </si>
  <si>
    <t>Brighton School District 27J</t>
  </si>
  <si>
    <t>Custer County Consolidated C 1 School District</t>
  </si>
  <si>
    <t>Delta County Joint School District No. 50</t>
  </si>
  <si>
    <t>Gunnison Watershed School District</t>
  </si>
  <si>
    <t>Hinsdale County RE-1 School District</t>
  </si>
  <si>
    <t>Laplata County School District 10 JT R.</t>
  </si>
  <si>
    <t>West End School District RE 2</t>
  </si>
  <si>
    <t>Ouray School District R-1</t>
  </si>
  <si>
    <t>Ouray County R-2 School District</t>
  </si>
  <si>
    <t>Monte Vista School District 8</t>
  </si>
  <si>
    <t>South Routt Re-3 School District</t>
  </si>
  <si>
    <t>Center Consolidated School District 26 Jt</t>
  </si>
  <si>
    <t>Norwood School District R2JT</t>
  </si>
  <si>
    <t>Summit School District RE 1</t>
  </si>
  <si>
    <t>Weld County School District RE-3J</t>
  </si>
  <si>
    <t>San Juan Board of Cooperative Services</t>
  </si>
  <si>
    <t xml:space="preserve">Total </t>
  </si>
  <si>
    <t>CDC Improving Student Health</t>
  </si>
  <si>
    <t>25xD</t>
  </si>
  <si>
    <t>7981</t>
  </si>
  <si>
    <t>Englewood 1</t>
  </si>
  <si>
    <t>Lake County RE - 1</t>
  </si>
  <si>
    <t>Valley RE - 1</t>
  </si>
  <si>
    <t>Weld County RE - 1</t>
  </si>
  <si>
    <t>Platte Valley RE - 7</t>
  </si>
  <si>
    <t>Title III PD</t>
  </si>
  <si>
    <t>The Cube School</t>
  </si>
  <si>
    <t>Ascent Classical Academy of Douglas County</t>
  </si>
  <si>
    <t>AXIS</t>
  </si>
  <si>
    <t>2055</t>
  </si>
  <si>
    <t>Dolores Re-4 School District</t>
  </si>
  <si>
    <t>Y941</t>
  </si>
  <si>
    <t>Center Viking Youth Club</t>
  </si>
  <si>
    <t>Pueblo School District 70</t>
  </si>
  <si>
    <t>Boulder Valley School District Re-2</t>
  </si>
  <si>
    <t>Montrose County School District RE-1J</t>
  </si>
  <si>
    <t>Pikes Peak Library District Foundation</t>
  </si>
  <si>
    <t>Community Educational Outreach</t>
  </si>
  <si>
    <t>SEL Tutoring</t>
  </si>
  <si>
    <t>Learning Source, The</t>
  </si>
  <si>
    <t>Spring Institute for Intercultural Learning, The</t>
  </si>
  <si>
    <t>Center for Relationship Education, The</t>
  </si>
  <si>
    <t>Carry Forward</t>
  </si>
  <si>
    <t>Revert</t>
  </si>
  <si>
    <t>Coperni 3</t>
  </si>
  <si>
    <t>2700</t>
  </si>
  <si>
    <t>Pueblo School District #70</t>
  </si>
  <si>
    <t>Empower Community HS</t>
  </si>
  <si>
    <t>0130</t>
  </si>
  <si>
    <t>Cherry Creek School District #5</t>
  </si>
  <si>
    <t>Colorado Skies Academy</t>
  </si>
  <si>
    <t>0890</t>
  </si>
  <si>
    <t>Dolores County School District</t>
  </si>
  <si>
    <t>ADAMS-ARAPAHOE 28J</t>
  </si>
  <si>
    <t>3140</t>
  </si>
  <si>
    <t>WELD COUNTY S/D RE-8</t>
  </si>
  <si>
    <t>0079</t>
  </si>
  <si>
    <t>9084</t>
  </si>
  <si>
    <t>2019-20</t>
  </si>
  <si>
    <t>JUNE
220</t>
  </si>
  <si>
    <t>OCTOBER
2020</t>
  </si>
  <si>
    <t>NOVEMBER
2020</t>
  </si>
  <si>
    <t>Joe Shields, (303) 866-6034, shields_j@cde.state.co.us</t>
  </si>
  <si>
    <t>Marti Rodriguez, (303) 866-6769, rodriguez_m@cde.state.co.us</t>
  </si>
  <si>
    <t>ALLOCATION APPROVED</t>
  </si>
  <si>
    <t>DPS DBA Emily Griffith TC</t>
  </si>
  <si>
    <t>Mapleton 1</t>
  </si>
  <si>
    <t>Adams 12</t>
  </si>
  <si>
    <t>Westminster SD</t>
  </si>
  <si>
    <t>Englewood Sd</t>
  </si>
  <si>
    <t>Sheridan SD</t>
  </si>
  <si>
    <t>St. Vrain Valley SD</t>
  </si>
  <si>
    <t>Fountain 8</t>
  </si>
  <si>
    <t>Lake County SD</t>
  </si>
  <si>
    <t>Thompson SD</t>
  </si>
  <si>
    <t>Mesa 51</t>
  </si>
  <si>
    <t>Greeley 6</t>
  </si>
  <si>
    <t>CBOCES</t>
  </si>
  <si>
    <t>SLV BOCES</t>
  </si>
  <si>
    <t>Steven Kaleda, (303) 866-6724, kaleda_s@cde.state.co.us</t>
  </si>
  <si>
    <t>Colorado Multi-Tiered Behavioral Framework: School Climate Grant</t>
  </si>
  <si>
    <t>269C</t>
  </si>
  <si>
    <t>6287</t>
  </si>
  <si>
    <t>22xF &amp; 22xG</t>
  </si>
  <si>
    <t xml:space="preserve">Match and Program Income </t>
  </si>
  <si>
    <t>MATCH REQUIREMENT</t>
  </si>
  <si>
    <t xml:space="preserve"> MATCH DECEMBER
2019</t>
  </si>
  <si>
    <t>PROGRAM INCOME DECEMBER 2019</t>
  </si>
  <si>
    <t>PROGRAM INCOME FEBRUARY 2019</t>
  </si>
  <si>
    <t>PROGRAM INCOME MARCH 2019</t>
  </si>
  <si>
    <t>PROGRAM INCOME APRIL 2019</t>
  </si>
  <si>
    <t>PROGRAM INCOME MAY 2019</t>
  </si>
  <si>
    <t>PROGRAM INCOME JUNE 2019</t>
  </si>
  <si>
    <t>PROGRAM INCOME JULY 2019</t>
  </si>
  <si>
    <t>MATCH AND PROGRAM INCOME</t>
  </si>
  <si>
    <t>MATCH JANUARY
2020</t>
  </si>
  <si>
    <t>MATCH FEBRUARY
2020</t>
  </si>
  <si>
    <t>MATCH MARCH
2020</t>
  </si>
  <si>
    <t>MATCH APRIL
2020</t>
  </si>
  <si>
    <t>MATCH MAY
2020</t>
  </si>
  <si>
    <t>MATCH JUNE
220</t>
  </si>
  <si>
    <t>MATCH JULY
2020</t>
  </si>
  <si>
    <t>MATCH AUGUST
2020</t>
  </si>
  <si>
    <t>MATCH SEPTEMBER
2020</t>
  </si>
  <si>
    <t>PROGRAM INCOME (PI) REQUIREMENT</t>
  </si>
  <si>
    <t>PI DECEMBER 2019</t>
  </si>
  <si>
    <t>REQUIRED MATCH BALANCE</t>
  </si>
  <si>
    <t>REQUIRED PI BALANCE</t>
  </si>
  <si>
    <t>Community College of Aurora</t>
  </si>
  <si>
    <t>TSJC</t>
  </si>
  <si>
    <t>Mesa County Public Library FDN</t>
  </si>
  <si>
    <t>Boys and Girls Club-Pueblo County</t>
  </si>
  <si>
    <t>Y074</t>
  </si>
  <si>
    <t>Colorado Volunteers in Juvenile &amp; Criminal Justice</t>
  </si>
  <si>
    <t>PI JANUARY 2019</t>
  </si>
  <si>
    <t>REQUIRED PI JANUARY 2019</t>
  </si>
  <si>
    <t>2199</t>
  </si>
  <si>
    <t>0493</t>
  </si>
  <si>
    <t>0188</t>
  </si>
  <si>
    <t>1371</t>
  </si>
  <si>
    <t>DECEMBER
2020</t>
  </si>
  <si>
    <t>Question regarding payments or grant:</t>
  </si>
  <si>
    <t>Questions regarding payments/grants:</t>
  </si>
  <si>
    <t>Question regarding payments/grant:</t>
  </si>
  <si>
    <t>319H</t>
  </si>
  <si>
    <t>Villa Bella Charter School</t>
  </si>
  <si>
    <t>Boys and Girls Club - Fremont</t>
  </si>
  <si>
    <t>Y076</t>
  </si>
  <si>
    <t>Young Men's Christian Association of Metropolitan Denver, The</t>
  </si>
  <si>
    <t>2654</t>
  </si>
  <si>
    <t>Title V-B Charter School Grant Program 2020</t>
  </si>
  <si>
    <t>44xH</t>
  </si>
  <si>
    <t>0149</t>
  </si>
  <si>
    <t>Colorado Early Colleges Fort Collins West</t>
  </si>
  <si>
    <t>1387</t>
  </si>
  <si>
    <t>Colorado Early Colleges Windsor</t>
  </si>
  <si>
    <t>1005</t>
  </si>
  <si>
    <t>Ascent Classical Academy Northern Colorado</t>
  </si>
  <si>
    <t>0369</t>
  </si>
  <si>
    <t>Atlas Preparatory Middle School</t>
  </si>
  <si>
    <t>American Indian Academy of Denver</t>
  </si>
  <si>
    <t>3306</t>
  </si>
  <si>
    <t>Gardner Elementary School</t>
  </si>
  <si>
    <t>1080</t>
  </si>
  <si>
    <t>Lewis-Palmer School District No. 38</t>
  </si>
  <si>
    <t>5093</t>
  </si>
  <si>
    <t>Monument Charter Academy</t>
  </si>
  <si>
    <t>Colorado Multi-Tiered Behavioral Framework: Mini-Grant</t>
  </si>
  <si>
    <t>2020-21</t>
  </si>
  <si>
    <t>JANUARY
2021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</si>
  <si>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</si>
  <si>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</si>
  <si>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</si>
  <si>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</si>
  <si>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</si>
  <si>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</si>
  <si>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</si>
  <si>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</si>
  <si>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</si>
  <si>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NOVEMBER
2021</t>
  </si>
  <si>
    <t>FY20-21</t>
  </si>
  <si>
    <t>Grant Awardeed - October 1 through September 30th</t>
  </si>
  <si>
    <t>Patrick Mueller, (303) 866-6879, mueller_p@cde.state.co.us</t>
  </si>
  <si>
    <t>DECEMBER
2021</t>
  </si>
  <si>
    <t>Approved Carryover</t>
  </si>
  <si>
    <t>Total Available</t>
  </si>
  <si>
    <t>Arriba-Flagler CSD #20</t>
  </si>
  <si>
    <t>3110</t>
  </si>
  <si>
    <t>Weld County School District RE-5J</t>
  </si>
  <si>
    <t>1030</t>
  </si>
  <si>
    <t>Manitou Springs School District 14</t>
  </si>
  <si>
    <t>1350</t>
  </si>
  <si>
    <t>East Grand School District #2 (Inc)</t>
  </si>
  <si>
    <t>2035</t>
  </si>
  <si>
    <t>Montezuma-Cortez Sch Dist RE 1</t>
  </si>
  <si>
    <t>2570</t>
  </si>
  <si>
    <t>Swink School District 33</t>
  </si>
  <si>
    <t>Grant Period:</t>
  </si>
  <si>
    <r>
      <t>26</t>
    </r>
    <r>
      <rPr>
        <sz val="16"/>
        <color theme="1"/>
        <rFont val="Calibri"/>
        <family val="2"/>
        <scheme val="minor"/>
      </rPr>
      <t>0</t>
    </r>
    <r>
      <rPr>
        <b/>
        <sz val="16"/>
        <color theme="1"/>
        <rFont val="Calibri"/>
        <family val="2"/>
        <scheme val="minor"/>
      </rPr>
      <t>C</t>
    </r>
  </si>
  <si>
    <t>Falcon 49</t>
  </si>
  <si>
    <t>Title V-B Charter School Grant Program Remote Learning Grant</t>
  </si>
  <si>
    <t>Joint School District No. 28-J of the Counties of Adams and Arapahoe (formerly Aurora Public Schools)</t>
  </si>
  <si>
    <t>0220</t>
  </si>
  <si>
    <t>Archuleta School Dist 50 Joint</t>
  </si>
  <si>
    <t>0540</t>
  </si>
  <si>
    <t>Clear Creek School District #RE1</t>
  </si>
  <si>
    <t>1020</t>
  </si>
  <si>
    <t>El Paso County School District 12</t>
  </si>
  <si>
    <t>2690</t>
  </si>
  <si>
    <t>Pueblo School District No. 60</t>
  </si>
  <si>
    <t>0126</t>
  </si>
  <si>
    <t>9053</t>
  </si>
  <si>
    <t>6679</t>
  </si>
  <si>
    <t>0934</t>
  </si>
  <si>
    <t>3385</t>
  </si>
  <si>
    <t>1561</t>
  </si>
  <si>
    <t>1748</t>
  </si>
  <si>
    <t>1939</t>
  </si>
  <si>
    <t>4494</t>
  </si>
  <si>
    <t>2175</t>
  </si>
  <si>
    <t>2223</t>
  </si>
  <si>
    <t>2244</t>
  </si>
  <si>
    <t>4381</t>
  </si>
  <si>
    <t>2181</t>
  </si>
  <si>
    <t>2116</t>
  </si>
  <si>
    <t>3540</t>
  </si>
  <si>
    <t>4049</t>
  </si>
  <si>
    <t>3987</t>
  </si>
  <si>
    <t>7361</t>
  </si>
  <si>
    <t>7471</t>
  </si>
  <si>
    <t>8053</t>
  </si>
  <si>
    <t>8085</t>
  </si>
  <si>
    <t>9390</t>
  </si>
  <si>
    <t>9735</t>
  </si>
  <si>
    <t>9639</t>
  </si>
  <si>
    <t>9336</t>
  </si>
  <si>
    <t>9389</t>
  </si>
  <si>
    <t>9739</t>
  </si>
  <si>
    <t>9397</t>
  </si>
  <si>
    <t>0469</t>
  </si>
  <si>
    <t>9057</t>
  </si>
  <si>
    <t>9051</t>
  </si>
  <si>
    <t>1582</t>
  </si>
  <si>
    <t>2189</t>
  </si>
  <si>
    <t>3691</t>
  </si>
  <si>
    <t>4402</t>
  </si>
  <si>
    <t>4410</t>
  </si>
  <si>
    <t>7462</t>
  </si>
  <si>
    <t>4384</t>
  </si>
  <si>
    <t>5917</t>
  </si>
  <si>
    <t>6718</t>
  </si>
  <si>
    <t>6775</t>
  </si>
  <si>
    <t>8467</t>
  </si>
  <si>
    <t>1633</t>
  </si>
  <si>
    <t>1505</t>
  </si>
  <si>
    <t>1882</t>
  </si>
  <si>
    <t>5431</t>
  </si>
  <si>
    <t>2837</t>
  </si>
  <si>
    <t>5147</t>
  </si>
  <si>
    <t>5423</t>
  </si>
  <si>
    <t>6219</t>
  </si>
  <si>
    <t>6266</t>
  </si>
  <si>
    <t>7278</t>
  </si>
  <si>
    <t>9037</t>
  </si>
  <si>
    <t>9040</t>
  </si>
  <si>
    <t>New America School - Thornton</t>
  </si>
  <si>
    <t>Academy Of Advanced Learning</t>
  </si>
  <si>
    <t>Pagosa Peak Open School</t>
  </si>
  <si>
    <t>Boulder Prep Charter High School</t>
  </si>
  <si>
    <t>Georgetown Community School</t>
  </si>
  <si>
    <t>Colorado High School Charter</t>
  </si>
  <si>
    <t>Compass Academy</t>
  </si>
  <si>
    <t>Denver Justice High School</t>
  </si>
  <si>
    <t>DSST: Cole High School</t>
  </si>
  <si>
    <t>DSST: Cole Middle School</t>
  </si>
  <si>
    <t>DSST: College View High School</t>
  </si>
  <si>
    <t>DSST: College View Middle School</t>
  </si>
  <si>
    <t>DSST: Green Valley Ranch Middle School</t>
  </si>
  <si>
    <t>DSST: Henry Middle School</t>
  </si>
  <si>
    <t>Girls Athletic Leadership School High School</t>
  </si>
  <si>
    <t>Highline Academy Northeast</t>
  </si>
  <si>
    <t>Highline Academy Southeast</t>
  </si>
  <si>
    <t>Riseup Community School</t>
  </si>
  <si>
    <t>Soar At Green Valley Ranch</t>
  </si>
  <si>
    <t>Strive Prep - Federal</t>
  </si>
  <si>
    <t>Strive Prep - Lake</t>
  </si>
  <si>
    <t>Strive Prep - Montbello</t>
  </si>
  <si>
    <t>Strive Prep - Smart Academy</t>
  </si>
  <si>
    <t>Strive Prep - Sunnyside</t>
  </si>
  <si>
    <t>Strive Prep - Westwood</t>
  </si>
  <si>
    <t>World  Compass Academy</t>
  </si>
  <si>
    <t>Atlas Preparatory High School</t>
  </si>
  <si>
    <t>The Vanguard School (High)</t>
  </si>
  <si>
    <t>The Vanguard School (Middle)</t>
  </si>
  <si>
    <t>The Vanguard School (Elementary)</t>
  </si>
  <si>
    <t>Doral Academy Of Colorado</t>
  </si>
  <si>
    <t>Great Work Montessori</t>
  </si>
  <si>
    <t>Jefferson Academy</t>
  </si>
  <si>
    <t>Jefferson Academy Elementary</t>
  </si>
  <si>
    <t>Jefferson Academy High School</t>
  </si>
  <si>
    <t>New America School</t>
  </si>
  <si>
    <t>Rocky Mountain Academy Of Evergreen</t>
  </si>
  <si>
    <t>The Juniper School</t>
  </si>
  <si>
    <t>Mountain Sage Community School</t>
  </si>
  <si>
    <t>Paradox Valley Charter School</t>
  </si>
  <si>
    <t>Pueblo Sch. For Arts &amp; Sciences At Fulton Heights</t>
  </si>
  <si>
    <t>Salida Del Sol Academy</t>
  </si>
  <si>
    <t>Colorado Early Colleges Aurora</t>
  </si>
  <si>
    <t>Colorado Military Academy</t>
  </si>
  <si>
    <t>Community Leadership Academy</t>
  </si>
  <si>
    <t>Coperni 2</t>
  </si>
  <si>
    <t>Early College Of Arvada</t>
  </si>
  <si>
    <t>Launch High School</t>
  </si>
  <si>
    <t>Mountain Village Montessori Charter School</t>
  </si>
  <si>
    <t>New America School - Lowry</t>
  </si>
  <si>
    <t>New Legacy Charter School</t>
  </si>
  <si>
    <t>Ricardo Flores Magon Academy</t>
  </si>
  <si>
    <t>The Pinnacle Charter School</t>
  </si>
  <si>
    <t>Victory Preparatory Academy High State Charter School</t>
  </si>
  <si>
    <t>Victory Preparatory Academy Middle State Charter School</t>
  </si>
  <si>
    <t>Colo High School Charter - GES</t>
  </si>
  <si>
    <t>Littleton Public School</t>
  </si>
  <si>
    <t>Project Aware</t>
  </si>
  <si>
    <t>651D</t>
  </si>
  <si>
    <t>FUNDING PERIOD:</t>
  </si>
  <si>
    <t>Archuleta 50 JT SD</t>
  </si>
  <si>
    <t>Colorado Springs 11</t>
  </si>
  <si>
    <t>Ignacio SD 11JT</t>
  </si>
  <si>
    <t>447R</t>
  </si>
  <si>
    <t>447C</t>
  </si>
  <si>
    <t>7233</t>
  </si>
  <si>
    <t>1345</t>
  </si>
  <si>
    <t>Rocky Mountain Prep: Creekside ADD</t>
  </si>
  <si>
    <t>Rocky Mountain Prep: Berkeley ADD</t>
  </si>
  <si>
    <t>Rocky Mountain Prep: Southwest CHANGE AMT</t>
  </si>
  <si>
    <t>Rocky Mountain Prep Fletcher ADD</t>
  </si>
  <si>
    <t>1652</t>
  </si>
  <si>
    <t>2918</t>
  </si>
  <si>
    <t>Robert Hawkins: hawkins_r@cde.state.co.us</t>
  </si>
  <si>
    <t>GFRFF@cde.state.co.us</t>
  </si>
  <si>
    <t>Y221</t>
  </si>
  <si>
    <t>yes</t>
  </si>
  <si>
    <t>6400</t>
  </si>
  <si>
    <t>The STEAD School</t>
  </si>
  <si>
    <t>Brighton Schools 27J</t>
  </si>
  <si>
    <t>Pioneer Technology and Arts Academy</t>
  </si>
  <si>
    <t>1275</t>
  </si>
  <si>
    <t>1795</t>
  </si>
  <si>
    <t>1995</t>
  </si>
  <si>
    <t>5313</t>
  </si>
  <si>
    <t>French American School of Denver</t>
  </si>
  <si>
    <t>Colorado Early Colleges Colorado Springs Middle School</t>
  </si>
  <si>
    <t>Kwiyagat Community School</t>
  </si>
  <si>
    <t>WeldCo RE-5J (Johnstown-Milliken)</t>
  </si>
  <si>
    <t>CIVICA Colorado</t>
  </si>
  <si>
    <t>6226</t>
  </si>
  <si>
    <t xml:space="preserve">Title V -SRAE </t>
  </si>
  <si>
    <t>CARRYOVER FROM 1920</t>
  </si>
  <si>
    <t>6237</t>
  </si>
  <si>
    <t>U282A150018-16</t>
  </si>
  <si>
    <t>School</t>
  </si>
  <si>
    <t>Remote Learning</t>
  </si>
  <si>
    <t>FY2021</t>
  </si>
  <si>
    <t>4404</t>
  </si>
  <si>
    <t>2994</t>
  </si>
  <si>
    <t>Allocation</t>
  </si>
  <si>
    <t>Carryover</t>
  </si>
  <si>
    <t>Award</t>
  </si>
  <si>
    <t>FAIN</t>
  </si>
  <si>
    <t>Input_No</t>
  </si>
  <si>
    <t>Input_Type</t>
  </si>
  <si>
    <t>Short_Grant_Name</t>
  </si>
  <si>
    <t>FY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</si>
  <si>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</si>
  <si>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</si>
  <si>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</si>
  <si>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</si>
  <si>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</si>
  <si>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</si>
  <si>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</si>
  <si>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</si>
  <si>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</si>
  <si>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 xml:space="preserve">CARRYOVER </t>
  </si>
  <si>
    <t>2021-2022</t>
  </si>
  <si>
    <t>FY21-22</t>
  </si>
  <si>
    <t>2021-22</t>
  </si>
  <si>
    <t>OCTOBER
2022</t>
  </si>
  <si>
    <t>NOVEMBER
2022</t>
  </si>
  <si>
    <t>Boys &amp; Girls Clubs of Larimer County</t>
  </si>
  <si>
    <t>Boy's and Girl's Clubs of Metro Denver</t>
  </si>
  <si>
    <t>Boys Girls Club of Pueblo County</t>
  </si>
  <si>
    <t>Colorado Aerolab, Inc</t>
  </si>
  <si>
    <t>Englewood School District #1</t>
  </si>
  <si>
    <t>Mapleton Public Schools</t>
  </si>
  <si>
    <t>Onward A Legacy Foundation</t>
  </si>
  <si>
    <t>FEDERAL HEIGHTS ELEMENTARY SCHOOL</t>
  </si>
  <si>
    <t>MC ELWAIN ELEMENTARY SCHOOL</t>
  </si>
  <si>
    <t>ROCKY MOUNTAIN ELEMENTARY SCHOOL</t>
  </si>
  <si>
    <t>AURORA HILLS MIDDLE SCHOOL</t>
  </si>
  <si>
    <t>KENTON ELEMENTARY SCHOOL</t>
  </si>
  <si>
    <t>JUSTICE HIGH CHARTER SCHOOL</t>
  </si>
  <si>
    <t>MONROE ELEMENTARY SCHOOL</t>
  </si>
  <si>
    <t>TRUSCOTT ELEMENTARY SCHOOL</t>
  </si>
  <si>
    <t>BEACH COURT ELEMENTARY SCHOOL</t>
  </si>
  <si>
    <t>KIPP NORTHEAST DENVER MIDDLE SCHOOL</t>
  </si>
  <si>
    <t>HIDDEN LAKE HIGH SCHOOL</t>
  </si>
  <si>
    <t>IRVING ELEMENTARY SCHOOL</t>
  </si>
  <si>
    <t>RISLEY INTERNATIONAL ACADEMY OF INNOVATION</t>
  </si>
  <si>
    <t>WEST GRAND ELEMENTARY  AND MIDDLE SCHOOL</t>
  </si>
  <si>
    <t>NEW AMERICA SCHOOL - THORNTON</t>
  </si>
  <si>
    <t>THE PINNACLE CHARTER SCHOOL</t>
  </si>
  <si>
    <t>VEGA COLLEGIATE ACADEMY</t>
  </si>
  <si>
    <t>BARNUM ELEMENTARY SCHOOL</t>
  </si>
  <si>
    <t>DENVER CENTER FOR INTERNATIONAL STUDIES AT FAIRMONT</t>
  </si>
  <si>
    <t>ELLIS ELEMENTARY SCHOOL</t>
  </si>
  <si>
    <t>HALLETT ACADEMY</t>
  </si>
  <si>
    <t>RIDGE VIEW ACADEMY CHARTER SCHOOL</t>
  </si>
  <si>
    <t>CLAYTON ELEMENTARY SCHOOL</t>
  </si>
  <si>
    <t>BELLA ROMERO ACADEMY OF APPLIED TECHNOLOGY</t>
  </si>
  <si>
    <t>HEATH MIDDLE SCHOOL</t>
  </si>
  <si>
    <t>JEFFERSON JUNIOR/SENIOR HIGH</t>
  </si>
  <si>
    <t>MARTINEZ ELEMENTARY SCHOOL</t>
  </si>
  <si>
    <t>SMITH ELEMENTARY SCHOOL</t>
  </si>
  <si>
    <t>DEL NORTE HIGH JR./SR. HIGH SCHOOL</t>
  </si>
  <si>
    <t>JOHN MALL HIGH SCHOOL</t>
  </si>
  <si>
    <t>ALAMEDA INTERNATIONAL JUNIOR/SENIOR HIGH SCHOOL</t>
  </si>
  <si>
    <t>ARVADA K-8</t>
  </si>
  <si>
    <t>WESTPARK ELEMENTARY SCHOOL</t>
  </si>
  <si>
    <t>WELBY COMMUNITY SCHOOL</t>
  </si>
  <si>
    <t>YORK INTERNATIONAL</t>
  </si>
  <si>
    <t>MONTEZUMA-CORTEZ HIGH SCHOOL</t>
  </si>
  <si>
    <t>SOUTHWEST OPEN CHARTER SCHOOL</t>
  </si>
  <si>
    <t>BAUDER ELEMENTARY SCHOOL</t>
  </si>
  <si>
    <t>BEATTIE ELEMENTARY SCHOOL</t>
  </si>
  <si>
    <t>BOOKCLIFF MIDDLE SCHOOL</t>
  </si>
  <si>
    <t>MOUNT GARFIELD MIDDLE SCHOOL</t>
  </si>
  <si>
    <t>ORCHARD MESA MIDDLE SCHOOL</t>
  </si>
  <si>
    <t>SILVERTON ELEMENTARY SCHOOL</t>
  </si>
  <si>
    <t>SILVERTON HIGH SCHOOL</t>
  </si>
  <si>
    <t>ASHLEY ELEMENTARY SCHOOL</t>
  </si>
  <si>
    <t>HARRIS PARK ELEMENTARY SCHOOL</t>
  </si>
  <si>
    <t>MESA ELEMENTARY SCHOOL</t>
  </si>
  <si>
    <t>5706</t>
  </si>
  <si>
    <t>2582</t>
  </si>
  <si>
    <t>4646</t>
  </si>
  <si>
    <t>0650</t>
  </si>
  <si>
    <t>4507</t>
  </si>
  <si>
    <t>3931</t>
  </si>
  <si>
    <t>4302</t>
  </si>
  <si>
    <t>4376</t>
  </si>
  <si>
    <t>9422</t>
  </si>
  <si>
    <t>4699</t>
  </si>
  <si>
    <t>2129</t>
  </si>
  <si>
    <t>2652</t>
  </si>
  <si>
    <t>4782</t>
  </si>
  <si>
    <t>3880</t>
  </si>
  <si>
    <t>4425</t>
  </si>
  <si>
    <t>5610</t>
  </si>
  <si>
    <t>8006</t>
  </si>
  <si>
    <t>2150</t>
  </si>
  <si>
    <t>8834</t>
  </si>
  <si>
    <t>6026</t>
  </si>
  <si>
    <t>8133</t>
  </si>
  <si>
    <t>0678</t>
  </si>
  <si>
    <t>6166</t>
  </si>
  <si>
    <t>6562</t>
  </si>
  <si>
    <t>7900</t>
  </si>
  <si>
    <t>7904</t>
  </si>
  <si>
    <t>0418</t>
  </si>
  <si>
    <t>3792</t>
  </si>
  <si>
    <t>21st Century Cohort 9</t>
  </si>
  <si>
    <t>7287</t>
  </si>
  <si>
    <t>Boys &amp; Girls Clubs of San Luis Valley</t>
  </si>
  <si>
    <t>Fremont RE-1 School District</t>
  </si>
  <si>
    <t>Clear Creek School District # RE1</t>
  </si>
  <si>
    <t>Teller County School District 1</t>
  </si>
  <si>
    <t>Wiggins School District</t>
  </si>
  <si>
    <t>Y084</t>
  </si>
  <si>
    <t>Y085</t>
  </si>
  <si>
    <t>Y086</t>
  </si>
  <si>
    <t>HINKLEY HIGH SCHOOL</t>
  </si>
  <si>
    <t>EMERALD ELEMENTARY SCHOOL</t>
  </si>
  <si>
    <t>ALICIA SANCHEZ INTERNATIONAL SCHOOL</t>
  </si>
  <si>
    <t>COLE ARTS AND SCIENCE ACADEMY</t>
  </si>
  <si>
    <t>CENTRAL HIGH SCHOOL</t>
  </si>
  <si>
    <t>MINNEQUA ELEMENTARY SCHOOL</t>
  </si>
  <si>
    <t>CHAVEZ/HUERTA K-12 PREPARATORY ACADEMY</t>
  </si>
  <si>
    <t>GUADALUPE ELEMENTARY SCHOOL</t>
  </si>
  <si>
    <t>SIERRA GRANDE K-12 SCHOOL</t>
  </si>
  <si>
    <t>HASKIN ELEMENTARY SCHOOL</t>
  </si>
  <si>
    <t>MCKINLEY ELEMENTARY SCHOOL</t>
  </si>
  <si>
    <t>CANON CITY MIDDLE SCHOOL</t>
  </si>
  <si>
    <t>CARLSON ELEMENTARY SCHOOL</t>
  </si>
  <si>
    <t>KING-MURPHY ELEMENTARY SCHOOL</t>
  </si>
  <si>
    <t>CLEAR CREEK MIDDLE SCHOOL</t>
  </si>
  <si>
    <t>Kit Carson School Dist R-1</t>
  </si>
  <si>
    <t>EADS RE-1</t>
  </si>
  <si>
    <t>CRIPPLE CREEK-VICTOR JUNIOR-SENIOR HIGH SCHOOL</t>
  </si>
  <si>
    <t>CRESSON ELEMENTARY SCHOOL</t>
  </si>
  <si>
    <t>EARLY COLLEGE OF ARVADA</t>
  </si>
  <si>
    <t>DR. MARTIN LUTHER KING JR. EARLY COLLEGE</t>
  </si>
  <si>
    <t>TRAYLOR ACADEMY</t>
  </si>
  <si>
    <t>VALVERDE ELEMENTARY SCHOOL</t>
  </si>
  <si>
    <t>DOS RIOS ELEMENTARY SCHOOL</t>
  </si>
  <si>
    <t>HEIMAN ELEMENTARY SCHOOL</t>
  </si>
  <si>
    <t>SCOTT ELEMENTARY SCHOOL</t>
  </si>
  <si>
    <t>SALIDA DEL SOL ACADEMY</t>
  </si>
  <si>
    <t>GREELEY WEST HIGH SCHOOL</t>
  </si>
  <si>
    <t>PEAK EXPEDITIONARY - PENNINGTON</t>
  </si>
  <si>
    <t>LAKE COUNTY INTERMEDIATE SCHOOL</t>
  </si>
  <si>
    <t>LAKE COUNTY HIGH SCHOOL</t>
  </si>
  <si>
    <t>IRISH ELEMENTARY SCHOOL</t>
  </si>
  <si>
    <t>PARK LANE ELEMENTARY SCHOOL</t>
  </si>
  <si>
    <t>FARRELL B. HOWELL ECE-8 SCHOOL</t>
  </si>
  <si>
    <t>FLORIDA PITT-WALLER ECE-8 SCHOOL</t>
  </si>
  <si>
    <t>ALICE TERRY ELEMENTARY SCHOOL</t>
  </si>
  <si>
    <t>MILLIKEN ELEMENTARY SCHOOL</t>
  </si>
  <si>
    <t>WIGGINS ELEMENTARY SCHOOL</t>
  </si>
  <si>
    <t>WIGGINS MIDDLE SCHOOL</t>
  </si>
  <si>
    <t>SWANSEA ELEMENTARY SCHOOL</t>
  </si>
  <si>
    <t>EASTRIDGE COMMUNITY ELEMENTARY SCHOOL</t>
  </si>
  <si>
    <t>HIGHLINE COMMUNITY ELEMENTARY SCHOOL</t>
  </si>
  <si>
    <t>VILLAGE EAST COMMUNITY ELEMENTARY SCHOOL</t>
  </si>
  <si>
    <t>21st Century Cohort E2</t>
  </si>
  <si>
    <t>4413</t>
  </si>
  <si>
    <t>Sims-Fayola Foundation</t>
  </si>
  <si>
    <t>YMCA of Boulder Valley</t>
  </si>
  <si>
    <t>Pagosa Arts Initiative</t>
  </si>
  <si>
    <t>Y079</t>
  </si>
  <si>
    <t>Y087</t>
  </si>
  <si>
    <t>Y088</t>
  </si>
  <si>
    <t>Y133</t>
  </si>
  <si>
    <t>Y197</t>
  </si>
  <si>
    <t>CORONADO HILLS ELEMENTARY SCHOOL</t>
  </si>
  <si>
    <t>HILLCREST ELEMENTARY SCHOOL</t>
  </si>
  <si>
    <t>MALLEY DRIVE ELEMENTARY SCHOOL</t>
  </si>
  <si>
    <t>NORTH STAR ELEMENTARY SCHOOL</t>
  </si>
  <si>
    <t>STUKEY ELEMENTARY SCHOOL</t>
  </si>
  <si>
    <t>THORNTON ELEMENTARY SCHOOL</t>
  </si>
  <si>
    <t>VAUGHN ELEMENTARY SCHOOL</t>
  </si>
  <si>
    <t>GLOBAL VILLAGE ACADEMY AURORA</t>
  </si>
  <si>
    <t>LINCOLN ELEMENTARY SCHOOL</t>
  </si>
  <si>
    <t>WINONA ELEMENTARY SCHOOL</t>
  </si>
  <si>
    <t>B F KITCHEN ELEMENTARY SCHOOL</t>
  </si>
  <si>
    <t>SARAH MILNER ELEMENTARY SCHOOL</t>
  </si>
  <si>
    <t>LAURENE EDMONDSON ELEMENTARY SCHOOL</t>
  </si>
  <si>
    <t>JOHNSON ELEMENTARY SCHOOL</t>
  </si>
  <si>
    <t>ROOSEVELT CHARTER ACADEMY</t>
  </si>
  <si>
    <t>ACADEMY OF ARTS AND KNOWLEDGE ELEMENTARY</t>
  </si>
  <si>
    <t>BRUCE RANDOLPH SCHOOL</t>
  </si>
  <si>
    <t>JEFFERSON JUNIOR/SENIOR HIGH SCHOOL</t>
  </si>
  <si>
    <t>LUMBERG ELEMENTARY SCHOOL</t>
  </si>
  <si>
    <t>STEVENS ELEMENTARY SCHOOL</t>
  </si>
  <si>
    <t>Montezuma-Cortez Middle School</t>
  </si>
  <si>
    <t>Mancos RE-6</t>
  </si>
  <si>
    <t xml:space="preserve">Pagosa Arts Initiative </t>
  </si>
  <si>
    <t>PEAR PARK ELEMENTARY SCHOOL</t>
  </si>
  <si>
    <t>CHIPETA ELEMENTARY SCHOOL</t>
  </si>
  <si>
    <t>CLIFTON ELEMENTARY SCHOOL</t>
  </si>
  <si>
    <t>NISLEY ELEMENTARY SCHOOL</t>
  </si>
  <si>
    <t>CHATFIELD ELEMENTARY SCHOOL</t>
  </si>
  <si>
    <t>FRUITVALE ELEMENTARY SCHOOL</t>
  </si>
  <si>
    <t>GRAND MESA MIDDLE SCHOOL</t>
  </si>
  <si>
    <t>ADAMS CITY HIGH SCHOOL</t>
  </si>
  <si>
    <t>PIONEER RIDGE ELEMENTARY SCHOOL</t>
  </si>
  <si>
    <t>MONTCLAIR SCHOOL OF ACADEMICS AND ENRICHMENT</t>
  </si>
  <si>
    <t>FY 2021 CARRYOVER</t>
  </si>
  <si>
    <t>59xD</t>
  </si>
  <si>
    <t>St Vrain Valley School District RE-1J</t>
  </si>
  <si>
    <t>Telluride School District R-1</t>
  </si>
  <si>
    <t>0470</t>
  </si>
  <si>
    <t>2830</t>
  </si>
  <si>
    <t xml:space="preserve">Colorado Literacy State Development </t>
  </si>
  <si>
    <t>October 1, 2021 - September 30, 2022</t>
  </si>
  <si>
    <t>Federal Heights Elementary</t>
  </si>
  <si>
    <t>McElwain Elementary</t>
  </si>
  <si>
    <t>Rocky Mountain Elementary</t>
  </si>
  <si>
    <t>Aguilar School District</t>
  </si>
  <si>
    <t>Aurora Central High School</t>
  </si>
  <si>
    <t>Monroe Elementary</t>
  </si>
  <si>
    <t>Truscott Elementary</t>
  </si>
  <si>
    <t>Beach Court Elementary</t>
  </si>
  <si>
    <t>KIPP Northeast Denver Middle School</t>
  </si>
  <si>
    <t>Hidden Lake High School</t>
  </si>
  <si>
    <t>Irving Elementary</t>
  </si>
  <si>
    <t>Risley International Academy of Innovation</t>
  </si>
  <si>
    <t>West Grand Elementary and Middle School</t>
  </si>
  <si>
    <t>Pinnacle Charter School Elementary</t>
  </si>
  <si>
    <t>Barnum Elementary</t>
  </si>
  <si>
    <t>DCIS at Fairmont</t>
  </si>
  <si>
    <t>Ellis Elementary</t>
  </si>
  <si>
    <t>Hallett Academy</t>
  </si>
  <si>
    <t>Ridge View Academy Charter School</t>
  </si>
  <si>
    <t>Clayton Elementary</t>
  </si>
  <si>
    <t>Garfield School District</t>
  </si>
  <si>
    <t>Smith Elementary</t>
  </si>
  <si>
    <t>Del Norte Schools K-8</t>
  </si>
  <si>
    <t>John Mall High School</t>
  </si>
  <si>
    <t>Alameda International Junior/Senior High School</t>
  </si>
  <si>
    <t>West Park Elementary</t>
  </si>
  <si>
    <t>Welby Community School</t>
  </si>
  <si>
    <t>York International</t>
  </si>
  <si>
    <t>Dos Rios Elementary</t>
  </si>
  <si>
    <t>Montezuma-Cortez High School</t>
  </si>
  <si>
    <t>Southwest Open Charter School</t>
  </si>
  <si>
    <t>Bookcliff Middle School</t>
  </si>
  <si>
    <t>Mount Garfield Middle School</t>
  </si>
  <si>
    <t>Orchard Mesa Middle School</t>
  </si>
  <si>
    <t>Silverton Elementary/Silverton Middle</t>
  </si>
  <si>
    <t>Silverton High School</t>
  </si>
  <si>
    <t>Ashley Elementary</t>
  </si>
  <si>
    <t>Harris Park Elementary</t>
  </si>
  <si>
    <t>Mesa Elementary</t>
  </si>
  <si>
    <t>Asian Pacific Development Center</t>
  </si>
  <si>
    <t>Boys and Girls Clubs of Larimer County</t>
  </si>
  <si>
    <t>Boys and Girls Clubs of Metro Denver</t>
  </si>
  <si>
    <t>Boys and Girls Clubs of Pueblo County</t>
  </si>
  <si>
    <t>Colorado AeroLab Inc.</t>
  </si>
  <si>
    <t>CSI - New America Schools</t>
  </si>
  <si>
    <t>CSI - Pinnacle Charter School Elementary</t>
  </si>
  <si>
    <t>CSI - Vega Collegiate Academy</t>
  </si>
  <si>
    <t>DPS - DELCS</t>
  </si>
  <si>
    <t>DPS - Ridge View Academy</t>
  </si>
  <si>
    <t>Englewood School District 1</t>
  </si>
  <si>
    <t>Garfield School District 16</t>
  </si>
  <si>
    <t>Heart and Hand Center</t>
  </si>
  <si>
    <t>High Valley Community Center Inc</t>
  </si>
  <si>
    <t>Huerfano School District RE-1</t>
  </si>
  <si>
    <t>JeffCo - Alameda</t>
  </si>
  <si>
    <t>21st Century Cohort 8 ESSER I</t>
  </si>
  <si>
    <t>5625</t>
  </si>
  <si>
    <t>7/1/2021 - 09/30/2022</t>
  </si>
  <si>
    <t>June
2022</t>
  </si>
  <si>
    <t>DECEMBER
2022</t>
  </si>
  <si>
    <t>GOAL International, Inc. PBC</t>
  </si>
  <si>
    <t>Graduation Alliance</t>
  </si>
  <si>
    <t>Pueblo Library District</t>
  </si>
  <si>
    <t>Mesa County Public Library Foundation</t>
  </si>
  <si>
    <t>y077</t>
  </si>
  <si>
    <t>y082</t>
  </si>
  <si>
    <t>y091</t>
  </si>
  <si>
    <t>Workforce Diploma Pilot Program</t>
  </si>
  <si>
    <t>Appropriation:</t>
  </si>
  <si>
    <t>DGMFY1090</t>
  </si>
  <si>
    <t>3202</t>
  </si>
  <si>
    <t>New America School Lakewood</t>
  </si>
  <si>
    <t>New America School Thornton</t>
  </si>
  <si>
    <t>Y239</t>
  </si>
  <si>
    <t>Patrick Mueller, (303) 656-9341, mueller_p@cde.state.co.us</t>
  </si>
  <si>
    <t>Brighton 27J</t>
  </si>
  <si>
    <t>0140</t>
  </si>
  <si>
    <t>Littleton 6</t>
  </si>
  <si>
    <t>St Vrain Valley RE-1J</t>
  </si>
  <si>
    <t>Boulder Valley RE-2</t>
  </si>
  <si>
    <t>0960</t>
  </si>
  <si>
    <t>Agate 300</t>
  </si>
  <si>
    <t>1040</t>
  </si>
  <si>
    <t>Academy 20</t>
  </si>
  <si>
    <t>Poudre R-1</t>
  </si>
  <si>
    <t>Platte Valley RE-7</t>
  </si>
  <si>
    <t>2730</t>
  </si>
  <si>
    <t>Del Norte C-7</t>
  </si>
  <si>
    <t>South Routte R-3</t>
  </si>
  <si>
    <t>Arapahoe Community College</t>
  </si>
  <si>
    <t xml:space="preserve">67xC </t>
  </si>
  <si>
    <t>FY21-22 672C</t>
  </si>
  <si>
    <t>Title I-A Reallocated Assistance</t>
  </si>
  <si>
    <t>70xR</t>
  </si>
  <si>
    <t>7/1/2021 - 06/30/2022</t>
  </si>
  <si>
    <t>0260</t>
  </si>
  <si>
    <t>Vilas Re-5</t>
  </si>
  <si>
    <t>0270</t>
  </si>
  <si>
    <t>Campo Re-6</t>
  </si>
  <si>
    <t>Lewis-Palmer 38</t>
  </si>
  <si>
    <t>East Grand 2</t>
  </si>
  <si>
    <t>3060</t>
  </si>
  <si>
    <t>3070</t>
  </si>
  <si>
    <t>3085</t>
  </si>
  <si>
    <t>South Routt Re-3</t>
  </si>
  <si>
    <t>Lone Star 101</t>
  </si>
  <si>
    <t>Woodlin R-104</t>
  </si>
  <si>
    <t>Eaton RE-2</t>
  </si>
  <si>
    <t>JANUARY
2023</t>
  </si>
  <si>
    <t>FEBRUARY
2023</t>
  </si>
  <si>
    <t>MARCH
2023</t>
  </si>
  <si>
    <t>APRIL
2023</t>
  </si>
  <si>
    <t>MAY
2023</t>
  </si>
  <si>
    <t>JUNE
2023</t>
  </si>
  <si>
    <t>JULY
2023</t>
  </si>
  <si>
    <t>AUGUST
2023</t>
  </si>
  <si>
    <t>SEPTEMBER
2023</t>
  </si>
  <si>
    <t>DFLZA301F</t>
  </si>
  <si>
    <t>SLFRF - Concurrent Enrollment Expansion  (SB 21-268)</t>
  </si>
  <si>
    <t>1/13/2022 - 06/30/2023</t>
  </si>
  <si>
    <t>47SL</t>
  </si>
  <si>
    <t>57SN</t>
  </si>
  <si>
    <t>Anna Friedman</t>
  </si>
  <si>
    <t>Tricia Miller</t>
  </si>
  <si>
    <t>Adams Arapahoe 28J</t>
  </si>
  <si>
    <t>Charter School Institute</t>
  </si>
  <si>
    <t>Lewis Palmer</t>
  </si>
  <si>
    <t>Pueblo 70</t>
  </si>
  <si>
    <t>1346</t>
  </si>
  <si>
    <t>June 2022</t>
  </si>
  <si>
    <t>May 2022</t>
  </si>
  <si>
    <t>April 2022</t>
  </si>
  <si>
    <t>March 2022</t>
  </si>
  <si>
    <t>September 30, 2020 - September 30, 2021</t>
  </si>
  <si>
    <t>E8SD</t>
  </si>
  <si>
    <t>GEERS Online</t>
  </si>
  <si>
    <t>Fort Lewis College</t>
  </si>
  <si>
    <t>Y929</t>
  </si>
  <si>
    <t>Public Education &amp; Business Coalition</t>
  </si>
  <si>
    <t>Y011</t>
  </si>
  <si>
    <t>Teach for America</t>
  </si>
  <si>
    <t>Y010</t>
  </si>
  <si>
    <t>MAY 2022</t>
  </si>
  <si>
    <t>APRIL 2022</t>
  </si>
  <si>
    <t>MARCH 2022</t>
  </si>
  <si>
    <t>FEBRUARY 2022</t>
  </si>
  <si>
    <t>2021</t>
  </si>
  <si>
    <t>E9SD</t>
  </si>
  <si>
    <t>GEERS QT</t>
  </si>
  <si>
    <t>lake County Elementary School</t>
  </si>
  <si>
    <t>Dos Rios Elementary School</t>
  </si>
  <si>
    <t>cody_a@cde.state.co.us</t>
  </si>
  <si>
    <t>Supplemental Award</t>
  </si>
  <si>
    <t>NEW AMERICA SCHOOL (Jeffco)</t>
  </si>
  <si>
    <t>NEW AMERICA SCHOOL - LOWRY (Aurora)</t>
  </si>
  <si>
    <t>Y041</t>
  </si>
  <si>
    <t>Y058</t>
  </si>
  <si>
    <t>0052</t>
  </si>
  <si>
    <t>Y062</t>
  </si>
  <si>
    <t>Y072</t>
  </si>
  <si>
    <t>Y049</t>
  </si>
  <si>
    <t>Y862</t>
  </si>
  <si>
    <t>Y230</t>
  </si>
  <si>
    <t>Y231</t>
  </si>
  <si>
    <t>Y218</t>
  </si>
  <si>
    <t>Y219</t>
  </si>
  <si>
    <t>Y224</t>
  </si>
  <si>
    <t>Y236</t>
  </si>
  <si>
    <t>Y237</t>
  </si>
  <si>
    <t>Y226</t>
  </si>
  <si>
    <t>Y227</t>
  </si>
  <si>
    <t>Y238</t>
  </si>
  <si>
    <t>Y229</t>
  </si>
  <si>
    <t>Y232</t>
  </si>
  <si>
    <t>Y233</t>
  </si>
  <si>
    <t>Y234</t>
  </si>
  <si>
    <t>Y235</t>
  </si>
  <si>
    <t>New America School Lowry (Aurora)</t>
  </si>
  <si>
    <t>Y089</t>
  </si>
  <si>
    <t>Y098</t>
  </si>
  <si>
    <t>Y101</t>
  </si>
  <si>
    <t>Y099</t>
  </si>
  <si>
    <t>Y092</t>
  </si>
  <si>
    <t>Y095</t>
  </si>
  <si>
    <t>Y097</t>
  </si>
  <si>
    <t>Y096</t>
  </si>
  <si>
    <t>Y103</t>
  </si>
  <si>
    <t>Y102</t>
  </si>
  <si>
    <t>Y104</t>
  </si>
  <si>
    <t>Y106</t>
  </si>
  <si>
    <t>Y107</t>
  </si>
  <si>
    <t>Y849</t>
  </si>
  <si>
    <t>Y108</t>
  </si>
  <si>
    <t>Aurora Public Schools (Adams-Arapahoe)</t>
  </si>
  <si>
    <t>Y198</t>
  </si>
  <si>
    <t>Y201</t>
  </si>
  <si>
    <t>Y109</t>
  </si>
  <si>
    <t>Y199</t>
  </si>
  <si>
    <t>Y152</t>
  </si>
  <si>
    <t>Y203</t>
  </si>
  <si>
    <t>Y204</t>
  </si>
  <si>
    <t>Y207</t>
  </si>
  <si>
    <t>Y213</t>
  </si>
  <si>
    <t>Y208</t>
  </si>
  <si>
    <t>Y210</t>
  </si>
  <si>
    <t>Y214</t>
  </si>
  <si>
    <t>Y212</t>
  </si>
  <si>
    <t>Y216</t>
  </si>
  <si>
    <t>Y217</t>
  </si>
  <si>
    <t>Additional Funds</t>
  </si>
  <si>
    <t>Westminster Public Schools</t>
  </si>
  <si>
    <t>Sheridan School District 2</t>
  </si>
  <si>
    <t>El Paso County School District 8</t>
  </si>
  <si>
    <t>Roaring Fork School District</t>
  </si>
  <si>
    <t>Pueblo City 60</t>
  </si>
  <si>
    <t>Pueblo County 70</t>
  </si>
  <si>
    <t>Centennial BOCES</t>
  </si>
  <si>
    <t>Northeast BOCES</t>
  </si>
  <si>
    <t>Unlimited Learning Inc.</t>
  </si>
  <si>
    <t>San Luis Valley BOCES</t>
  </si>
  <si>
    <t>Education ReEnvisioned</t>
  </si>
  <si>
    <t>5.11.22</t>
  </si>
  <si>
    <t>Reconcilied 8/18</t>
  </si>
  <si>
    <t>Arapahoe County School District 6</t>
  </si>
  <si>
    <t>0190</t>
  </si>
  <si>
    <t>Byers School District 32-J</t>
  </si>
  <si>
    <t>0910</t>
  </si>
  <si>
    <t>Eagle County School District Re-50 J</t>
  </si>
  <si>
    <t>Academy School District 20</t>
  </si>
  <si>
    <t>Fremont County School District RE-2</t>
  </si>
  <si>
    <t>Weld County School District 6 Greeley</t>
  </si>
  <si>
    <t>East Central BOCES</t>
  </si>
  <si>
    <t>Northeast Colorado Board of Cooperative Educational Services</t>
  </si>
  <si>
    <t>Reconciled 8/18</t>
  </si>
  <si>
    <t>ARP HCY II</t>
  </si>
  <si>
    <t>27SE</t>
  </si>
  <si>
    <t>27SD</t>
  </si>
  <si>
    <t>ARP HCY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</si>
</sst>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_(* #,##0.00_);_(* \(#,##0.00\);_(* &quot;-&quot;_);_(@_)"/>
    <numFmt numFmtId="170" formatCode="&quot;$&quot;#,##0"/>
    <numFmt numFmtId="171" formatCode="\$#,##0.00;&quot;($&quot;#,##0.00\)"/>
    <numFmt numFmtId="172" formatCode="&quot;$&quot;#,##0.00"/>
  </numFmts>
  <fonts count="9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11"/>
      <color rgb="FF97B0FF"/>
      <name val="Calibri"/>
      <family val="2"/>
      <scheme val="minor"/>
    </font>
    <font>
      <sz val="11"/>
      <color theme="4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4D79B"/>
      </top>
      <bottom style="medium">
        <color theme="6" tint="0.399914548173467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/>
      <top/>
      <bottom style="medium">
        <color rgb="FFC4D79B"/>
      </bottom>
      <diagonal/>
    </border>
    <border>
      <left style="double">
        <color indexed="64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/>
      <right/>
      <top style="medium">
        <color theme="6" tint="0.39991454817346722"/>
      </top>
      <bottom style="medium">
        <color theme="6" tint="0.399914548173467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rgb="FFC4D79B"/>
      </right>
      <top/>
      <bottom style="thin">
        <color rgb="FFC4D79B"/>
      </bottom>
      <diagonal/>
    </border>
    <border>
      <left style="thin">
        <color rgb="FFC4D79B"/>
      </left>
      <right style="thin">
        <color rgb="FFC4D79B"/>
      </right>
      <top/>
      <bottom style="thin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 style="thin">
        <color rgb="FFC3E6BA"/>
      </left>
      <right style="thin">
        <color rgb="FFC3E6BA"/>
      </right>
      <top style="thin">
        <color rgb="FFC3E6BA"/>
      </top>
      <bottom style="thin">
        <color rgb="FFC3E6BA"/>
      </bottom>
      <diagonal/>
    </border>
    <border>
      <left style="thin">
        <color rgb="FFC3E6BA"/>
      </left>
      <right style="thin">
        <color rgb="FFC3E6BA"/>
      </right>
      <top/>
      <bottom style="thin">
        <color rgb="FFC3E6BA"/>
      </bottom>
      <diagonal/>
    </border>
    <border>
      <left style="medium">
        <color rgb="FFC4D79B"/>
      </left>
      <right style="medium">
        <color rgb="FFC4D79B"/>
      </right>
      <top/>
      <bottom/>
      <diagonal/>
    </border>
    <border>
      <left style="medium">
        <color rgb="FFC4D79B"/>
      </left>
      <right style="medium">
        <color theme="6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rgb="FFC4D79B"/>
      </left>
      <right/>
      <top/>
      <bottom/>
      <diagonal/>
    </border>
    <border>
      <left style="medium">
        <color rgb="FFC4D79B"/>
      </left>
      <right/>
      <top style="medium">
        <color rgb="FFC4D79B"/>
      </top>
      <bottom style="medium">
        <color theme="6" tint="0.39991454817346722"/>
      </bottom>
      <diagonal/>
    </border>
    <border>
      <left/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/>
      <bottom style="medium">
        <color theme="6" tint="0.399914548173467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C4D79B"/>
      </left>
      <right/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C4D79B"/>
      </left>
      <right style="thin">
        <color rgb="FFC4D79B"/>
      </right>
      <top style="thin">
        <color rgb="FFC4D79B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286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16" applyNumberFormat="0" applyAlignment="0" applyProtection="0"/>
    <xf numFmtId="0" fontId="25" fillId="18" borderId="17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6" applyNumberFormat="0" applyAlignment="0" applyProtection="0"/>
    <xf numFmtId="0" fontId="32" fillId="0" borderId="21" applyNumberFormat="0" applyFill="0" applyAlignment="0" applyProtection="0"/>
    <xf numFmtId="0" fontId="33" fillId="10" borderId="0" applyNumberFormat="0" applyBorder="0" applyAlignment="0" applyProtection="0"/>
    <xf numFmtId="0" fontId="2" fillId="0" borderId="0"/>
    <xf numFmtId="0" fontId="21" fillId="6" borderId="22" applyNumberFormat="0" applyFont="0" applyAlignment="0" applyProtection="0"/>
    <xf numFmtId="0" fontId="34" fillId="4" borderId="23" applyNumberFormat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4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0" fontId="14" fillId="4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33" applyNumberFormat="0" applyAlignment="0" applyProtection="0"/>
    <xf numFmtId="0" fontId="58" fillId="24" borderId="34" applyNumberFormat="0" applyAlignment="0" applyProtection="0"/>
    <xf numFmtId="0" fontId="59" fillId="24" borderId="33" applyNumberFormat="0" applyAlignment="0" applyProtection="0"/>
    <xf numFmtId="0" fontId="60" fillId="0" borderId="35" applyNumberFormat="0" applyFill="0" applyAlignment="0" applyProtection="0"/>
    <xf numFmtId="0" fontId="61" fillId="25" borderId="36" applyNumberFormat="0" applyAlignment="0" applyProtection="0"/>
    <xf numFmtId="0" fontId="62" fillId="0" borderId="0" applyNumberFormat="0" applyFill="0" applyBorder="0" applyAlignment="0" applyProtection="0"/>
    <xf numFmtId="0" fontId="3" fillId="26" borderId="37" applyNumberFormat="0" applyFont="0" applyAlignment="0" applyProtection="0"/>
    <xf numFmtId="0" fontId="63" fillId="0" borderId="0" applyNumberFormat="0" applyFill="0" applyBorder="0" applyAlignment="0" applyProtection="0"/>
    <xf numFmtId="0" fontId="4" fillId="0" borderId="38" applyNumberFormat="0" applyFill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4" fillId="50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4" borderId="0"/>
    <xf numFmtId="0" fontId="40" fillId="0" borderId="0"/>
    <xf numFmtId="0" fontId="66" fillId="4" borderId="0"/>
    <xf numFmtId="0" fontId="66" fillId="4" borderId="0"/>
    <xf numFmtId="0" fontId="3" fillId="0" borderId="0"/>
    <xf numFmtId="0" fontId="66" fillId="4" borderId="0"/>
    <xf numFmtId="0" fontId="40" fillId="0" borderId="0"/>
    <xf numFmtId="0" fontId="67" fillId="0" borderId="39">
      <alignment vertical="center"/>
    </xf>
    <xf numFmtId="0" fontId="68" fillId="0" borderId="39" applyNumberFormat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0" fontId="77" fillId="0" borderId="0"/>
    <xf numFmtId="0" fontId="79" fillId="0" borderId="0"/>
    <xf numFmtId="0" fontId="40" fillId="0" borderId="0"/>
  </cellStyleXfs>
  <cellXfs count="657">
    <xf numFmtId="0" fontId="0" fillId="0" borderId="0" xfId="0"/>
    <xf numFmtId="3" fontId="2" fillId="0" borderId="0" xfId="0" applyNumberFormat="1" applyFont="1" applyAlignment="1">
      <alignment horizontal="left"/>
    </xf>
    <xf numFmtId="49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/>
    <xf numFmtId="0" fontId="8" fillId="2" borderId="0" xfId="0" applyFont="1" applyFill="1" applyAlignment="1">
      <alignment horizontal="center" wrapText="1"/>
    </xf>
    <xf numFmtId="3" fontId="0" fillId="0" borderId="0" xfId="0" applyNumberFormat="1"/>
    <xf numFmtId="0" fontId="11" fillId="2" borderId="0" xfId="0" applyFont="1" applyFill="1"/>
    <xf numFmtId="0" fontId="6" fillId="2" borderId="0" xfId="0" applyFont="1" applyFill="1"/>
    <xf numFmtId="0" fontId="4" fillId="2" borderId="9" xfId="0" applyFont="1" applyFill="1" applyBorder="1"/>
    <xf numFmtId="3" fontId="17" fillId="2" borderId="7" xfId="0" applyNumberFormat="1" applyFont="1" applyFill="1" applyBorder="1" applyAlignment="1">
      <alignment horizontal="left"/>
    </xf>
    <xf numFmtId="38" fontId="0" fillId="0" borderId="0" xfId="0" applyNumberFormat="1"/>
    <xf numFmtId="0" fontId="4" fillId="3" borderId="4" xfId="0" applyFont="1" applyFill="1" applyBorder="1" applyAlignment="1">
      <alignment horizontal="center" wrapText="1"/>
    </xf>
    <xf numFmtId="17" fontId="4" fillId="0" borderId="3" xfId="0" quotePrefix="1" applyNumberFormat="1" applyFont="1" applyBorder="1" applyAlignment="1">
      <alignment horizontal="center" vertical="center" wrapText="1"/>
    </xf>
    <xf numFmtId="17" fontId="4" fillId="0" borderId="1" xfId="0" quotePrefix="1" applyNumberFormat="1" applyFont="1" applyBorder="1" applyAlignment="1">
      <alignment horizontal="center" vertical="center" wrapText="1"/>
    </xf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2" borderId="0" xfId="0" applyFont="1" applyFill="1"/>
    <xf numFmtId="0" fontId="9" fillId="2" borderId="0" xfId="0" applyFont="1" applyFill="1"/>
    <xf numFmtId="0" fontId="4" fillId="0" borderId="2" xfId="0" applyFont="1" applyBorder="1" applyAlignment="1">
      <alignment horizontal="center" wrapText="1"/>
    </xf>
    <xf numFmtId="3" fontId="0" fillId="0" borderId="0" xfId="0" applyNumberFormat="1" applyAlignment="1">
      <alignment vertical="top"/>
    </xf>
    <xf numFmtId="2" fontId="9" fillId="2" borderId="0" xfId="0" quotePrefix="1" applyNumberFormat="1" applyFont="1" applyFill="1" applyAlignment="1">
      <alignment horizontal="left"/>
    </xf>
    <xf numFmtId="0" fontId="4" fillId="0" borderId="28" xfId="0" applyFont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12" xfId="0" applyFont="1" applyFill="1" applyBorder="1"/>
    <xf numFmtId="3" fontId="4" fillId="2" borderId="7" xfId="0" applyNumberFormat="1" applyFont="1" applyFill="1" applyBorder="1" applyAlignment="1">
      <alignment vertical="top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7" fontId="4" fillId="0" borderId="1" xfId="0" quotePrefix="1" applyNumberFormat="1" applyFont="1" applyBorder="1" applyAlignment="1">
      <alignment horizontal="center" wrapText="1"/>
    </xf>
    <xf numFmtId="0" fontId="10" fillId="2" borderId="0" xfId="0" applyFont="1" applyFill="1"/>
    <xf numFmtId="17" fontId="4" fillId="0" borderId="1" xfId="0" applyNumberFormat="1" applyFont="1" applyBorder="1" applyAlignment="1">
      <alignment horizontal="center" wrapText="1"/>
    </xf>
    <xf numFmtId="3" fontId="4" fillId="2" borderId="7" xfId="0" applyNumberFormat="1" applyFont="1" applyFill="1" applyBorder="1"/>
    <xf numFmtId="17" fontId="4" fillId="0" borderId="3" xfId="0" quotePrefix="1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vertical="top" wrapText="1"/>
    </xf>
    <xf numFmtId="49" fontId="7" fillId="2" borderId="0" xfId="0" applyNumberFormat="1" applyFont="1" applyFill="1"/>
    <xf numFmtId="49" fontId="9" fillId="2" borderId="0" xfId="0" applyNumberFormat="1" applyFont="1" applyFill="1"/>
    <xf numFmtId="49" fontId="4" fillId="2" borderId="7" xfId="0" applyNumberFormat="1" applyFont="1" applyFill="1" applyBorder="1" applyAlignment="1">
      <alignment vertical="top"/>
    </xf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3" fontId="0" fillId="0" borderId="0" xfId="0" applyNumberFormat="1"/>
    <xf numFmtId="0" fontId="5" fillId="2" borderId="12" xfId="0" applyFont="1" applyFill="1" applyBorder="1" applyAlignment="1">
      <alignment horizontal="left" vertical="center" wrapText="1"/>
    </xf>
    <xf numFmtId="49" fontId="0" fillId="2" borderId="11" xfId="0" applyNumberFormat="1" applyFill="1" applyBorder="1" applyAlignment="1">
      <alignment horizontal="center" vertical="center"/>
    </xf>
    <xf numFmtId="41" fontId="17" fillId="2" borderId="12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41" fontId="4" fillId="2" borderId="12" xfId="0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49" fontId="0" fillId="2" borderId="12" xfId="0" applyNumberForma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6" xfId="0" quotePrefix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 wrapText="1"/>
    </xf>
    <xf numFmtId="41" fontId="0" fillId="2" borderId="7" xfId="0" applyNumberFormat="1" applyFill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0" fontId="17" fillId="2" borderId="6" xfId="0" quotePrefix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right" vertical="center"/>
    </xf>
    <xf numFmtId="49" fontId="0" fillId="2" borderId="7" xfId="0" quotePrefix="1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9" fillId="2" borderId="0" xfId="0" quotePrefix="1" applyFont="1" applyFill="1"/>
    <xf numFmtId="41" fontId="5" fillId="2" borderId="7" xfId="0" applyNumberFormat="1" applyFont="1" applyFill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/>
    </xf>
    <xf numFmtId="49" fontId="0" fillId="2" borderId="0" xfId="0" quotePrefix="1" applyNumberFormat="1" applyFill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left" vertical="center" wrapText="1"/>
    </xf>
    <xf numFmtId="41" fontId="5" fillId="2" borderId="27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17" fillId="2" borderId="12" xfId="0" applyNumberFormat="1" applyFont="1" applyFill="1" applyBorder="1" applyAlignment="1">
      <alignment horizontal="right" vertical="center"/>
    </xf>
    <xf numFmtId="41" fontId="4" fillId="2" borderId="9" xfId="24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1" fontId="0" fillId="2" borderId="5" xfId="24" applyNumberFormat="1" applyFont="1" applyFill="1" applyBorder="1" applyAlignment="1">
      <alignment horizontal="right" vertical="center"/>
    </xf>
    <xf numFmtId="49" fontId="0" fillId="2" borderId="14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41" fontId="0" fillId="0" borderId="29" xfId="24" applyNumberFormat="1" applyFont="1" applyBorder="1" applyAlignment="1">
      <alignment horizontal="right" vertical="center"/>
    </xf>
    <xf numFmtId="41" fontId="4" fillId="2" borderId="7" xfId="24" applyNumberFormat="1" applyFont="1" applyFill="1" applyBorder="1" applyAlignment="1">
      <alignment horizontal="right" vertical="center"/>
    </xf>
    <xf numFmtId="41" fontId="0" fillId="2" borderId="8" xfId="0" applyNumberFormat="1" applyFill="1" applyBorder="1" applyAlignment="1">
      <alignment horizontal="right" vertical="center"/>
    </xf>
    <xf numFmtId="170" fontId="4" fillId="0" borderId="0" xfId="0" applyNumberFormat="1" applyFont="1"/>
    <xf numFmtId="0" fontId="69" fillId="0" borderId="0" xfId="0" applyFont="1"/>
    <xf numFmtId="0" fontId="0" fillId="0" borderId="0" xfId="0" applyAlignment="1">
      <alignment vertical="center"/>
    </xf>
    <xf numFmtId="0" fontId="70" fillId="2" borderId="0" xfId="0" applyFont="1" applyFill="1"/>
    <xf numFmtId="49" fontId="0" fillId="2" borderId="12" xfId="0" applyNumberFormat="1" applyFill="1" applyBorder="1" applyAlignment="1">
      <alignment vertical="center" wrapText="1"/>
    </xf>
    <xf numFmtId="49" fontId="0" fillId="2" borderId="11" xfId="0" quotePrefix="1" applyNumberFormat="1" applyFill="1" applyBorder="1" applyAlignment="1">
      <alignment horizontal="center" vertical="center"/>
    </xf>
    <xf numFmtId="41" fontId="0" fillId="0" borderId="41" xfId="24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wrapText="1"/>
    </xf>
    <xf numFmtId="2" fontId="7" fillId="2" borderId="0" xfId="0" quotePrefix="1" applyNumberFormat="1" applyFont="1" applyFill="1" applyAlignment="1">
      <alignment horizontal="left"/>
    </xf>
    <xf numFmtId="165" fontId="0" fillId="0" borderId="0" xfId="24" applyNumberFormat="1" applyFont="1" applyAlignment="1">
      <alignment wrapText="1"/>
    </xf>
    <xf numFmtId="49" fontId="4" fillId="0" borderId="1" xfId="0" quotePrefix="1" applyNumberFormat="1" applyFont="1" applyBorder="1" applyAlignment="1">
      <alignment horizontal="center" wrapText="1"/>
    </xf>
    <xf numFmtId="164" fontId="0" fillId="2" borderId="25" xfId="0" applyNumberForma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1" fontId="4" fillId="2" borderId="9" xfId="24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wrapText="1"/>
    </xf>
    <xf numFmtId="41" fontId="0" fillId="0" borderId="0" xfId="0" applyNumberFormat="1"/>
    <xf numFmtId="0" fontId="5" fillId="2" borderId="6" xfId="0" quotePrefix="1" applyFont="1" applyFill="1" applyBorder="1" applyAlignment="1">
      <alignment horizontal="center" vertical="center" wrapText="1"/>
    </xf>
    <xf numFmtId="41" fontId="0" fillId="2" borderId="7" xfId="0" applyNumberForma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 wrapText="1"/>
    </xf>
    <xf numFmtId="43" fontId="5" fillId="2" borderId="27" xfId="0" applyNumberFormat="1" applyFont="1" applyFill="1" applyBorder="1" applyAlignment="1">
      <alignment horizontal="right" vertical="center"/>
    </xf>
    <xf numFmtId="43" fontId="0" fillId="2" borderId="7" xfId="24" applyFont="1" applyFill="1" applyBorder="1" applyAlignment="1">
      <alignment horizontal="right" vertical="center"/>
    </xf>
    <xf numFmtId="43" fontId="0" fillId="2" borderId="12" xfId="0" applyNumberForma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43" fontId="17" fillId="2" borderId="12" xfId="0" applyNumberFormat="1" applyFont="1" applyFill="1" applyBorder="1" applyAlignment="1">
      <alignment horizontal="right" vertical="center"/>
    </xf>
    <xf numFmtId="43" fontId="4" fillId="2" borderId="12" xfId="0" applyNumberFormat="1" applyFont="1" applyFill="1" applyBorder="1" applyAlignment="1">
      <alignment horizontal="right" vertical="center"/>
    </xf>
    <xf numFmtId="49" fontId="0" fillId="0" borderId="42" xfId="0" applyNumberFormat="1" applyBorder="1" applyAlignment="1">
      <alignment horizontal="center" vertical="center"/>
    </xf>
    <xf numFmtId="3" fontId="0" fillId="0" borderId="42" xfId="0" applyNumberForma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1" fontId="0" fillId="0" borderId="42" xfId="0" applyNumberFormat="1" applyBorder="1" applyAlignment="1">
      <alignment horizontal="right" vertical="center"/>
    </xf>
    <xf numFmtId="43" fontId="4" fillId="2" borderId="39" xfId="0" quotePrefix="1" applyNumberFormat="1" applyFont="1" applyFill="1" applyBorder="1" applyAlignment="1">
      <alignment horizontal="center" wrapText="1"/>
    </xf>
    <xf numFmtId="49" fontId="0" fillId="2" borderId="9" xfId="24" applyNumberFormat="1" applyFont="1" applyFill="1" applyBorder="1" applyAlignment="1">
      <alignment horizontal="center" vertical="center"/>
    </xf>
    <xf numFmtId="0" fontId="0" fillId="51" borderId="43" xfId="0" applyFill="1" applyBorder="1"/>
    <xf numFmtId="169" fontId="0" fillId="0" borderId="0" xfId="0" applyNumberFormat="1"/>
    <xf numFmtId="43" fontId="0" fillId="2" borderId="7" xfId="0" applyNumberFormat="1" applyFill="1" applyBorder="1" applyAlignment="1">
      <alignment horizontal="right" vertical="center"/>
    </xf>
    <xf numFmtId="43" fontId="0" fillId="0" borderId="0" xfId="24" applyFont="1" applyFill="1" applyAlignment="1">
      <alignment horizontal="right" vertical="center"/>
    </xf>
    <xf numFmtId="49" fontId="0" fillId="0" borderId="44" xfId="0" applyNumberFormat="1" applyBorder="1" applyAlignment="1">
      <alignment horizontal="center" vertical="center"/>
    </xf>
    <xf numFmtId="0" fontId="0" fillId="0" borderId="44" xfId="0" applyBorder="1"/>
    <xf numFmtId="0" fontId="8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4" fillId="0" borderId="28" xfId="0" quotePrefix="1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0" fillId="51" borderId="46" xfId="0" applyFill="1" applyBorder="1" applyAlignment="1">
      <alignment horizontal="center"/>
    </xf>
    <xf numFmtId="49" fontId="0" fillId="2" borderId="47" xfId="0" quotePrefix="1" applyNumberFormat="1" applyFill="1" applyBorder="1" applyAlignment="1">
      <alignment horizontal="center" wrapText="1"/>
    </xf>
    <xf numFmtId="43" fontId="0" fillId="2" borderId="48" xfId="0" quotePrefix="1" applyNumberFormat="1" applyFill="1" applyBorder="1" applyAlignment="1">
      <alignment horizontal="center" wrapText="1"/>
    </xf>
    <xf numFmtId="41" fontId="0" fillId="0" borderId="0" xfId="0" applyNumberFormat="1" applyAlignment="1">
      <alignment horizontal="right"/>
    </xf>
    <xf numFmtId="49" fontId="5" fillId="2" borderId="12" xfId="0" applyNumberFormat="1" applyFont="1" applyFill="1" applyBorder="1" applyAlignment="1">
      <alignment horizontal="left" vertical="center" wrapText="1"/>
    </xf>
    <xf numFmtId="49" fontId="3" fillId="2" borderId="9" xfId="24" applyNumberFormat="1" applyFont="1" applyFill="1" applyBorder="1" applyAlignment="1">
      <alignment horizontal="center" vertical="center"/>
    </xf>
    <xf numFmtId="49" fontId="3" fillId="2" borderId="9" xfId="24" applyNumberFormat="1" applyFont="1" applyFill="1" applyBorder="1" applyAlignment="1">
      <alignment horizontal="left" vertical="center"/>
    </xf>
    <xf numFmtId="49" fontId="0" fillId="2" borderId="9" xfId="24" quotePrefix="1" applyNumberFormat="1" applyFont="1" applyFill="1" applyBorder="1" applyAlignment="1">
      <alignment horizontal="center" vertical="center"/>
    </xf>
    <xf numFmtId="49" fontId="0" fillId="2" borderId="9" xfId="24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0" fillId="2" borderId="7" xfId="24" applyNumberFormat="1" applyFont="1" applyFill="1" applyBorder="1" applyAlignment="1">
      <alignment horizontal="right" vertical="center"/>
    </xf>
    <xf numFmtId="43" fontId="4" fillId="2" borderId="7" xfId="24" applyFont="1" applyFill="1" applyBorder="1" applyAlignment="1">
      <alignment horizontal="right" vertical="center"/>
    </xf>
    <xf numFmtId="44" fontId="0" fillId="0" borderId="0" xfId="0" applyNumberFormat="1"/>
    <xf numFmtId="41" fontId="4" fillId="0" borderId="49" xfId="24" applyNumberFormat="1" applyFont="1" applyFill="1" applyBorder="1" applyAlignment="1">
      <alignment horizontal="right" vertical="center"/>
    </xf>
    <xf numFmtId="4" fontId="0" fillId="2" borderId="7" xfId="0" applyNumberFormat="1" applyFill="1" applyBorder="1" applyAlignment="1">
      <alignment horizontal="center"/>
    </xf>
    <xf numFmtId="17" fontId="4" fillId="0" borderId="29" xfId="0" quotePrefix="1" applyNumberFormat="1" applyFont="1" applyBorder="1" applyAlignment="1">
      <alignment horizontal="center" vertical="center" wrapText="1"/>
    </xf>
    <xf numFmtId="17" fontId="4" fillId="0" borderId="28" xfId="0" quotePrefix="1" applyNumberFormat="1" applyFont="1" applyBorder="1" applyAlignment="1">
      <alignment horizontal="center" vertical="center" wrapText="1"/>
    </xf>
    <xf numFmtId="41" fontId="0" fillId="0" borderId="50" xfId="24" applyNumberFormat="1" applyFont="1" applyFill="1" applyBorder="1" applyAlignment="1">
      <alignment horizontal="right" vertical="center"/>
    </xf>
    <xf numFmtId="41" fontId="0" fillId="2" borderId="52" xfId="24" applyNumberFormat="1" applyFont="1" applyFill="1" applyBorder="1" applyAlignment="1">
      <alignment horizontal="right" vertical="center"/>
    </xf>
    <xf numFmtId="41" fontId="0" fillId="0" borderId="53" xfId="24" applyNumberFormat="1" applyFont="1" applyFill="1" applyBorder="1" applyAlignment="1">
      <alignment horizontal="right" vertical="center"/>
    </xf>
    <xf numFmtId="0" fontId="0" fillId="0" borderId="53" xfId="0" applyBorder="1"/>
    <xf numFmtId="41" fontId="0" fillId="51" borderId="53" xfId="24" applyNumberFormat="1" applyFont="1" applyFill="1" applyBorder="1" applyAlignment="1">
      <alignment horizontal="right" vertical="center"/>
    </xf>
    <xf numFmtId="168" fontId="0" fillId="0" borderId="53" xfId="0" applyNumberFormat="1" applyBorder="1"/>
    <xf numFmtId="3" fontId="0" fillId="0" borderId="53" xfId="0" applyNumberFormat="1" applyBorder="1"/>
    <xf numFmtId="3" fontId="0" fillId="2" borderId="53" xfId="0" applyNumberFormat="1" applyFill="1" applyBorder="1"/>
    <xf numFmtId="4" fontId="0" fillId="0" borderId="0" xfId="24" applyNumberFormat="1" applyFont="1" applyAlignment="1">
      <alignment horizontal="right" vertical="center"/>
    </xf>
    <xf numFmtId="4" fontId="0" fillId="0" borderId="0" xfId="24" applyNumberFormat="1" applyFont="1" applyFill="1" applyBorder="1" applyAlignment="1">
      <alignment horizontal="right" vertical="center"/>
    </xf>
    <xf numFmtId="4" fontId="4" fillId="2" borderId="9" xfId="24" applyNumberFormat="1" applyFont="1" applyFill="1" applyBorder="1" applyAlignment="1">
      <alignment horizontal="right" vertical="center"/>
    </xf>
    <xf numFmtId="4" fontId="0" fillId="0" borderId="50" xfId="24" applyNumberFormat="1" applyFont="1" applyFill="1" applyBorder="1" applyAlignment="1">
      <alignment horizontal="right" vertical="center"/>
    </xf>
    <xf numFmtId="4" fontId="4" fillId="2" borderId="50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horizontal="right" vertical="center"/>
    </xf>
    <xf numFmtId="4" fontId="3" fillId="2" borderId="9" xfId="24" applyNumberFormat="1" applyFont="1" applyFill="1" applyBorder="1" applyAlignment="1">
      <alignment horizontal="right" vertical="center"/>
    </xf>
    <xf numFmtId="4" fontId="3" fillId="2" borderId="51" xfId="24" applyNumberFormat="1" applyFont="1" applyFill="1" applyBorder="1" applyAlignment="1">
      <alignment horizontal="right" vertical="center"/>
    </xf>
    <xf numFmtId="4" fontId="3" fillId="2" borderId="15" xfId="24" applyNumberFormat="1" applyFont="1" applyFill="1" applyBorder="1" applyAlignment="1">
      <alignment horizontal="right" vertical="center"/>
    </xf>
    <xf numFmtId="4" fontId="4" fillId="2" borderId="51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vertical="center"/>
    </xf>
    <xf numFmtId="4" fontId="0" fillId="51" borderId="43" xfId="24" applyNumberFormat="1" applyFont="1" applyFill="1" applyBorder="1" applyAlignment="1">
      <alignment vertical="center" wrapText="1"/>
    </xf>
    <xf numFmtId="4" fontId="0" fillId="51" borderId="43" xfId="0" applyNumberFormat="1" applyFill="1" applyBorder="1"/>
    <xf numFmtId="4" fontId="4" fillId="2" borderId="12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4" fontId="0" fillId="51" borderId="0" xfId="24" applyNumberFormat="1" applyFont="1" applyFill="1" applyAlignment="1">
      <alignment horizontal="right" vertical="center"/>
    </xf>
    <xf numFmtId="4" fontId="4" fillId="2" borderId="12" xfId="24" applyNumberFormat="1" applyFont="1" applyFill="1" applyBorder="1" applyAlignment="1">
      <alignment horizontal="right" vertical="center"/>
    </xf>
    <xf numFmtId="4" fontId="0" fillId="2" borderId="7" xfId="24" applyNumberFormat="1" applyFont="1" applyFill="1" applyBorder="1" applyAlignment="1">
      <alignment horizontal="right" vertical="center"/>
    </xf>
    <xf numFmtId="4" fontId="0" fillId="2" borderId="13" xfId="24" applyNumberFormat="1" applyFont="1" applyFill="1" applyBorder="1" applyAlignment="1">
      <alignment horizontal="right" vertical="center"/>
    </xf>
    <xf numFmtId="4" fontId="0" fillId="2" borderId="5" xfId="24" applyNumberFormat="1" applyFont="1" applyFill="1" applyBorder="1" applyAlignment="1">
      <alignment horizontal="right" vertical="center"/>
    </xf>
    <xf numFmtId="4" fontId="0" fillId="2" borderId="15" xfId="24" applyNumberFormat="1" applyFont="1" applyFill="1" applyBorder="1" applyAlignment="1">
      <alignment horizontal="right" vertical="center"/>
    </xf>
    <xf numFmtId="4" fontId="0" fillId="0" borderId="44" xfId="24" applyNumberFormat="1" applyFont="1" applyFill="1" applyBorder="1" applyAlignment="1">
      <alignment horizontal="right" vertical="center"/>
    </xf>
    <xf numFmtId="4" fontId="0" fillId="0" borderId="42" xfId="24" applyNumberFormat="1" applyFont="1" applyFill="1" applyBorder="1" applyAlignment="1">
      <alignment horizontal="right" vertical="center"/>
    </xf>
    <xf numFmtId="4" fontId="0" fillId="0" borderId="45" xfId="24" applyNumberFormat="1" applyFont="1" applyFill="1" applyBorder="1" applyAlignment="1">
      <alignment horizontal="right" vertical="center"/>
    </xf>
    <xf numFmtId="4" fontId="4" fillId="2" borderId="7" xfId="24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4" fontId="0" fillId="0" borderId="0" xfId="24" applyNumberFormat="1" applyFont="1" applyAlignment="1">
      <alignment wrapText="1"/>
    </xf>
    <xf numFmtId="4" fontId="5" fillId="2" borderId="12" xfId="0" applyNumberFormat="1" applyFont="1" applyFill="1" applyBorder="1" applyAlignment="1">
      <alignment horizontal="left" vertical="center" wrapText="1"/>
    </xf>
    <xf numFmtId="4" fontId="17" fillId="2" borderId="12" xfId="0" applyNumberFormat="1" applyFont="1" applyFill="1" applyBorder="1" applyAlignment="1">
      <alignment horizontal="right" vertical="center" wrapText="1"/>
    </xf>
    <xf numFmtId="43" fontId="0" fillId="0" borderId="54" xfId="24" applyFont="1" applyBorder="1" applyAlignment="1">
      <alignment horizontal="right" vertical="center"/>
    </xf>
    <xf numFmtId="4" fontId="0" fillId="0" borderId="29" xfId="24" applyNumberFormat="1" applyFont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3" fontId="0" fillId="0" borderId="0" xfId="24" applyFont="1"/>
    <xf numFmtId="4" fontId="4" fillId="0" borderId="0" xfId="0" quotePrefix="1" applyNumberFormat="1" applyFont="1" applyAlignment="1">
      <alignment horizontal="center" vertical="center" wrapText="1"/>
    </xf>
    <xf numFmtId="4" fontId="0" fillId="0" borderId="0" xfId="24" applyNumberFormat="1" applyFont="1" applyFill="1" applyAlignment="1">
      <alignment wrapText="1"/>
    </xf>
    <xf numFmtId="169" fontId="5" fillId="2" borderId="27" xfId="0" applyNumberFormat="1" applyFont="1" applyFill="1" applyBorder="1" applyAlignment="1">
      <alignment horizontal="right" vertical="center"/>
    </xf>
    <xf numFmtId="169" fontId="4" fillId="2" borderId="12" xfId="0" applyNumberFormat="1" applyFont="1" applyFill="1" applyBorder="1" applyAlignment="1">
      <alignment horizontal="right" vertical="center"/>
    </xf>
    <xf numFmtId="49" fontId="0" fillId="2" borderId="55" xfId="0" quotePrefix="1" applyNumberFormat="1" applyFill="1" applyBorder="1" applyAlignment="1">
      <alignment horizontal="center" wrapText="1"/>
    </xf>
    <xf numFmtId="17" fontId="4" fillId="52" borderId="1" xfId="0" quotePrefix="1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1" fontId="0" fillId="2" borderId="8" xfId="24" applyNumberFormat="1" applyFont="1" applyFill="1" applyBorder="1" applyAlignment="1">
      <alignment horizontal="right" vertical="center"/>
    </xf>
    <xf numFmtId="4" fontId="0" fillId="52" borderId="48" xfId="0" applyNumberFormat="1" applyFill="1" applyBorder="1"/>
    <xf numFmtId="17" fontId="4" fillId="2" borderId="1" xfId="0" quotePrefix="1" applyNumberFormat="1" applyFont="1" applyFill="1" applyBorder="1" applyAlignment="1">
      <alignment horizontal="center" wrapText="1"/>
    </xf>
    <xf numFmtId="41" fontId="0" fillId="2" borderId="56" xfId="24" applyNumberFormat="1" applyFont="1" applyFill="1" applyBorder="1" applyAlignment="1">
      <alignment horizontal="center" wrapText="1"/>
    </xf>
    <xf numFmtId="4" fontId="0" fillId="2" borderId="0" xfId="0" applyNumberFormat="1" applyFill="1"/>
    <xf numFmtId="4" fontId="0" fillId="52" borderId="56" xfId="0" applyNumberFormat="1" applyFill="1" applyBorder="1"/>
    <xf numFmtId="41" fontId="0" fillId="2" borderId="48" xfId="24" applyNumberFormat="1" applyFont="1" applyFill="1" applyBorder="1" applyAlignment="1">
      <alignment horizontal="center" wrapText="1"/>
    </xf>
    <xf numFmtId="49" fontId="0" fillId="51" borderId="46" xfId="0" applyNumberFormat="1" applyFill="1" applyBorder="1" applyAlignment="1">
      <alignment horizontal="center"/>
    </xf>
    <xf numFmtId="41" fontId="17" fillId="51" borderId="46" xfId="0" applyNumberFormat="1" applyFont="1" applyFill="1" applyBorder="1" applyAlignment="1">
      <alignment horizontal="right" wrapText="1"/>
    </xf>
    <xf numFmtId="4" fontId="17" fillId="52" borderId="46" xfId="0" applyNumberFormat="1" applyFont="1" applyFill="1" applyBorder="1" applyAlignment="1">
      <alignment horizontal="right" wrapText="1"/>
    </xf>
    <xf numFmtId="49" fontId="4" fillId="2" borderId="11" xfId="0" applyNumberFormat="1" applyFont="1" applyFill="1" applyBorder="1" applyAlignment="1">
      <alignment horizontal="center"/>
    </xf>
    <xf numFmtId="41" fontId="4" fillId="2" borderId="12" xfId="0" applyNumberFormat="1" applyFont="1" applyFill="1" applyBorder="1" applyAlignment="1">
      <alignment horizontal="right"/>
    </xf>
    <xf numFmtId="4" fontId="4" fillId="52" borderId="12" xfId="0" applyNumberFormat="1" applyFont="1" applyFill="1" applyBorder="1" applyAlignment="1">
      <alignment horizontal="right"/>
    </xf>
    <xf numFmtId="17" fontId="4" fillId="52" borderId="1" xfId="0" quotePrefix="1" applyNumberFormat="1" applyFont="1" applyFill="1" applyBorder="1" applyAlignment="1">
      <alignment horizontal="center" vertical="center" wrapText="1"/>
    </xf>
    <xf numFmtId="4" fontId="0" fillId="52" borderId="58" xfId="24" applyNumberFormat="1" applyFont="1" applyFill="1" applyBorder="1" applyAlignment="1">
      <alignment horizontal="right" vertical="center"/>
    </xf>
    <xf numFmtId="4" fontId="0" fillId="52" borderId="58" xfId="0" applyNumberFormat="1" applyFill="1" applyBorder="1"/>
    <xf numFmtId="41" fontId="0" fillId="2" borderId="8" xfId="24" applyNumberFormat="1" applyFont="1" applyFill="1" applyBorder="1" applyAlignment="1">
      <alignment horizontal="right" vertical="center" wrapText="1"/>
    </xf>
    <xf numFmtId="0" fontId="4" fillId="2" borderId="57" xfId="0" applyFont="1" applyFill="1" applyBorder="1"/>
    <xf numFmtId="41" fontId="0" fillId="2" borderId="58" xfId="24" applyNumberFormat="1" applyFont="1" applyFill="1" applyBorder="1" applyAlignment="1">
      <alignment horizontal="right" vertical="center"/>
    </xf>
    <xf numFmtId="41" fontId="0" fillId="52" borderId="58" xfId="24" applyNumberFormat="1" applyFont="1" applyFill="1" applyBorder="1" applyAlignment="1">
      <alignment horizontal="right" vertical="center"/>
    </xf>
    <xf numFmtId="4" fontId="0" fillId="0" borderId="58" xfId="24" applyNumberFormat="1" applyFont="1" applyBorder="1" applyAlignment="1">
      <alignment horizontal="right" vertical="center"/>
    </xf>
    <xf numFmtId="0" fontId="0" fillId="2" borderId="58" xfId="0" applyFill="1" applyBorder="1"/>
    <xf numFmtId="0" fontId="0" fillId="52" borderId="58" xfId="0" applyFill="1" applyBorder="1"/>
    <xf numFmtId="4" fontId="0" fillId="0" borderId="58" xfId="0" applyNumberFormat="1" applyBorder="1"/>
    <xf numFmtId="41" fontId="4" fillId="2" borderId="58" xfId="24" applyNumberFormat="1" applyFont="1" applyFill="1" applyBorder="1" applyAlignment="1">
      <alignment horizontal="right" vertical="center"/>
    </xf>
    <xf numFmtId="41" fontId="4" fillId="52" borderId="58" xfId="24" applyNumberFormat="1" applyFont="1" applyFill="1" applyBorder="1" applyAlignment="1">
      <alignment horizontal="right" vertical="center"/>
    </xf>
    <xf numFmtId="4" fontId="4" fillId="2" borderId="58" xfId="24" applyNumberFormat="1" applyFont="1" applyFill="1" applyBorder="1" applyAlignment="1">
      <alignment horizontal="right" vertical="center"/>
    </xf>
    <xf numFmtId="41" fontId="0" fillId="0" borderId="58" xfId="24" applyNumberFormat="1" applyFont="1" applyFill="1" applyBorder="1" applyAlignment="1">
      <alignment horizontal="right" vertical="center"/>
    </xf>
    <xf numFmtId="4" fontId="4" fillId="0" borderId="58" xfId="24" applyNumberFormat="1" applyFont="1" applyFill="1" applyBorder="1" applyAlignment="1">
      <alignment horizontal="right" vertical="center"/>
    </xf>
    <xf numFmtId="17" fontId="4" fillId="0" borderId="59" xfId="0" quotePrefix="1" applyNumberFormat="1" applyFont="1" applyBorder="1" applyAlignment="1">
      <alignment horizontal="center" wrapText="1"/>
    </xf>
    <xf numFmtId="41" fontId="0" fillId="0" borderId="59" xfId="24" applyNumberFormat="1" applyFont="1" applyFill="1" applyBorder="1" applyAlignment="1">
      <alignment horizontal="right" vertical="center"/>
    </xf>
    <xf numFmtId="4" fontId="0" fillId="0" borderId="59" xfId="24" applyNumberFormat="1" applyFont="1" applyBorder="1" applyAlignment="1">
      <alignment horizontal="right" vertical="center"/>
    </xf>
    <xf numFmtId="4" fontId="0" fillId="52" borderId="59" xfId="24" applyNumberFormat="1" applyFont="1" applyFill="1" applyBorder="1" applyAlignment="1">
      <alignment horizontal="right" vertical="center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4" fontId="0" fillId="2" borderId="59" xfId="24" applyNumberFormat="1" applyFont="1" applyFill="1" applyBorder="1" applyAlignment="1">
      <alignment horizontal="right" vertical="center"/>
    </xf>
    <xf numFmtId="4" fontId="0" fillId="2" borderId="58" xfId="24" applyNumberFormat="1" applyFont="1" applyFill="1" applyBorder="1" applyAlignment="1">
      <alignment horizontal="right" vertical="center"/>
    </xf>
    <xf numFmtId="4" fontId="0" fillId="2" borderId="58" xfId="0" applyNumberFormat="1" applyFill="1" applyBorder="1"/>
    <xf numFmtId="41" fontId="0" fillId="2" borderId="59" xfId="24" applyNumberFormat="1" applyFont="1" applyFill="1" applyBorder="1" applyAlignment="1">
      <alignment horizontal="right" vertical="center"/>
    </xf>
    <xf numFmtId="41" fontId="0" fillId="52" borderId="59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/>
    <xf numFmtId="4" fontId="0" fillId="0" borderId="43" xfId="24" applyNumberFormat="1" applyFont="1" applyFill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4" fontId="0" fillId="2" borderId="0" xfId="24" applyNumberFormat="1" applyFont="1" applyFill="1" applyAlignment="1">
      <alignment vertical="center"/>
    </xf>
    <xf numFmtId="4" fontId="0" fillId="2" borderId="43" xfId="24" applyNumberFormat="1" applyFont="1" applyFill="1" applyBorder="1" applyAlignment="1">
      <alignment vertical="center" wrapText="1"/>
    </xf>
    <xf numFmtId="4" fontId="0" fillId="52" borderId="0" xfId="24" applyNumberFormat="1" applyFont="1" applyFill="1" applyAlignment="1">
      <alignment vertical="center"/>
    </xf>
    <xf numFmtId="4" fontId="0" fillId="52" borderId="43" xfId="24" applyNumberFormat="1" applyFont="1" applyFill="1" applyBorder="1" applyAlignment="1">
      <alignment vertical="center" wrapText="1"/>
    </xf>
    <xf numFmtId="4" fontId="4" fillId="52" borderId="12" xfId="0" applyNumberFormat="1" applyFont="1" applyFill="1" applyBorder="1" applyAlignment="1">
      <alignment horizontal="right" vertical="center"/>
    </xf>
    <xf numFmtId="49" fontId="0" fillId="2" borderId="60" xfId="24" applyNumberFormat="1" applyFont="1" applyFill="1" applyBorder="1" applyAlignment="1">
      <alignment horizontal="center" vertical="center"/>
    </xf>
    <xf numFmtId="49" fontId="5" fillId="2" borderId="60" xfId="0" applyNumberFormat="1" applyFont="1" applyFill="1" applyBorder="1" applyAlignment="1">
      <alignment horizontal="left" vertical="center" wrapText="1"/>
    </xf>
    <xf numFmtId="4" fontId="3" fillId="2" borderId="61" xfId="24" applyNumberFormat="1" applyFont="1" applyFill="1" applyBorder="1" applyAlignment="1">
      <alignment horizontal="right" vertical="center"/>
    </xf>
    <xf numFmtId="49" fontId="0" fillId="2" borderId="14" xfId="24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 vertical="center"/>
    </xf>
    <xf numFmtId="41" fontId="0" fillId="2" borderId="7" xfId="24" applyNumberFormat="1" applyFont="1" applyFill="1" applyBorder="1" applyAlignment="1">
      <alignment horizontal="left" vertical="center"/>
    </xf>
    <xf numFmtId="43" fontId="0" fillId="0" borderId="63" xfId="24" applyFont="1" applyFill="1" applyBorder="1" applyAlignment="1">
      <alignment horizontal="right" vertical="center"/>
    </xf>
    <xf numFmtId="169" fontId="0" fillId="0" borderId="53" xfId="24" applyNumberFormat="1" applyFont="1" applyFill="1" applyBorder="1" applyAlignment="1">
      <alignment horizontal="right" vertical="center"/>
    </xf>
    <xf numFmtId="169" fontId="0" fillId="2" borderId="52" xfId="24" applyNumberFormat="1" applyFont="1" applyFill="1" applyBorder="1" applyAlignment="1">
      <alignment horizontal="right" vertical="center"/>
    </xf>
    <xf numFmtId="4" fontId="0" fillId="0" borderId="53" xfId="0" applyNumberFormat="1" applyBorder="1"/>
    <xf numFmtId="4" fontId="0" fillId="0" borderId="0" xfId="24" applyNumberFormat="1" applyFont="1" applyFill="1" applyAlignment="1">
      <alignment horizontal="center" vertical="center"/>
    </xf>
    <xf numFmtId="4" fontId="5" fillId="0" borderId="50" xfId="24" applyNumberFormat="1" applyFont="1" applyFill="1" applyBorder="1" applyAlignment="1">
      <alignment horizontal="right" vertical="center"/>
    </xf>
    <xf numFmtId="6" fontId="5" fillId="2" borderId="27" xfId="0" applyNumberFormat="1" applyFont="1" applyFill="1" applyBorder="1" applyAlignment="1">
      <alignment horizontal="right" vertical="center"/>
    </xf>
    <xf numFmtId="6" fontId="5" fillId="2" borderId="12" xfId="0" applyNumberFormat="1" applyFont="1" applyFill="1" applyBorder="1" applyAlignment="1">
      <alignment horizontal="right" vertical="center"/>
    </xf>
    <xf numFmtId="0" fontId="5" fillId="2" borderId="26" xfId="0" quotePrefix="1" applyFont="1" applyFill="1" applyBorder="1" applyAlignment="1">
      <alignment horizontal="center" vertical="center"/>
    </xf>
    <xf numFmtId="6" fontId="4" fillId="2" borderId="12" xfId="0" applyNumberFormat="1" applyFont="1" applyFill="1" applyBorder="1" applyAlignment="1">
      <alignment horizontal="right" vertical="center"/>
    </xf>
    <xf numFmtId="0" fontId="72" fillId="0" borderId="0" xfId="0" applyFont="1"/>
    <xf numFmtId="0" fontId="73" fillId="0" borderId="0" xfId="0" applyFont="1"/>
    <xf numFmtId="43" fontId="0" fillId="0" borderId="0" xfId="24" applyFont="1" applyFill="1" applyAlignment="1">
      <alignment vertical="center"/>
    </xf>
    <xf numFmtId="43" fontId="71" fillId="0" borderId="0" xfId="24" applyFont="1"/>
    <xf numFmtId="43" fontId="4" fillId="2" borderId="12" xfId="24" applyFont="1" applyFill="1" applyBorder="1" applyAlignment="1">
      <alignment horizontal="right" vertical="center"/>
    </xf>
    <xf numFmtId="43" fontId="73" fillId="0" borderId="0" xfId="24" applyFont="1" applyAlignment="1">
      <alignment horizontal="left" vertical="center"/>
    </xf>
    <xf numFmtId="49" fontId="3" fillId="2" borderId="51" xfId="24" applyNumberFormat="1" applyFont="1" applyFill="1" applyBorder="1" applyAlignment="1">
      <alignment horizontal="left" vertical="center"/>
    </xf>
    <xf numFmtId="49" fontId="0" fillId="2" borderId="51" xfId="24" applyNumberFormat="1" applyFont="1" applyFill="1" applyBorder="1" applyAlignment="1">
      <alignment horizontal="left" vertical="center"/>
    </xf>
    <xf numFmtId="49" fontId="5" fillId="2" borderId="64" xfId="0" applyNumberFormat="1" applyFont="1" applyFill="1" applyBorder="1" applyAlignment="1">
      <alignment horizontal="left" vertical="center" wrapText="1"/>
    </xf>
    <xf numFmtId="49" fontId="5" fillId="2" borderId="65" xfId="0" applyNumberFormat="1" applyFont="1" applyFill="1" applyBorder="1" applyAlignment="1">
      <alignment horizontal="left" vertical="center" wrapText="1"/>
    </xf>
    <xf numFmtId="4" fontId="3" fillId="2" borderId="66" xfId="24" applyNumberFormat="1" applyFont="1" applyFill="1" applyBorder="1" applyAlignment="1">
      <alignment horizontal="right" vertical="center"/>
    </xf>
    <xf numFmtId="4" fontId="3" fillId="2" borderId="67" xfId="24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 vertical="center"/>
    </xf>
    <xf numFmtId="4" fontId="3" fillId="2" borderId="12" xfId="24" applyNumberFormat="1" applyFont="1" applyFill="1" applyBorder="1" applyAlignment="1">
      <alignment horizontal="right" vertical="center"/>
    </xf>
    <xf numFmtId="4" fontId="0" fillId="2" borderId="27" xfId="0" applyNumberFormat="1" applyFill="1" applyBorder="1" applyAlignment="1">
      <alignment horizontal="right" vertical="center"/>
    </xf>
    <xf numFmtId="49" fontId="9" fillId="2" borderId="0" xfId="281" applyNumberFormat="1" applyFont="1" applyFill="1" applyBorder="1" applyAlignment="1">
      <alignment horizontal="left"/>
    </xf>
    <xf numFmtId="169" fontId="0" fillId="2" borderId="7" xfId="0" applyNumberFormat="1" applyFill="1" applyBorder="1" applyAlignment="1">
      <alignment horizontal="right" vertical="center"/>
    </xf>
    <xf numFmtId="41" fontId="4" fillId="0" borderId="25" xfId="24" applyNumberFormat="1" applyFont="1" applyFill="1" applyBorder="1" applyAlignment="1">
      <alignment horizontal="right" vertical="center"/>
    </xf>
    <xf numFmtId="4" fontId="3" fillId="2" borderId="39" xfId="24" applyNumberFormat="1" applyFont="1" applyFill="1" applyBorder="1" applyAlignment="1">
      <alignment horizontal="right" vertical="center"/>
    </xf>
    <xf numFmtId="0" fontId="4" fillId="3" borderId="68" xfId="0" applyFont="1" applyFill="1" applyBorder="1" applyAlignment="1">
      <alignment horizontal="center" wrapText="1"/>
    </xf>
    <xf numFmtId="49" fontId="0" fillId="2" borderId="39" xfId="24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left" vertical="center" wrapText="1"/>
    </xf>
    <xf numFmtId="49" fontId="3" fillId="2" borderId="39" xfId="24" applyNumberFormat="1" applyFont="1" applyFill="1" applyBorder="1" applyAlignment="1">
      <alignment horizontal="left" vertical="center"/>
    </xf>
    <xf numFmtId="4" fontId="0" fillId="2" borderId="39" xfId="0" applyNumberFormat="1" applyFill="1" applyBorder="1" applyAlignment="1">
      <alignment horizontal="right" vertical="center"/>
    </xf>
    <xf numFmtId="49" fontId="3" fillId="2" borderId="39" xfId="24" applyNumberFormat="1" applyFont="1" applyFill="1" applyBorder="1" applyAlignment="1">
      <alignment horizontal="center" vertical="center"/>
    </xf>
    <xf numFmtId="49" fontId="0" fillId="2" borderId="39" xfId="24" quotePrefix="1" applyNumberFormat="1" applyFont="1" applyFill="1" applyBorder="1" applyAlignment="1">
      <alignment horizontal="center" vertical="center"/>
    </xf>
    <xf numFmtId="49" fontId="0" fillId="2" borderId="39" xfId="24" applyNumberFormat="1" applyFont="1" applyFill="1" applyBorder="1" applyAlignment="1">
      <alignment horizontal="left" vertical="center"/>
    </xf>
    <xf numFmtId="0" fontId="0" fillId="2" borderId="39" xfId="0" applyFill="1" applyBorder="1" applyAlignment="1">
      <alignment wrapText="1"/>
    </xf>
    <xf numFmtId="43" fontId="3" fillId="2" borderId="39" xfId="24" applyFont="1" applyFill="1" applyBorder="1" applyAlignment="1">
      <alignment horizontal="left" vertical="center"/>
    </xf>
    <xf numFmtId="43" fontId="5" fillId="2" borderId="39" xfId="24" applyFont="1" applyFill="1" applyBorder="1" applyAlignment="1">
      <alignment horizontal="left" vertical="center" wrapText="1"/>
    </xf>
    <xf numFmtId="43" fontId="0" fillId="2" borderId="39" xfId="24" applyFont="1" applyFill="1" applyBorder="1" applyAlignment="1">
      <alignment horizontal="left" vertical="center"/>
    </xf>
    <xf numFmtId="4" fontId="0" fillId="0" borderId="39" xfId="24" applyNumberFormat="1" applyFont="1" applyFill="1" applyBorder="1" applyAlignment="1">
      <alignment horizontal="right" vertical="center"/>
    </xf>
    <xf numFmtId="4" fontId="0" fillId="51" borderId="39" xfId="24" applyNumberFormat="1" applyFont="1" applyFill="1" applyBorder="1" applyAlignment="1">
      <alignment horizontal="right" vertical="center"/>
    </xf>
    <xf numFmtId="4" fontId="0" fillId="0" borderId="39" xfId="0" quotePrefix="1" applyNumberFormat="1" applyBorder="1" applyAlignment="1">
      <alignment horizontal="right" vertical="center" wrapText="1"/>
    </xf>
    <xf numFmtId="0" fontId="0" fillId="0" borderId="39" xfId="0" applyBorder="1"/>
    <xf numFmtId="4" fontId="5" fillId="51" borderId="39" xfId="24" applyNumberFormat="1" applyFont="1" applyFill="1" applyBorder="1" applyAlignment="1">
      <alignment horizontal="right" vertical="center"/>
    </xf>
    <xf numFmtId="4" fontId="4" fillId="2" borderId="69" xfId="24" applyNumberFormat="1" applyFont="1" applyFill="1" applyBorder="1" applyAlignment="1">
      <alignment horizontal="right" vertical="center"/>
    </xf>
    <xf numFmtId="41" fontId="4" fillId="0" borderId="39" xfId="24" applyNumberFormat="1" applyFont="1" applyFill="1" applyBorder="1" applyAlignment="1">
      <alignment horizontal="right" vertical="center"/>
    </xf>
    <xf numFmtId="41" fontId="4" fillId="2" borderId="39" xfId="24" applyNumberFormat="1" applyFont="1" applyFill="1" applyBorder="1" applyAlignment="1">
      <alignment horizontal="left" vertical="center"/>
    </xf>
    <xf numFmtId="41" fontId="4" fillId="2" borderId="39" xfId="24" applyNumberFormat="1" applyFont="1" applyFill="1" applyBorder="1" applyAlignment="1">
      <alignment horizontal="right" vertical="center"/>
    </xf>
    <xf numFmtId="4" fontId="4" fillId="2" borderId="39" xfId="24" applyNumberFormat="1" applyFont="1" applyFill="1" applyBorder="1" applyAlignment="1">
      <alignment horizontal="right" vertical="center"/>
    </xf>
    <xf numFmtId="0" fontId="0" fillId="2" borderId="70" xfId="0" applyFill="1" applyBorder="1"/>
    <xf numFmtId="49" fontId="0" fillId="2" borderId="70" xfId="24" applyNumberFormat="1" applyFont="1" applyFill="1" applyBorder="1" applyAlignment="1">
      <alignment horizontal="center" vertical="center"/>
    </xf>
    <xf numFmtId="49" fontId="3" fillId="2" borderId="70" xfId="24" applyNumberFormat="1" applyFont="1" applyFill="1" applyBorder="1" applyAlignment="1">
      <alignment horizontal="left" vertical="center"/>
    </xf>
    <xf numFmtId="43" fontId="3" fillId="2" borderId="70" xfId="24" applyFont="1" applyFill="1" applyBorder="1" applyAlignment="1">
      <alignment horizontal="left" vertical="center"/>
    </xf>
    <xf numFmtId="4" fontId="3" fillId="2" borderId="70" xfId="24" applyNumberFormat="1" applyFont="1" applyFill="1" applyBorder="1" applyAlignment="1">
      <alignment horizontal="right" vertical="center"/>
    </xf>
    <xf numFmtId="0" fontId="0" fillId="0" borderId="40" xfId="0" applyBorder="1"/>
    <xf numFmtId="41" fontId="0" fillId="0" borderId="39" xfId="24" applyNumberFormat="1" applyFont="1" applyFill="1" applyBorder="1" applyAlignment="1">
      <alignment horizontal="right" vertical="center"/>
    </xf>
    <xf numFmtId="41" fontId="0" fillId="51" borderId="39" xfId="24" applyNumberFormat="1" applyFont="1" applyFill="1" applyBorder="1" applyAlignment="1">
      <alignment horizontal="right" vertical="center"/>
    </xf>
    <xf numFmtId="49" fontId="3" fillId="2" borderId="39" xfId="24" quotePrefix="1" applyNumberFormat="1" applyFont="1" applyFill="1" applyBorder="1" applyAlignment="1">
      <alignment horizontal="center" vertical="center"/>
    </xf>
    <xf numFmtId="49" fontId="3" fillId="2" borderId="39" xfId="24" quotePrefix="1" applyNumberFormat="1" applyFont="1" applyFill="1" applyBorder="1" applyAlignment="1">
      <alignment horizontal="left" vertical="center"/>
    </xf>
    <xf numFmtId="0" fontId="0" fillId="2" borderId="39" xfId="0" quotePrefix="1" applyFill="1" applyBorder="1" applyAlignment="1">
      <alignment wrapText="1"/>
    </xf>
    <xf numFmtId="41" fontId="5" fillId="53" borderId="27" xfId="0" applyNumberFormat="1" applyFont="1" applyFill="1" applyBorder="1" applyAlignment="1">
      <alignment horizontal="right" vertical="center"/>
    </xf>
    <xf numFmtId="43" fontId="0" fillId="0" borderId="29" xfId="24" applyFont="1" applyFill="1" applyBorder="1" applyAlignment="1">
      <alignment horizontal="right" vertical="center"/>
    </xf>
    <xf numFmtId="43" fontId="0" fillId="0" borderId="0" xfId="24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4" fillId="2" borderId="0" xfId="0" applyFont="1" applyFill="1" applyAlignment="1">
      <alignment horizontal="center"/>
    </xf>
    <xf numFmtId="41" fontId="4" fillId="0" borderId="50" xfId="24" applyNumberFormat="1" applyFont="1" applyFill="1" applyBorder="1" applyAlignment="1">
      <alignment horizontal="center" vertical="center"/>
    </xf>
    <xf numFmtId="4" fontId="4" fillId="2" borderId="50" xfId="24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74" fillId="0" borderId="71" xfId="0" applyNumberFormat="1" applyFont="1" applyBorder="1" applyAlignment="1">
      <alignment horizontal="right" vertical="center" wrapText="1"/>
    </xf>
    <xf numFmtId="0" fontId="74" fillId="0" borderId="71" xfId="0" applyFont="1" applyBorder="1" applyAlignment="1">
      <alignment vertical="center" wrapText="1"/>
    </xf>
    <xf numFmtId="0" fontId="75" fillId="54" borderId="39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4" fontId="3" fillId="2" borderId="0" xfId="24" applyNumberFormat="1" applyFont="1" applyFill="1" applyBorder="1" applyAlignment="1">
      <alignment horizontal="right" vertical="center"/>
    </xf>
    <xf numFmtId="4" fontId="3" fillId="2" borderId="25" xfId="24" applyNumberFormat="1" applyFont="1" applyFill="1" applyBorder="1" applyAlignment="1">
      <alignment horizontal="right" vertical="center"/>
    </xf>
    <xf numFmtId="44" fontId="4" fillId="0" borderId="0" xfId="282" quotePrefix="1" applyFont="1" applyFill="1" applyBorder="1" applyAlignment="1">
      <alignment horizontal="center" vertical="center" wrapText="1"/>
    </xf>
    <xf numFmtId="44" fontId="4" fillId="0" borderId="0" xfId="282" applyFont="1" applyFill="1" applyBorder="1" applyAlignment="1">
      <alignment horizontal="center" wrapText="1"/>
    </xf>
    <xf numFmtId="44" fontId="4" fillId="0" borderId="0" xfId="282" applyFont="1" applyFill="1" applyBorder="1" applyAlignment="1">
      <alignment horizontal="center" vertical="center" wrapText="1"/>
    </xf>
    <xf numFmtId="44" fontId="4" fillId="0" borderId="50" xfId="282" applyFont="1" applyFill="1" applyBorder="1" applyAlignment="1">
      <alignment horizontal="center" vertical="center"/>
    </xf>
    <xf numFmtId="44" fontId="0" fillId="0" borderId="50" xfId="282" applyFont="1" applyFill="1" applyBorder="1" applyAlignment="1">
      <alignment horizontal="center" vertical="center"/>
    </xf>
    <xf numFmtId="44" fontId="4" fillId="0" borderId="0" xfId="282" applyFont="1" applyFill="1" applyAlignment="1">
      <alignment horizontal="center"/>
    </xf>
    <xf numFmtId="44" fontId="5" fillId="0" borderId="50" xfId="282" applyFont="1" applyFill="1" applyBorder="1" applyAlignment="1">
      <alignment horizontal="center" vertical="center"/>
    </xf>
    <xf numFmtId="44" fontId="0" fillId="0" borderId="0" xfId="282" applyFont="1" applyFill="1" applyAlignment="1">
      <alignment horizontal="center"/>
    </xf>
    <xf numFmtId="49" fontId="4" fillId="0" borderId="72" xfId="0" applyNumberFormat="1" applyFont="1" applyBorder="1" applyAlignment="1">
      <alignment horizontal="center" wrapText="1"/>
    </xf>
    <xf numFmtId="0" fontId="0" fillId="2" borderId="39" xfId="0" applyFill="1" applyBorder="1" applyAlignment="1">
      <alignment horizontal="left" vertical="center"/>
    </xf>
    <xf numFmtId="168" fontId="0" fillId="2" borderId="39" xfId="282" applyNumberFormat="1" applyFont="1" applyFill="1" applyBorder="1" applyAlignment="1">
      <alignment horizontal="left" vertical="center"/>
    </xf>
    <xf numFmtId="0" fontId="73" fillId="2" borderId="39" xfId="0" applyFont="1" applyFill="1" applyBorder="1" applyAlignment="1">
      <alignment vertical="center" wrapText="1"/>
    </xf>
    <xf numFmtId="49" fontId="73" fillId="2" borderId="39" xfId="0" applyNumberFormat="1" applyFont="1" applyFill="1" applyBorder="1" applyAlignment="1">
      <alignment horizontal="right" vertical="center" wrapText="1"/>
    </xf>
    <xf numFmtId="49" fontId="73" fillId="2" borderId="39" xfId="0" applyNumberFormat="1" applyFont="1" applyFill="1" applyBorder="1" applyAlignment="1">
      <alignment horizontal="right" vertical="center"/>
    </xf>
    <xf numFmtId="49" fontId="0" fillId="2" borderId="73" xfId="0" applyNumberFormat="1" applyFill="1" applyBorder="1" applyAlignment="1">
      <alignment horizontal="left" vertical="center" wrapText="1"/>
    </xf>
    <xf numFmtId="49" fontId="0" fillId="2" borderId="57" xfId="0" applyNumberFormat="1" applyFill="1" applyBorder="1" applyAlignment="1">
      <alignment horizontal="left" vertical="center" wrapText="1"/>
    </xf>
    <xf numFmtId="4" fontId="0" fillId="0" borderId="25" xfId="24" applyNumberFormat="1" applyFont="1" applyFill="1" applyBorder="1" applyAlignment="1">
      <alignment horizontal="right" vertical="center"/>
    </xf>
    <xf numFmtId="8" fontId="0" fillId="0" borderId="0" xfId="0" applyNumberFormat="1"/>
    <xf numFmtId="6" fontId="73" fillId="2" borderId="39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top"/>
    </xf>
    <xf numFmtId="169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center" vertical="center"/>
    </xf>
    <xf numFmtId="169" fontId="0" fillId="2" borderId="6" xfId="0" applyNumberFormat="1" applyFill="1" applyBorder="1" applyAlignment="1">
      <alignment horizontal="right" vertical="center"/>
    </xf>
    <xf numFmtId="0" fontId="5" fillId="2" borderId="12" xfId="0" quotePrefix="1" applyFont="1" applyFill="1" applyBorder="1" applyAlignment="1">
      <alignment horizontal="center" vertical="center" wrapText="1"/>
    </xf>
    <xf numFmtId="4" fontId="0" fillId="2" borderId="0" xfId="24" applyNumberFormat="1" applyFont="1" applyFill="1" applyBorder="1" applyAlignment="1">
      <alignment horizontal="right" vertical="center"/>
    </xf>
    <xf numFmtId="6" fontId="0" fillId="2" borderId="7" xfId="24" applyNumberFormat="1" applyFont="1" applyFill="1" applyBorder="1" applyAlignment="1">
      <alignment horizontal="right" vertical="center"/>
    </xf>
    <xf numFmtId="168" fontId="0" fillId="0" borderId="0" xfId="282" applyNumberFormat="1" applyFont="1" applyFill="1"/>
    <xf numFmtId="41" fontId="0" fillId="2" borderId="7" xfId="24" quotePrefix="1" applyNumberFormat="1" applyFont="1" applyFill="1" applyBorder="1" applyAlignment="1">
      <alignment horizontal="right" vertical="center"/>
    </xf>
    <xf numFmtId="8" fontId="0" fillId="2" borderId="7" xfId="24" applyNumberFormat="1" applyFont="1" applyFill="1" applyBorder="1" applyAlignment="1">
      <alignment horizontal="right" vertical="center"/>
    </xf>
    <xf numFmtId="4" fontId="0" fillId="2" borderId="74" xfId="24" applyNumberFormat="1" applyFont="1" applyFill="1" applyBorder="1" applyAlignment="1">
      <alignment horizontal="right" vertical="center"/>
    </xf>
    <xf numFmtId="164" fontId="0" fillId="2" borderId="25" xfId="0" quotePrefix="1" applyNumberFormat="1" applyFill="1" applyBorder="1" applyAlignment="1">
      <alignment horizontal="center" vertical="center" wrapText="1"/>
    </xf>
    <xf numFmtId="49" fontId="4" fillId="0" borderId="75" xfId="0" applyNumberFormat="1" applyFont="1" applyBorder="1"/>
    <xf numFmtId="0" fontId="4" fillId="0" borderId="76" xfId="0" applyFont="1" applyBorder="1"/>
    <xf numFmtId="49" fontId="4" fillId="0" borderId="76" xfId="0" applyNumberFormat="1" applyFont="1" applyBorder="1"/>
    <xf numFmtId="6" fontId="4" fillId="0" borderId="76" xfId="0" applyNumberFormat="1" applyFont="1" applyBorder="1"/>
    <xf numFmtId="6" fontId="4" fillId="0" borderId="77" xfId="0" applyNumberFormat="1" applyFont="1" applyBorder="1"/>
    <xf numFmtId="6" fontId="4" fillId="2" borderId="7" xfId="0" applyNumberFormat="1" applyFont="1" applyFill="1" applyBorder="1" applyAlignment="1">
      <alignment horizontal="right" vertical="center"/>
    </xf>
    <xf numFmtId="4" fontId="17" fillId="0" borderId="0" xfId="24" applyNumberFormat="1" applyFont="1" applyFill="1" applyAlignment="1">
      <alignment horizontal="right" vertical="center"/>
    </xf>
    <xf numFmtId="8" fontId="5" fillId="0" borderId="0" xfId="0" applyNumberFormat="1" applyFont="1"/>
    <xf numFmtId="0" fontId="5" fillId="0" borderId="0" xfId="0" applyFont="1"/>
    <xf numFmtId="43" fontId="5" fillId="0" borderId="0" xfId="0" applyNumberFormat="1" applyFont="1"/>
    <xf numFmtId="43" fontId="5" fillId="0" borderId="0" xfId="24" applyFont="1"/>
    <xf numFmtId="4" fontId="5" fillId="0" borderId="0" xfId="0" applyNumberFormat="1" applyFont="1"/>
    <xf numFmtId="43" fontId="80" fillId="0" borderId="54" xfId="24" applyFont="1" applyFill="1" applyBorder="1" applyAlignment="1">
      <alignment horizontal="right" vertical="center"/>
    </xf>
    <xf numFmtId="43" fontId="80" fillId="0" borderId="0" xfId="0" applyNumberFormat="1" applyFont="1"/>
    <xf numFmtId="0" fontId="81" fillId="0" borderId="0" xfId="0" applyFont="1"/>
    <xf numFmtId="8" fontId="81" fillId="0" borderId="39" xfId="0" applyNumberFormat="1" applyFont="1" applyBorder="1"/>
    <xf numFmtId="43" fontId="81" fillId="0" borderId="39" xfId="24" applyFont="1" applyFill="1" applyBorder="1" applyAlignment="1">
      <alignment horizontal="right" vertical="center"/>
    </xf>
    <xf numFmtId="43" fontId="81" fillId="51" borderId="39" xfId="24" applyFont="1" applyFill="1" applyBorder="1" applyAlignment="1">
      <alignment horizontal="right" vertical="center"/>
    </xf>
    <xf numFmtId="43" fontId="81" fillId="0" borderId="39" xfId="0" applyNumberFormat="1" applyFont="1" applyBorder="1" applyAlignment="1">
      <alignment horizontal="right" vertical="center"/>
    </xf>
    <xf numFmtId="43" fontId="81" fillId="51" borderId="39" xfId="0" applyNumberFormat="1" applyFont="1" applyFill="1" applyBorder="1" applyAlignment="1">
      <alignment horizontal="right" vertical="center"/>
    </xf>
    <xf numFmtId="4" fontId="81" fillId="0" borderId="39" xfId="285" applyNumberFormat="1" applyFont="1" applyBorder="1" applyAlignment="1">
      <alignment horizontal="right"/>
    </xf>
    <xf numFmtId="4" fontId="81" fillId="51" borderId="39" xfId="285" applyNumberFormat="1" applyFont="1" applyFill="1" applyBorder="1" applyAlignment="1">
      <alignment horizontal="right"/>
    </xf>
    <xf numFmtId="4" fontId="81" fillId="0" borderId="39" xfId="0" applyNumberFormat="1" applyFont="1" applyBorder="1" applyAlignment="1">
      <alignment vertical="center"/>
    </xf>
    <xf numFmtId="43" fontId="81" fillId="51" borderId="39" xfId="24" applyFont="1" applyFill="1" applyBorder="1" applyAlignment="1">
      <alignment horizontal="center" vertical="center"/>
    </xf>
    <xf numFmtId="0" fontId="81" fillId="0" borderId="39" xfId="0" applyFont="1" applyBorder="1"/>
    <xf numFmtId="0" fontId="81" fillId="51" borderId="39" xfId="0" applyFont="1" applyFill="1" applyBorder="1"/>
    <xf numFmtId="43" fontId="85" fillId="51" borderId="39" xfId="0" applyNumberFormat="1" applyFont="1" applyFill="1" applyBorder="1" applyAlignment="1">
      <alignment horizontal="right" vertical="center"/>
    </xf>
    <xf numFmtId="43" fontId="81" fillId="0" borderId="39" xfId="0" applyNumberFormat="1" applyFont="1" applyBorder="1"/>
    <xf numFmtId="3" fontId="81" fillId="51" borderId="39" xfId="0" applyNumberFormat="1" applyFont="1" applyFill="1" applyBorder="1"/>
    <xf numFmtId="4" fontId="81" fillId="51" borderId="39" xfId="0" applyNumberFormat="1" applyFont="1" applyFill="1" applyBorder="1"/>
    <xf numFmtId="43" fontId="81" fillId="51" borderId="39" xfId="24" applyFont="1" applyFill="1" applyBorder="1"/>
    <xf numFmtId="43" fontId="81" fillId="51" borderId="39" xfId="0" applyNumberFormat="1" applyFont="1" applyFill="1" applyBorder="1"/>
    <xf numFmtId="8" fontId="81" fillId="51" borderId="39" xfId="24" applyNumberFormat="1" applyFont="1" applyFill="1" applyBorder="1" applyAlignment="1">
      <alignment horizontal="right" vertical="center"/>
    </xf>
    <xf numFmtId="0" fontId="81" fillId="2" borderId="39" xfId="0" applyFont="1" applyFill="1" applyBorder="1" applyAlignment="1">
      <alignment horizontal="left" vertical="center"/>
    </xf>
    <xf numFmtId="168" fontId="81" fillId="2" borderId="39" xfId="282" applyNumberFormat="1" applyFont="1" applyFill="1" applyBorder="1" applyAlignment="1">
      <alignment horizontal="left"/>
    </xf>
    <xf numFmtId="43" fontId="81" fillId="2" borderId="39" xfId="0" applyNumberFormat="1" applyFont="1" applyFill="1" applyBorder="1" applyAlignment="1">
      <alignment horizontal="right"/>
    </xf>
    <xf numFmtId="8" fontId="81" fillId="2" borderId="39" xfId="0" applyNumberFormat="1" applyFont="1" applyFill="1" applyBorder="1" applyAlignment="1">
      <alignment horizontal="right"/>
    </xf>
    <xf numFmtId="43" fontId="81" fillId="0" borderId="0" xfId="0" applyNumberFormat="1" applyFont="1"/>
    <xf numFmtId="3" fontId="81" fillId="0" borderId="0" xfId="0" applyNumberFormat="1" applyFont="1" applyAlignment="1">
      <alignment vertical="top"/>
    </xf>
    <xf numFmtId="43" fontId="81" fillId="0" borderId="0" xfId="24" applyFont="1" applyFill="1" applyAlignment="1">
      <alignment horizontal="right" vertical="center"/>
    </xf>
    <xf numFmtId="43" fontId="85" fillId="0" borderId="0" xfId="0" applyNumberFormat="1" applyFont="1" applyAlignment="1">
      <alignment horizontal="right" vertical="center"/>
    </xf>
    <xf numFmtId="49" fontId="86" fillId="2" borderId="0" xfId="0" applyNumberFormat="1" applyFont="1" applyFill="1"/>
    <xf numFmtId="0" fontId="5" fillId="2" borderId="0" xfId="0" applyFont="1" applyFill="1"/>
    <xf numFmtId="49" fontId="8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86" fillId="2" borderId="0" xfId="0" applyFont="1" applyFill="1" applyAlignment="1">
      <alignment horizontal="left"/>
    </xf>
    <xf numFmtId="0" fontId="86" fillId="2" borderId="0" xfId="0" applyFont="1" applyFill="1"/>
    <xf numFmtId="0" fontId="87" fillId="2" borderId="0" xfId="0" applyFont="1" applyFill="1"/>
    <xf numFmtId="0" fontId="87" fillId="2" borderId="0" xfId="0" applyFont="1" applyFill="1" applyAlignment="1">
      <alignment horizontal="center" wrapText="1"/>
    </xf>
    <xf numFmtId="0" fontId="87" fillId="0" borderId="0" xfId="0" applyFont="1"/>
    <xf numFmtId="49" fontId="70" fillId="2" borderId="0" xfId="0" applyNumberFormat="1" applyFont="1" applyFill="1"/>
    <xf numFmtId="49" fontId="70" fillId="2" borderId="0" xfId="0" applyNumberFormat="1" applyFont="1" applyFill="1" applyAlignment="1">
      <alignment horizontal="left"/>
    </xf>
    <xf numFmtId="49" fontId="70" fillId="2" borderId="0" xfId="281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49" fontId="17" fillId="0" borderId="72" xfId="0" applyNumberFormat="1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3" borderId="28" xfId="0" applyFont="1" applyFill="1" applyBorder="1" applyAlignment="1">
      <alignment horizontal="center" wrapText="1"/>
    </xf>
    <xf numFmtId="17" fontId="17" fillId="0" borderId="29" xfId="0" quotePrefix="1" applyNumberFormat="1" applyFont="1" applyBorder="1" applyAlignment="1">
      <alignment horizontal="center" vertical="center" wrapText="1"/>
    </xf>
    <xf numFmtId="17" fontId="17" fillId="0" borderId="28" xfId="0" quotePrefix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168" fontId="81" fillId="2" borderId="80" xfId="282" applyNumberFormat="1" applyFont="1" applyFill="1" applyBorder="1" applyAlignment="1">
      <alignment horizontal="left"/>
    </xf>
    <xf numFmtId="43" fontId="81" fillId="2" borderId="80" xfId="0" applyNumberFormat="1" applyFont="1" applyFill="1" applyBorder="1" applyAlignment="1">
      <alignment horizontal="right"/>
    </xf>
    <xf numFmtId="8" fontId="81" fillId="2" borderId="80" xfId="0" applyNumberFormat="1" applyFont="1" applyFill="1" applyBorder="1" applyAlignment="1">
      <alignment horizontal="right"/>
    </xf>
    <xf numFmtId="43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68" fontId="81" fillId="2" borderId="39" xfId="282" applyNumberFormat="1" applyFont="1" applyFill="1" applyBorder="1" applyAlignment="1">
      <alignment horizontal="right"/>
    </xf>
    <xf numFmtId="168" fontId="81" fillId="2" borderId="39" xfId="282" applyNumberFormat="1" applyFont="1" applyFill="1" applyBorder="1" applyAlignment="1"/>
    <xf numFmtId="3" fontId="81" fillId="0" borderId="0" xfId="0" applyNumberFormat="1" applyFont="1"/>
    <xf numFmtId="3" fontId="81" fillId="0" borderId="7" xfId="0" applyNumberFormat="1" applyFont="1" applyBorder="1"/>
    <xf numFmtId="49" fontId="5" fillId="0" borderId="0" xfId="0" applyNumberFormat="1" applyFont="1"/>
    <xf numFmtId="3" fontId="5" fillId="0" borderId="0" xfId="0" applyNumberFormat="1" applyFont="1"/>
    <xf numFmtId="49" fontId="90" fillId="0" borderId="75" xfId="0" applyNumberFormat="1" applyFont="1" applyBorder="1"/>
    <xf numFmtId="0" fontId="90" fillId="0" borderId="76" xfId="0" applyFont="1" applyBorder="1"/>
    <xf numFmtId="49" fontId="90" fillId="0" borderId="76" xfId="0" applyNumberFormat="1" applyFont="1" applyBorder="1"/>
    <xf numFmtId="3" fontId="90" fillId="0" borderId="76" xfId="0" applyNumberFormat="1" applyFont="1" applyBorder="1"/>
    <xf numFmtId="4" fontId="90" fillId="0" borderId="76" xfId="0" applyNumberFormat="1" applyFont="1" applyBorder="1"/>
    <xf numFmtId="3" fontId="81" fillId="0" borderId="6" xfId="0" applyNumberFormat="1" applyFont="1" applyBorder="1"/>
    <xf numFmtId="8" fontId="81" fillId="0" borderId="39" xfId="24" applyNumberFormat="1" applyFont="1" applyFill="1" applyBorder="1" applyAlignment="1">
      <alignment horizontal="right" vertical="center"/>
    </xf>
    <xf numFmtId="43" fontId="85" fillId="0" borderId="39" xfId="0" applyNumberFormat="1" applyFont="1" applyBorder="1" applyAlignment="1">
      <alignment horizontal="right" vertical="center"/>
    </xf>
    <xf numFmtId="8" fontId="85" fillId="0" borderId="39" xfId="0" applyNumberFormat="1" applyFont="1" applyBorder="1" applyAlignment="1">
      <alignment horizontal="right" vertical="center"/>
    </xf>
    <xf numFmtId="43" fontId="81" fillId="0" borderId="39" xfId="24" applyFont="1" applyFill="1" applyBorder="1"/>
    <xf numFmtId="169" fontId="81" fillId="0" borderId="39" xfId="0" applyNumberFormat="1" applyFont="1" applyBorder="1"/>
    <xf numFmtId="4" fontId="81" fillId="0" borderId="39" xfId="0" applyNumberFormat="1" applyFont="1" applyBorder="1"/>
    <xf numFmtId="8" fontId="81" fillId="0" borderId="39" xfId="24" applyNumberFormat="1" applyFont="1" applyFill="1" applyBorder="1"/>
    <xf numFmtId="44" fontId="5" fillId="55" borderId="39" xfId="0" applyNumberFormat="1" applyFont="1" applyFill="1" applyBorder="1" applyAlignment="1">
      <alignment horizontal="right" wrapText="1"/>
    </xf>
    <xf numFmtId="43" fontId="5" fillId="0" borderId="29" xfId="24" applyFont="1" applyFill="1" applyBorder="1" applyAlignment="1">
      <alignment horizontal="right"/>
    </xf>
    <xf numFmtId="43" fontId="5" fillId="0" borderId="0" xfId="0" applyNumberFormat="1" applyFont="1" applyAlignment="1">
      <alignment horizontal="right"/>
    </xf>
    <xf numFmtId="43" fontId="5" fillId="0" borderId="0" xfId="24" applyFont="1" applyFill="1" applyBorder="1" applyAlignment="1">
      <alignment horizontal="right"/>
    </xf>
    <xf numFmtId="43" fontId="5" fillId="3" borderId="0" xfId="24" applyFont="1" applyFill="1" applyBorder="1" applyAlignment="1">
      <alignment horizontal="right"/>
    </xf>
    <xf numFmtId="43" fontId="5" fillId="0" borderId="0" xfId="24" applyFont="1" applyFill="1" applyAlignment="1">
      <alignment horizontal="right"/>
    </xf>
    <xf numFmtId="43" fontId="5" fillId="0" borderId="54" xfId="24" applyFont="1" applyFill="1" applyBorder="1" applyAlignment="1">
      <alignment horizontal="right"/>
    </xf>
    <xf numFmtId="43" fontId="5" fillId="0" borderId="62" xfId="24" applyFont="1" applyFill="1" applyBorder="1" applyAlignment="1">
      <alignment horizontal="right"/>
    </xf>
    <xf numFmtId="44" fontId="5" fillId="2" borderId="39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17" fontId="17" fillId="0" borderId="3" xfId="0" quotePrefix="1" applyNumberFormat="1" applyFont="1" applyBorder="1" applyAlignment="1">
      <alignment horizontal="center" vertical="center" wrapText="1"/>
    </xf>
    <xf numFmtId="17" fontId="17" fillId="0" borderId="1" xfId="0" quotePrefix="1" applyNumberFormat="1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right" wrapText="1"/>
    </xf>
    <xf numFmtId="0" fontId="5" fillId="2" borderId="39" xfId="0" applyFont="1" applyFill="1" applyBorder="1" applyAlignment="1">
      <alignment wrapText="1"/>
    </xf>
    <xf numFmtId="49" fontId="5" fillId="2" borderId="39" xfId="0" applyNumberFormat="1" applyFont="1" applyFill="1" applyBorder="1"/>
    <xf numFmtId="43" fontId="5" fillId="2" borderId="39" xfId="0" applyNumberFormat="1" applyFont="1" applyFill="1" applyBorder="1" applyAlignment="1">
      <alignment horizontal="right"/>
    </xf>
    <xf numFmtId="43" fontId="5" fillId="0" borderId="29" xfId="0" applyNumberFormat="1" applyFont="1" applyBorder="1" applyAlignment="1">
      <alignment horizontal="right"/>
    </xf>
    <xf numFmtId="0" fontId="5" fillId="2" borderId="39" xfId="0" quotePrefix="1" applyFont="1" applyFill="1" applyBorder="1" applyAlignment="1">
      <alignment horizontal="right"/>
    </xf>
    <xf numFmtId="43" fontId="5" fillId="0" borderId="54" xfId="0" applyNumberFormat="1" applyFont="1" applyBorder="1" applyAlignment="1">
      <alignment horizontal="right"/>
    </xf>
    <xf numFmtId="8" fontId="5" fillId="0" borderId="0" xfId="24" applyNumberFormat="1" applyFont="1" applyFill="1" applyBorder="1" applyAlignment="1">
      <alignment horizontal="right"/>
    </xf>
    <xf numFmtId="43" fontId="5" fillId="0" borderId="48" xfId="24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49" fontId="5" fillId="2" borderId="39" xfId="0" quotePrefix="1" applyNumberFormat="1" applyFont="1" applyFill="1" applyBorder="1"/>
    <xf numFmtId="44" fontId="5" fillId="2" borderId="39" xfId="282" applyFont="1" applyFill="1" applyBorder="1" applyAlignment="1">
      <alignment horizontal="right"/>
    </xf>
    <xf numFmtId="8" fontId="5" fillId="56" borderId="39" xfId="282" applyNumberFormat="1" applyFont="1" applyFill="1" applyBorder="1" applyAlignment="1">
      <alignment horizontal="right"/>
    </xf>
    <xf numFmtId="49" fontId="5" fillId="2" borderId="39" xfId="0" applyNumberFormat="1" applyFont="1" applyFill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70" fillId="0" borderId="75" xfId="0" applyNumberFormat="1" applyFont="1" applyBorder="1"/>
    <xf numFmtId="3" fontId="70" fillId="0" borderId="76" xfId="0" applyNumberFormat="1" applyFont="1" applyBorder="1"/>
    <xf numFmtId="4" fontId="70" fillId="0" borderId="76" xfId="0" applyNumberFormat="1" applyFont="1" applyBorder="1"/>
    <xf numFmtId="3" fontId="70" fillId="0" borderId="77" xfId="0" applyNumberFormat="1" applyFont="1" applyBorder="1"/>
    <xf numFmtId="43" fontId="5" fillId="0" borderId="79" xfId="24" applyFont="1" applyBorder="1" applyAlignment="1">
      <alignment horizontal="right" vertical="center"/>
    </xf>
    <xf numFmtId="43" fontId="5" fillId="0" borderId="83" xfId="24" applyFont="1" applyBorder="1" applyAlignment="1">
      <alignment horizontal="right" vertical="center"/>
    </xf>
    <xf numFmtId="0" fontId="17" fillId="0" borderId="28" xfId="0" applyFont="1" applyBorder="1" applyAlignment="1">
      <alignment horizontal="center"/>
    </xf>
    <xf numFmtId="3" fontId="90" fillId="0" borderId="0" xfId="0" applyNumberFormat="1" applyFont="1"/>
    <xf numFmtId="0" fontId="5" fillId="2" borderId="39" xfId="0" applyFont="1" applyFill="1" applyBorder="1"/>
    <xf numFmtId="43" fontId="5" fillId="0" borderId="78" xfId="24" applyFont="1" applyFill="1" applyBorder="1" applyAlignment="1">
      <alignment horizontal="right"/>
    </xf>
    <xf numFmtId="43" fontId="5" fillId="0" borderId="81" xfId="24" applyFont="1" applyFill="1" applyBorder="1" applyAlignment="1">
      <alignment horizontal="right"/>
    </xf>
    <xf numFmtId="43" fontId="5" fillId="0" borderId="82" xfId="24" applyFont="1" applyFill="1" applyBorder="1" applyAlignment="1">
      <alignment horizontal="right"/>
    </xf>
    <xf numFmtId="43" fontId="5" fillId="51" borderId="84" xfId="24" applyFont="1" applyFill="1" applyBorder="1" applyAlignment="1">
      <alignment horizontal="right"/>
    </xf>
    <xf numFmtId="8" fontId="5" fillId="51" borderId="84" xfId="24" applyNumberFormat="1" applyFont="1" applyFill="1" applyBorder="1" applyAlignment="1">
      <alignment horizontal="right"/>
    </xf>
    <xf numFmtId="8" fontId="5" fillId="51" borderId="84" xfId="0" applyNumberFormat="1" applyFont="1" applyFill="1" applyBorder="1"/>
    <xf numFmtId="4" fontId="5" fillId="51" borderId="84" xfId="0" applyNumberFormat="1" applyFont="1" applyFill="1" applyBorder="1"/>
    <xf numFmtId="43" fontId="5" fillId="51" borderId="84" xfId="24" applyFont="1" applyFill="1" applyBorder="1" applyAlignment="1">
      <alignment horizontal="center"/>
    </xf>
    <xf numFmtId="0" fontId="5" fillId="51" borderId="84" xfId="0" applyFont="1" applyFill="1" applyBorder="1"/>
    <xf numFmtId="43" fontId="5" fillId="51" borderId="84" xfId="24" applyFont="1" applyFill="1" applyBorder="1" applyAlignment="1"/>
    <xf numFmtId="0" fontId="5" fillId="51" borderId="84" xfId="0" applyFont="1" applyFill="1" applyBorder="1" applyAlignment="1">
      <alignment horizontal="right"/>
    </xf>
    <xf numFmtId="43" fontId="5" fillId="51" borderId="84" xfId="0" applyNumberFormat="1" applyFont="1" applyFill="1" applyBorder="1" applyAlignment="1">
      <alignment horizontal="right"/>
    </xf>
    <xf numFmtId="3" fontId="5" fillId="51" borderId="84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8" fontId="5" fillId="51" borderId="84" xfId="0" applyNumberFormat="1" applyFont="1" applyFill="1" applyBorder="1" applyAlignment="1">
      <alignment horizontal="right"/>
    </xf>
    <xf numFmtId="169" fontId="5" fillId="51" borderId="84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left"/>
    </xf>
    <xf numFmtId="4" fontId="5" fillId="51" borderId="84" xfId="285" applyNumberFormat="1" applyFont="1" applyFill="1" applyBorder="1" applyAlignment="1">
      <alignment horizontal="right"/>
    </xf>
    <xf numFmtId="0" fontId="67" fillId="2" borderId="84" xfId="0" applyFont="1" applyFill="1" applyBorder="1" applyAlignment="1">
      <alignment horizontal="left" vertical="center"/>
    </xf>
    <xf numFmtId="0" fontId="80" fillId="2" borderId="84" xfId="0" applyFont="1" applyFill="1" applyBorder="1" applyAlignment="1">
      <alignment horizontal="left" vertical="center"/>
    </xf>
    <xf numFmtId="0" fontId="67" fillId="2" borderId="84" xfId="0" applyFont="1" applyFill="1" applyBorder="1" applyAlignment="1">
      <alignment horizontal="left" vertical="center" wrapText="1"/>
    </xf>
    <xf numFmtId="6" fontId="71" fillId="2" borderId="84" xfId="0" applyNumberFormat="1" applyFont="1" applyFill="1" applyBorder="1" applyAlignment="1">
      <alignment horizontal="left" vertical="center" wrapText="1"/>
    </xf>
    <xf numFmtId="43" fontId="67" fillId="2" borderId="84" xfId="0" applyNumberFormat="1" applyFont="1" applyFill="1" applyBorder="1" applyAlignment="1">
      <alignment horizontal="right" vertical="center"/>
    </xf>
    <xf numFmtId="43" fontId="67" fillId="2" borderId="84" xfId="0" applyNumberFormat="1" applyFont="1" applyFill="1" applyBorder="1" applyAlignment="1">
      <alignment horizontal="left" vertical="center"/>
    </xf>
    <xf numFmtId="43" fontId="80" fillId="0" borderId="0" xfId="24" applyFont="1" applyFill="1" applyBorder="1" applyAlignment="1">
      <alignment horizontal="right" vertical="center"/>
    </xf>
    <xf numFmtId="43" fontId="80" fillId="0" borderId="0" xfId="0" applyNumberFormat="1" applyFont="1" applyAlignment="1">
      <alignment horizontal="right" vertical="center"/>
    </xf>
    <xf numFmtId="43" fontId="67" fillId="0" borderId="0" xfId="24" applyFont="1" applyFill="1" applyBorder="1" applyAlignment="1">
      <alignment horizontal="right" vertical="center"/>
    </xf>
    <xf numFmtId="43" fontId="67" fillId="0" borderId="0" xfId="0" applyNumberFormat="1" applyFont="1"/>
    <xf numFmtId="0" fontId="67" fillId="0" borderId="0" xfId="0" applyFont="1"/>
    <xf numFmtId="3" fontId="67" fillId="0" borderId="0" xfId="0" applyNumberFormat="1" applyFont="1" applyAlignment="1">
      <alignment vertical="top"/>
    </xf>
    <xf numFmtId="43" fontId="67" fillId="0" borderId="0" xfId="0" applyNumberFormat="1" applyFont="1" applyAlignment="1">
      <alignment horizontal="right" vertical="center"/>
    </xf>
    <xf numFmtId="6" fontId="71" fillId="2" borderId="84" xfId="0" applyNumberFormat="1" applyFont="1" applyFill="1" applyBorder="1" applyAlignment="1">
      <alignment horizontal="left" vertical="center"/>
    </xf>
    <xf numFmtId="43" fontId="5" fillId="0" borderId="0" xfId="24" applyFont="1" applyFill="1" applyBorder="1" applyAlignment="1">
      <alignment horizontal="right" vertical="center"/>
    </xf>
    <xf numFmtId="43" fontId="67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43" fontId="80" fillId="0" borderId="54" xfId="0" applyNumberFormat="1" applyFont="1" applyBorder="1" applyAlignment="1">
      <alignment vertical="center"/>
    </xf>
    <xf numFmtId="0" fontId="80" fillId="2" borderId="84" xfId="0" applyFont="1" applyFill="1" applyBorder="1" applyAlignment="1">
      <alignment horizontal="left" vertical="center" wrapText="1"/>
    </xf>
    <xf numFmtId="43" fontId="80" fillId="0" borderId="0" xfId="24" applyFont="1" applyFill="1" applyBorder="1" applyAlignment="1">
      <alignment horizontal="center" vertical="center"/>
    </xf>
    <xf numFmtId="3" fontId="67" fillId="2" borderId="84" xfId="0" applyNumberFormat="1" applyFont="1" applyFill="1" applyBorder="1"/>
    <xf numFmtId="3" fontId="67" fillId="0" borderId="0" xfId="0" applyNumberFormat="1" applyFont="1"/>
    <xf numFmtId="43" fontId="92" fillId="2" borderId="84" xfId="0" applyNumberFormat="1" applyFont="1" applyFill="1" applyBorder="1" applyAlignment="1">
      <alignment horizontal="right" vertical="center"/>
    </xf>
    <xf numFmtId="43" fontId="83" fillId="0" borderId="0" xfId="0" applyNumberFormat="1" applyFont="1" applyAlignment="1">
      <alignment horizontal="right" vertical="center"/>
    </xf>
    <xf numFmtId="43" fontId="92" fillId="0" borderId="0" xfId="0" applyNumberFormat="1" applyFont="1" applyAlignment="1">
      <alignment horizontal="right" vertical="center"/>
    </xf>
    <xf numFmtId="43" fontId="80" fillId="0" borderId="0" xfId="24" applyFont="1" applyFill="1" applyBorder="1"/>
    <xf numFmtId="4" fontId="80" fillId="0" borderId="0" xfId="285" applyNumberFormat="1" applyFont="1" applyAlignment="1">
      <alignment horizontal="right"/>
    </xf>
    <xf numFmtId="49" fontId="73" fillId="2" borderId="84" xfId="0" applyNumberFormat="1" applyFont="1" applyFill="1" applyBorder="1" applyAlignment="1">
      <alignment horizontal="right" vertical="center" wrapText="1"/>
    </xf>
    <xf numFmtId="0" fontId="73" fillId="2" borderId="84" xfId="0" applyFont="1" applyFill="1" applyBorder="1" applyAlignment="1">
      <alignment vertical="center" wrapText="1"/>
    </xf>
    <xf numFmtId="49" fontId="73" fillId="2" borderId="84" xfId="0" applyNumberFormat="1" applyFont="1" applyFill="1" applyBorder="1" applyAlignment="1">
      <alignment horizontal="right" vertical="center"/>
    </xf>
    <xf numFmtId="0" fontId="73" fillId="2" borderId="85" xfId="0" applyFont="1" applyFill="1" applyBorder="1" applyAlignment="1">
      <alignment vertical="center" wrapText="1"/>
    </xf>
    <xf numFmtId="6" fontId="73" fillId="2" borderId="84" xfId="0" applyNumberFormat="1" applyFont="1" applyFill="1" applyBorder="1" applyAlignment="1">
      <alignment vertical="center"/>
    </xf>
    <xf numFmtId="43" fontId="0" fillId="0" borderId="41" xfId="24" applyFont="1" applyFill="1" applyBorder="1" applyAlignment="1">
      <alignment horizontal="right" vertical="center"/>
    </xf>
    <xf numFmtId="8" fontId="5" fillId="51" borderId="29" xfId="24" applyNumberFormat="1" applyFont="1" applyFill="1" applyBorder="1" applyAlignment="1">
      <alignment horizontal="right" vertical="center"/>
    </xf>
    <xf numFmtId="43" fontId="5" fillId="51" borderId="29" xfId="0" applyNumberFormat="1" applyFont="1" applyFill="1" applyBorder="1" applyAlignment="1">
      <alignment horizontal="right" vertical="center"/>
    </xf>
    <xf numFmtId="8" fontId="5" fillId="51" borderId="0" xfId="0" applyNumberFormat="1" applyFont="1" applyFill="1"/>
    <xf numFmtId="43" fontId="5" fillId="51" borderId="54" xfId="24" applyFont="1" applyFill="1" applyBorder="1" applyAlignment="1">
      <alignment horizontal="right" vertical="center"/>
    </xf>
    <xf numFmtId="43" fontId="5" fillId="51" borderId="29" xfId="24" applyFont="1" applyFill="1" applyBorder="1" applyAlignment="1">
      <alignment horizontal="right" vertical="center"/>
    </xf>
    <xf numFmtId="43" fontId="5" fillId="51" borderId="0" xfId="24" applyFont="1" applyFill="1" applyBorder="1" applyAlignment="1">
      <alignment horizontal="right" vertical="center"/>
    </xf>
    <xf numFmtId="43" fontId="5" fillId="51" borderId="0" xfId="0" applyNumberFormat="1" applyFont="1" applyFill="1" applyAlignment="1">
      <alignment horizontal="right" vertical="center"/>
    </xf>
    <xf numFmtId="43" fontId="5" fillId="51" borderId="54" xfId="0" applyNumberFormat="1" applyFont="1" applyFill="1" applyBorder="1" applyAlignment="1">
      <alignment horizontal="right" vertical="center"/>
    </xf>
    <xf numFmtId="43" fontId="5" fillId="51" borderId="62" xfId="0" applyNumberFormat="1" applyFont="1" applyFill="1" applyBorder="1" applyAlignment="1">
      <alignment horizontal="right" vertical="center"/>
    </xf>
    <xf numFmtId="43" fontId="5" fillId="51" borderId="48" xfId="0" applyNumberFormat="1" applyFont="1" applyFill="1" applyBorder="1" applyAlignment="1">
      <alignment horizontal="right" vertical="center"/>
    </xf>
    <xf numFmtId="43" fontId="5" fillId="51" borderId="62" xfId="24" applyFont="1" applyFill="1" applyBorder="1" applyAlignment="1">
      <alignment horizontal="right" vertical="center"/>
    </xf>
    <xf numFmtId="43" fontId="5" fillId="51" borderId="48" xfId="24" applyFont="1" applyFill="1" applyBorder="1" applyAlignment="1">
      <alignment horizontal="right" vertical="center"/>
    </xf>
    <xf numFmtId="43" fontId="5" fillId="51" borderId="0" xfId="24" applyFont="1" applyFill="1" applyAlignment="1">
      <alignment horizontal="right" vertical="center"/>
    </xf>
    <xf numFmtId="8" fontId="5" fillId="51" borderId="0" xfId="24" applyNumberFormat="1" applyFont="1" applyFill="1" applyAlignment="1">
      <alignment horizontal="right" vertical="center"/>
    </xf>
    <xf numFmtId="8" fontId="5" fillId="51" borderId="0" xfId="24" applyNumberFormat="1" applyFont="1" applyFill="1" applyBorder="1" applyAlignment="1">
      <alignment horizontal="right" vertical="center"/>
    </xf>
    <xf numFmtId="49" fontId="78" fillId="2" borderId="84" xfId="0" applyNumberFormat="1" applyFont="1" applyFill="1" applyBorder="1" applyAlignment="1">
      <alignment horizontal="right" vertical="center" wrapText="1"/>
    </xf>
    <xf numFmtId="0" fontId="78" fillId="2" borderId="84" xfId="0" applyFont="1" applyFill="1" applyBorder="1" applyAlignment="1">
      <alignment vertical="center" wrapText="1"/>
    </xf>
    <xf numFmtId="8" fontId="0" fillId="2" borderId="84" xfId="0" applyNumberFormat="1" applyFill="1" applyBorder="1" applyAlignment="1">
      <alignment horizontal="right" vertical="center" wrapText="1"/>
    </xf>
    <xf numFmtId="8" fontId="73" fillId="2" borderId="84" xfId="0" applyNumberFormat="1" applyFont="1" applyFill="1" applyBorder="1" applyAlignment="1">
      <alignment horizontal="right" vertical="center" wrapText="1"/>
    </xf>
    <xf numFmtId="171" fontId="81" fillId="51" borderId="0" xfId="0" applyNumberFormat="1" applyFont="1" applyFill="1" applyAlignment="1">
      <alignment horizontal="right"/>
    </xf>
    <xf numFmtId="6" fontId="71" fillId="2" borderId="84" xfId="0" applyNumberFormat="1" applyFont="1" applyFill="1" applyBorder="1" applyAlignment="1">
      <alignment vertical="center"/>
    </xf>
    <xf numFmtId="43" fontId="82" fillId="51" borderId="0" xfId="24" applyFont="1" applyFill="1" applyAlignment="1">
      <alignment horizontal="right" vertical="center"/>
    </xf>
    <xf numFmtId="0" fontId="73" fillId="2" borderId="86" xfId="0" applyFont="1" applyFill="1" applyBorder="1" applyAlignment="1">
      <alignment vertical="center" wrapText="1"/>
    </xf>
    <xf numFmtId="8" fontId="73" fillId="2" borderId="80" xfId="0" applyNumberFormat="1" applyFont="1" applyFill="1" applyBorder="1" applyAlignment="1">
      <alignment horizontal="right" vertical="center" wrapText="1"/>
    </xf>
    <xf numFmtId="49" fontId="73" fillId="2" borderId="80" xfId="0" applyNumberFormat="1" applyFont="1" applyFill="1" applyBorder="1" applyAlignment="1">
      <alignment horizontal="right" vertical="center" wrapText="1"/>
    </xf>
    <xf numFmtId="0" fontId="73" fillId="2" borderId="80" xfId="0" applyFont="1" applyFill="1" applyBorder="1" applyAlignment="1">
      <alignment vertical="center" wrapText="1"/>
    </xf>
    <xf numFmtId="49" fontId="73" fillId="2" borderId="80" xfId="0" applyNumberFormat="1" applyFont="1" applyFill="1" applyBorder="1" applyAlignment="1">
      <alignment horizontal="right" vertical="center"/>
    </xf>
    <xf numFmtId="43" fontId="5" fillId="51" borderId="79" xfId="24" applyFont="1" applyFill="1" applyBorder="1" applyAlignment="1">
      <alignment horizontal="right" vertical="center"/>
    </xf>
    <xf numFmtId="8" fontId="0" fillId="2" borderId="80" xfId="0" applyNumberFormat="1" applyFill="1" applyBorder="1" applyAlignment="1">
      <alignment horizontal="right" vertical="center" wrapText="1"/>
    </xf>
    <xf numFmtId="49" fontId="73" fillId="2" borderId="84" xfId="0" quotePrefix="1" applyNumberFormat="1" applyFont="1" applyFill="1" applyBorder="1" applyAlignment="1">
      <alignment horizontal="right" vertical="center" wrapText="1"/>
    </xf>
    <xf numFmtId="4" fontId="0" fillId="0" borderId="80" xfId="0" applyNumberFormat="1" applyBorder="1"/>
    <xf numFmtId="8" fontId="5" fillId="51" borderId="80" xfId="0" applyNumberFormat="1" applyFont="1" applyFill="1" applyBorder="1"/>
    <xf numFmtId="4" fontId="5" fillId="51" borderId="80" xfId="0" applyNumberFormat="1" applyFont="1" applyFill="1" applyBorder="1"/>
    <xf numFmtId="4" fontId="5" fillId="0" borderId="0" xfId="24" applyNumberFormat="1" applyFont="1" applyAlignment="1">
      <alignment horizontal="right" vertical="center"/>
    </xf>
    <xf numFmtId="44" fontId="0" fillId="2" borderId="80" xfId="282" applyFont="1" applyFill="1" applyBorder="1"/>
    <xf numFmtId="164" fontId="5" fillId="2" borderId="25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6" fontId="81" fillId="2" borderId="40" xfId="0" applyNumberFormat="1" applyFont="1" applyFill="1" applyBorder="1" applyAlignment="1">
      <alignment vertical="center" wrapText="1"/>
    </xf>
    <xf numFmtId="44" fontId="5" fillId="2" borderId="80" xfId="282" applyFont="1" applyFill="1" applyBorder="1"/>
    <xf numFmtId="4" fontId="5" fillId="2" borderId="6" xfId="24" applyNumberFormat="1" applyFont="1" applyFill="1" applyBorder="1" applyAlignment="1">
      <alignment horizontal="right" vertical="center"/>
    </xf>
    <xf numFmtId="4" fontId="5" fillId="2" borderId="5" xfId="24" applyNumberFormat="1" applyFont="1" applyFill="1" applyBorder="1" applyAlignment="1">
      <alignment horizontal="right" vertical="center"/>
    </xf>
    <xf numFmtId="4" fontId="5" fillId="0" borderId="0" xfId="24" applyNumberFormat="1" applyFont="1" applyFill="1" applyAlignment="1">
      <alignment horizontal="right" vertical="center"/>
    </xf>
    <xf numFmtId="4" fontId="5" fillId="0" borderId="0" xfId="24" applyNumberFormat="1" applyFont="1" applyFill="1" applyAlignment="1">
      <alignment horizontal="center" vertical="center"/>
    </xf>
    <xf numFmtId="164" fontId="0" fillId="2" borderId="80" xfId="0" applyNumberFormat="1" applyFill="1" applyBorder="1" applyAlignment="1">
      <alignment horizontal="center" vertical="center" wrapText="1"/>
    </xf>
    <xf numFmtId="49" fontId="94" fillId="2" borderId="80" xfId="0" applyNumberFormat="1" applyFont="1" applyFill="1" applyBorder="1" applyAlignment="1">
      <alignment horizontal="left" vertical="center" wrapText="1"/>
    </xf>
    <xf numFmtId="44" fontId="0" fillId="57" borderId="80" xfId="282" applyFont="1" applyFill="1" applyBorder="1" applyAlignment="1">
      <alignment horizontal="left" vertical="center"/>
    </xf>
    <xf numFmtId="4" fontId="0" fillId="2" borderId="80" xfId="24" applyNumberFormat="1" applyFont="1" applyFill="1" applyBorder="1" applyAlignment="1">
      <alignment horizontal="right" vertical="center"/>
    </xf>
    <xf numFmtId="4" fontId="0" fillId="0" borderId="80" xfId="24" applyNumberFormat="1" applyFont="1" applyFill="1" applyBorder="1" applyAlignment="1">
      <alignment horizontal="right" vertical="center"/>
    </xf>
    <xf numFmtId="4" fontId="0" fillId="0" borderId="80" xfId="24" applyNumberFormat="1" applyFont="1" applyFill="1" applyBorder="1" applyAlignment="1">
      <alignment horizontal="center" vertical="center"/>
    </xf>
    <xf numFmtId="4" fontId="5" fillId="51" borderId="80" xfId="24" applyNumberFormat="1" applyFont="1" applyFill="1" applyBorder="1" applyAlignment="1">
      <alignment horizontal="right" vertical="center"/>
    </xf>
    <xf numFmtId="49" fontId="5" fillId="2" borderId="80" xfId="0" applyNumberFormat="1" applyFont="1" applyFill="1" applyBorder="1" applyAlignment="1">
      <alignment horizontal="left" vertical="center" wrapText="1"/>
    </xf>
    <xf numFmtId="164" fontId="95" fillId="2" borderId="80" xfId="0" applyNumberFormat="1" applyFont="1" applyFill="1" applyBorder="1" applyAlignment="1">
      <alignment horizontal="center" vertical="center" wrapText="1"/>
    </xf>
    <xf numFmtId="4" fontId="0" fillId="0" borderId="80" xfId="24" applyNumberFormat="1" applyFont="1" applyBorder="1" applyAlignment="1">
      <alignment horizontal="right" vertical="center"/>
    </xf>
    <xf numFmtId="49" fontId="0" fillId="0" borderId="80" xfId="0" applyNumberFormat="1" applyBorder="1" applyAlignment="1">
      <alignment horizontal="center" vertical="center"/>
    </xf>
    <xf numFmtId="0" fontId="0" fillId="0" borderId="80" xfId="0" applyBorder="1"/>
    <xf numFmtId="0" fontId="1" fillId="2" borderId="67" xfId="0" applyFont="1" applyFill="1" applyBorder="1" applyAlignment="1">
      <alignment horizontal="center" vertical="center"/>
    </xf>
    <xf numFmtId="0" fontId="4" fillId="2" borderId="67" xfId="0" applyFont="1" applyFill="1" applyBorder="1"/>
    <xf numFmtId="4" fontId="4" fillId="2" borderId="67" xfId="24" applyNumberFormat="1" applyFont="1" applyFill="1" applyBorder="1" applyAlignment="1">
      <alignment horizontal="right" vertical="center"/>
    </xf>
    <xf numFmtId="49" fontId="5" fillId="2" borderId="87" xfId="0" applyNumberFormat="1" applyFont="1" applyFill="1" applyBorder="1" applyAlignment="1">
      <alignment horizontal="left" vertical="center" wrapText="1"/>
    </xf>
    <xf numFmtId="43" fontId="0" fillId="2" borderId="8" xfId="0" applyNumberFormat="1" applyFill="1" applyBorder="1" applyAlignment="1">
      <alignment horizontal="right" vertical="center"/>
    </xf>
    <xf numFmtId="43" fontId="5" fillId="51" borderId="78" xfId="24" applyFont="1" applyFill="1" applyBorder="1" applyAlignment="1">
      <alignment horizontal="right" vertical="center"/>
    </xf>
    <xf numFmtId="43" fontId="5" fillId="51" borderId="81" xfId="24" applyFont="1" applyFill="1" applyBorder="1" applyAlignment="1">
      <alignment horizontal="right" vertical="center"/>
    </xf>
    <xf numFmtId="43" fontId="5" fillId="51" borderId="82" xfId="24" applyFont="1" applyFill="1" applyBorder="1" applyAlignment="1">
      <alignment horizontal="right" vertical="center"/>
    </xf>
    <xf numFmtId="8" fontId="5" fillId="51" borderId="78" xfId="0" applyNumberFormat="1" applyFont="1" applyFill="1" applyBorder="1"/>
    <xf numFmtId="8" fontId="5" fillId="51" borderId="79" xfId="0" applyNumberFormat="1" applyFont="1" applyFill="1" applyBorder="1"/>
    <xf numFmtId="43" fontId="5" fillId="51" borderId="88" xfId="24" applyFont="1" applyFill="1" applyBorder="1" applyAlignment="1">
      <alignment horizontal="right" vertical="center"/>
    </xf>
    <xf numFmtId="0" fontId="0" fillId="0" borderId="79" xfId="0" applyBorder="1"/>
    <xf numFmtId="43" fontId="0" fillId="0" borderId="80" xfId="24" applyFont="1" applyFill="1" applyBorder="1" applyAlignment="1">
      <alignment horizontal="right" vertical="center"/>
    </xf>
    <xf numFmtId="43" fontId="5" fillId="51" borderId="80" xfId="24" applyFont="1" applyFill="1" applyBorder="1" applyAlignment="1">
      <alignment horizontal="right" vertical="center"/>
    </xf>
    <xf numFmtId="8" fontId="5" fillId="51" borderId="80" xfId="24" applyNumberFormat="1" applyFont="1" applyFill="1" applyBorder="1" applyAlignment="1">
      <alignment horizontal="right" vertical="center"/>
    </xf>
    <xf numFmtId="4" fontId="81" fillId="51" borderId="80" xfId="285" applyNumberFormat="1" applyFont="1" applyFill="1" applyBorder="1" applyAlignment="1">
      <alignment horizontal="right"/>
    </xf>
    <xf numFmtId="171" fontId="84" fillId="51" borderId="80" xfId="0" applyNumberFormat="1" applyFont="1" applyFill="1" applyBorder="1" applyAlignment="1">
      <alignment horizontal="right"/>
    </xf>
    <xf numFmtId="43" fontId="5" fillId="0" borderId="80" xfId="24" applyFont="1" applyFill="1" applyBorder="1" applyAlignment="1">
      <alignment horizontal="right" vertical="center"/>
    </xf>
    <xf numFmtId="171" fontId="93" fillId="51" borderId="80" xfId="0" applyNumberFormat="1" applyFont="1" applyFill="1" applyBorder="1" applyAlignment="1">
      <alignment horizontal="right"/>
    </xf>
    <xf numFmtId="0" fontId="70" fillId="2" borderId="0" xfId="0" applyFont="1" applyFill="1" applyAlignment="1">
      <alignment horizontal="left"/>
    </xf>
    <xf numFmtId="0" fontId="90" fillId="2" borderId="0" xfId="0" applyFont="1" applyFill="1"/>
    <xf numFmtId="0" fontId="91" fillId="2" borderId="0" xfId="0" applyFont="1" applyFill="1"/>
    <xf numFmtId="0" fontId="17" fillId="2" borderId="0" xfId="0" applyFont="1" applyFill="1"/>
    <xf numFmtId="49" fontId="17" fillId="0" borderId="2" xfId="0" applyNumberFormat="1" applyFont="1" applyBorder="1" applyAlignment="1">
      <alignment horizontal="center" wrapText="1"/>
    </xf>
    <xf numFmtId="17" fontId="17" fillId="0" borderId="28" xfId="0" quotePrefix="1" applyNumberFormat="1" applyFont="1" applyBorder="1" applyAlignment="1">
      <alignment horizontal="center" wrapText="1"/>
    </xf>
    <xf numFmtId="17" fontId="17" fillId="0" borderId="1" xfId="0" quotePrefix="1" applyNumberFormat="1" applyFont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5" fillId="2" borderId="25" xfId="0" quotePrefix="1" applyFont="1" applyFill="1" applyBorder="1" applyAlignment="1">
      <alignment horizontal="center" vertical="center" wrapText="1"/>
    </xf>
    <xf numFmtId="172" fontId="5" fillId="57" borderId="0" xfId="282" applyNumberFormat="1" applyFont="1" applyFill="1" applyBorder="1" applyAlignment="1">
      <alignment horizontal="left" vertical="center"/>
    </xf>
    <xf numFmtId="4" fontId="5" fillId="2" borderId="80" xfId="24" applyNumberFormat="1" applyFont="1" applyFill="1" applyBorder="1" applyAlignment="1">
      <alignment horizontal="right" vertical="center"/>
    </xf>
    <xf numFmtId="44" fontId="5" fillId="2" borderId="0" xfId="282" applyFont="1" applyFill="1" applyBorder="1"/>
    <xf numFmtId="0" fontId="5" fillId="2" borderId="25" xfId="0" applyFont="1" applyFill="1" applyBorder="1" applyAlignment="1">
      <alignment horizontal="center" vertical="center" wrapText="1"/>
    </xf>
    <xf numFmtId="44" fontId="5" fillId="2" borderId="5" xfId="282" applyFont="1" applyFill="1" applyBorder="1"/>
    <xf numFmtId="44" fontId="5" fillId="57" borderId="0" xfId="282" applyFont="1" applyFill="1" applyBorder="1" applyAlignment="1">
      <alignment horizontal="left" vertical="center"/>
    </xf>
    <xf numFmtId="4" fontId="5" fillId="2" borderId="15" xfId="24" applyNumberFormat="1" applyFont="1" applyFill="1" applyBorder="1" applyAlignment="1">
      <alignment horizontal="right" vertical="center"/>
    </xf>
    <xf numFmtId="4" fontId="5" fillId="2" borderId="7" xfId="24" applyNumberFormat="1" applyFont="1" applyFill="1" applyBorder="1" applyAlignment="1">
      <alignment horizontal="right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/>
    <xf numFmtId="4" fontId="5" fillId="0" borderId="44" xfId="24" applyNumberFormat="1" applyFont="1" applyFill="1" applyBorder="1" applyAlignment="1">
      <alignment horizontal="right" vertical="center"/>
    </xf>
    <xf numFmtId="4" fontId="5" fillId="0" borderId="42" xfId="24" applyNumberFormat="1" applyFont="1" applyFill="1" applyBorder="1" applyAlignment="1">
      <alignment horizontal="right" vertical="center"/>
    </xf>
    <xf numFmtId="4" fontId="5" fillId="0" borderId="45" xfId="24" applyNumberFormat="1" applyFont="1" applyFill="1" applyBorder="1" applyAlignment="1">
      <alignment horizontal="right" vertical="center"/>
    </xf>
    <xf numFmtId="4" fontId="5" fillId="0" borderId="0" xfId="24" applyNumberFormat="1" applyFont="1" applyFill="1" applyBorder="1" applyAlignment="1">
      <alignment horizontal="right" vertical="center"/>
    </xf>
    <xf numFmtId="0" fontId="17" fillId="2" borderId="9" xfId="0" applyFont="1" applyFill="1" applyBorder="1"/>
    <xf numFmtId="4" fontId="17" fillId="2" borderId="9" xfId="24" applyNumberFormat="1" applyFont="1" applyFill="1" applyBorder="1" applyAlignment="1">
      <alignment horizontal="right" vertical="center"/>
    </xf>
    <xf numFmtId="4" fontId="17" fillId="0" borderId="0" xfId="0" applyNumberFormat="1" applyFont="1"/>
    <xf numFmtId="0" fontId="17" fillId="0" borderId="0" xfId="0" applyFont="1"/>
    <xf numFmtId="41" fontId="5" fillId="0" borderId="0" xfId="24" applyNumberFormat="1" applyFont="1" applyFill="1" applyAlignment="1">
      <alignment horizontal="right" vertical="center"/>
    </xf>
    <xf numFmtId="0" fontId="18" fillId="2" borderId="40" xfId="0" applyFont="1" applyFill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0" fillId="0" borderId="40" xfId="0" applyBorder="1"/>
    <xf numFmtId="0" fontId="88" fillId="2" borderId="40" xfId="0" applyFont="1" applyFill="1" applyBorder="1" applyAlignment="1">
      <alignment horizontal="left"/>
    </xf>
    <xf numFmtId="0" fontId="89" fillId="0" borderId="40" xfId="0" applyFont="1" applyBorder="1" applyAlignment="1">
      <alignment horizontal="left"/>
    </xf>
    <xf numFmtId="0" fontId="5" fillId="0" borderId="40" xfId="0" applyFont="1" applyBorder="1"/>
  </cellXfs>
  <cellStyles count="286">
    <cellStyle name="20% - Accent1" xfId="180" builtinId="30" customBuiltin="1"/>
    <cellStyle name="20% - Accent1 2" xfId="25" xr:uid="{00000000-0005-0000-0000-000001000000}"/>
    <cellStyle name="20% - Accent2" xfId="184" builtinId="34" customBuiltin="1"/>
    <cellStyle name="20% - Accent2 2" xfId="26" xr:uid="{00000000-0005-0000-0000-000003000000}"/>
    <cellStyle name="20% - Accent3" xfId="188" builtinId="38" customBuiltin="1"/>
    <cellStyle name="20% - Accent3 2" xfId="27" xr:uid="{00000000-0005-0000-0000-000005000000}"/>
    <cellStyle name="20% - Accent4" xfId="192" builtinId="42" customBuiltin="1"/>
    <cellStyle name="20% - Accent4 2" xfId="28" xr:uid="{00000000-0005-0000-0000-000007000000}"/>
    <cellStyle name="20% - Accent5" xfId="196" builtinId="46" customBuiltin="1"/>
    <cellStyle name="20% - Accent5 2" xfId="29" xr:uid="{00000000-0005-0000-0000-000009000000}"/>
    <cellStyle name="20% - Accent6" xfId="200" builtinId="50" customBuiltin="1"/>
    <cellStyle name="20% - Accent6 2" xfId="30" xr:uid="{00000000-0005-0000-0000-00000B000000}"/>
    <cellStyle name="40% - Accent1" xfId="181" builtinId="31" customBuiltin="1"/>
    <cellStyle name="40% - Accent1 2" xfId="31" xr:uid="{00000000-0005-0000-0000-00000D000000}"/>
    <cellStyle name="40% - Accent2" xfId="185" builtinId="35" customBuiltin="1"/>
    <cellStyle name="40% - Accent2 2" xfId="32" xr:uid="{00000000-0005-0000-0000-00000F000000}"/>
    <cellStyle name="40% - Accent3" xfId="189" builtinId="39" customBuiltin="1"/>
    <cellStyle name="40% - Accent3 2" xfId="33" xr:uid="{00000000-0005-0000-0000-000011000000}"/>
    <cellStyle name="40% - Accent4" xfId="193" builtinId="43" customBuiltin="1"/>
    <cellStyle name="40% - Accent4 2" xfId="34" xr:uid="{00000000-0005-0000-0000-000013000000}"/>
    <cellStyle name="40% - Accent5" xfId="197" builtinId="47" customBuiltin="1"/>
    <cellStyle name="40% - Accent5 2" xfId="35" xr:uid="{00000000-0005-0000-0000-000015000000}"/>
    <cellStyle name="40% - Accent6" xfId="201" builtinId="51" customBuiltin="1"/>
    <cellStyle name="40% - Accent6 2" xfId="36" xr:uid="{00000000-0005-0000-0000-000017000000}"/>
    <cellStyle name="60% - Accent1" xfId="182" builtinId="32" customBuiltin="1"/>
    <cellStyle name="60% - Accent1 2" xfId="37" xr:uid="{00000000-0005-0000-0000-000019000000}"/>
    <cellStyle name="60% - Accent2" xfId="186" builtinId="36" customBuiltin="1"/>
    <cellStyle name="60% - Accent2 2" xfId="38" xr:uid="{00000000-0005-0000-0000-00001B000000}"/>
    <cellStyle name="60% - Accent3" xfId="190" builtinId="40" customBuiltin="1"/>
    <cellStyle name="60% - Accent3 2" xfId="39" xr:uid="{00000000-0005-0000-0000-00001D000000}"/>
    <cellStyle name="60% - Accent4" xfId="194" builtinId="44" customBuiltin="1"/>
    <cellStyle name="60% - Accent4 2" xfId="40" xr:uid="{00000000-0005-0000-0000-00001F000000}"/>
    <cellStyle name="60% - Accent5" xfId="198" builtinId="48" customBuiltin="1"/>
    <cellStyle name="60% - Accent5 2" xfId="41" xr:uid="{00000000-0005-0000-0000-000021000000}"/>
    <cellStyle name="60% - Accent6" xfId="202" builtinId="52" customBuiltin="1"/>
    <cellStyle name="60% - Accent6 2" xfId="42" xr:uid="{00000000-0005-0000-0000-000023000000}"/>
    <cellStyle name="Accent1" xfId="179" builtinId="29" customBuiltin="1"/>
    <cellStyle name="Accent1 2" xfId="43" xr:uid="{00000000-0005-0000-0000-000025000000}"/>
    <cellStyle name="Accent2" xfId="183" builtinId="33" customBuiltin="1"/>
    <cellStyle name="Accent2 2" xfId="44" xr:uid="{00000000-0005-0000-0000-000027000000}"/>
    <cellStyle name="Accent3" xfId="187" builtinId="37" customBuiltin="1"/>
    <cellStyle name="Accent3 2" xfId="45" xr:uid="{00000000-0005-0000-0000-000029000000}"/>
    <cellStyle name="Accent4" xfId="191" builtinId="41" customBuiltin="1"/>
    <cellStyle name="Accent4 2" xfId="46" xr:uid="{00000000-0005-0000-0000-00002B000000}"/>
    <cellStyle name="Accent5" xfId="195" builtinId="45" customBuiltin="1"/>
    <cellStyle name="Accent5 2" xfId="47" xr:uid="{00000000-0005-0000-0000-00002D000000}"/>
    <cellStyle name="Accent6" xfId="199" builtinId="49" customBuiltin="1"/>
    <cellStyle name="Accent6 2" xfId="48" xr:uid="{00000000-0005-0000-0000-00002F000000}"/>
    <cellStyle name="Bad" xfId="168" builtinId="27" customBuiltin="1"/>
    <cellStyle name="Bad 2" xfId="49" xr:uid="{00000000-0005-0000-0000-000031000000}"/>
    <cellStyle name="Calculation" xfId="172" builtinId="22" customBuiltin="1"/>
    <cellStyle name="Calculation 2" xfId="50" xr:uid="{00000000-0005-0000-0000-000033000000}"/>
    <cellStyle name="Check Cell" xfId="174" builtinId="23" customBuiltin="1"/>
    <cellStyle name="Check Cell 2" xfId="51" xr:uid="{00000000-0005-0000-0000-000035000000}"/>
    <cellStyle name="Comma" xfId="24" builtinId="3"/>
    <cellStyle name="Comma 12" xfId="205" xr:uid="{00000000-0005-0000-0000-000037000000}"/>
    <cellStyle name="Comma 12 2" xfId="206" xr:uid="{00000000-0005-0000-0000-000038000000}"/>
    <cellStyle name="Comma 12 2 2" xfId="207" xr:uid="{00000000-0005-0000-0000-000039000000}"/>
    <cellStyle name="Comma 12 3" xfId="208" xr:uid="{00000000-0005-0000-0000-00003A000000}"/>
    <cellStyle name="Comma 2" xfId="1" xr:uid="{00000000-0005-0000-0000-00003B000000}"/>
    <cellStyle name="Comma 2 2" xfId="5" xr:uid="{00000000-0005-0000-0000-00003C000000}"/>
    <cellStyle name="Comma 2 2 2" xfId="80" xr:uid="{00000000-0005-0000-0000-00003D000000}"/>
    <cellStyle name="Comma 2 2 2 2" xfId="266" xr:uid="{00000000-0005-0000-0000-00003E000000}"/>
    <cellStyle name="Comma 2 3" xfId="6" xr:uid="{00000000-0005-0000-0000-00003F000000}"/>
    <cellStyle name="Comma 2 3 2" xfId="81" xr:uid="{00000000-0005-0000-0000-000040000000}"/>
    <cellStyle name="Comma 2 3 3" xfId="265" xr:uid="{00000000-0005-0000-0000-000041000000}"/>
    <cellStyle name="Comma 2 4" xfId="4" xr:uid="{00000000-0005-0000-0000-000042000000}"/>
    <cellStyle name="Comma 2 4 2" xfId="75" xr:uid="{00000000-0005-0000-0000-000043000000}"/>
    <cellStyle name="Comma 2 4 3" xfId="79" xr:uid="{00000000-0005-0000-0000-000044000000}"/>
    <cellStyle name="Comma 2 4 4" xfId="73" xr:uid="{00000000-0005-0000-0000-000045000000}"/>
    <cellStyle name="Comma 2 5" xfId="20" xr:uid="{00000000-0005-0000-0000-000046000000}"/>
    <cellStyle name="Comma 3" xfId="17" xr:uid="{00000000-0005-0000-0000-000047000000}"/>
    <cellStyle name="Comma 3 2" xfId="87" xr:uid="{00000000-0005-0000-0000-000048000000}"/>
    <cellStyle name="Comma 4" xfId="92" xr:uid="{00000000-0005-0000-0000-000049000000}"/>
    <cellStyle name="Comma 4 2" xfId="116" xr:uid="{00000000-0005-0000-0000-00004A000000}"/>
    <cellStyle name="Comma 5" xfId="111" xr:uid="{00000000-0005-0000-0000-00004B000000}"/>
    <cellStyle name="Comma 5 2" xfId="141" xr:uid="{00000000-0005-0000-0000-00004C000000}"/>
    <cellStyle name="Comma 6" xfId="209" xr:uid="{00000000-0005-0000-0000-00004D000000}"/>
    <cellStyle name="Comma 6 2" xfId="210" xr:uid="{00000000-0005-0000-0000-00004E000000}"/>
    <cellStyle name="Comma 8" xfId="117" xr:uid="{00000000-0005-0000-0000-00004F000000}"/>
    <cellStyle name="Comma0" xfId="93" xr:uid="{00000000-0005-0000-0000-000050000000}"/>
    <cellStyle name="Comma0 2" xfId="94" xr:uid="{00000000-0005-0000-0000-000051000000}"/>
    <cellStyle name="Currency" xfId="282" builtinId="4"/>
    <cellStyle name="Currency 2" xfId="12" xr:uid="{00000000-0005-0000-0000-000052000000}"/>
    <cellStyle name="Currency 2 2" xfId="85" xr:uid="{00000000-0005-0000-0000-000053000000}"/>
    <cellStyle name="Currency 2 2 2" xfId="125" xr:uid="{00000000-0005-0000-0000-000054000000}"/>
    <cellStyle name="Currency 2 2 2 2" xfId="267" xr:uid="{00000000-0005-0000-0000-000055000000}"/>
    <cellStyle name="Currency 2 3" xfId="136" xr:uid="{00000000-0005-0000-0000-000056000000}"/>
    <cellStyle name="Currency 3" xfId="15" xr:uid="{00000000-0005-0000-0000-000057000000}"/>
    <cellStyle name="Currency 3 2" xfId="96" xr:uid="{00000000-0005-0000-0000-000058000000}"/>
    <cellStyle name="Currency 3 3" xfId="126" xr:uid="{00000000-0005-0000-0000-000059000000}"/>
    <cellStyle name="Currency 4" xfId="95" xr:uid="{00000000-0005-0000-0000-00005A000000}"/>
    <cellStyle name="Currency 4 2" xfId="137" xr:uid="{00000000-0005-0000-0000-00005B000000}"/>
    <cellStyle name="Currency 4 2 2" xfId="148" xr:uid="{00000000-0005-0000-0000-00005C000000}"/>
    <cellStyle name="Currency 4 2 3" xfId="161" xr:uid="{00000000-0005-0000-0000-00005D000000}"/>
    <cellStyle name="Currency 4 3" xfId="140" xr:uid="{00000000-0005-0000-0000-00005E000000}"/>
    <cellStyle name="Currency 4 4" xfId="156" xr:uid="{00000000-0005-0000-0000-00005F000000}"/>
    <cellStyle name="Currency 5" xfId="152" xr:uid="{00000000-0005-0000-0000-000060000000}"/>
    <cellStyle name="Currency 6" xfId="115" xr:uid="{00000000-0005-0000-0000-000061000000}"/>
    <cellStyle name="Currency 8" xfId="52" xr:uid="{00000000-0005-0000-0000-000062000000}"/>
    <cellStyle name="Explanatory Text" xfId="177" builtinId="53" customBuiltin="1"/>
    <cellStyle name="Explanatory Text 2" xfId="53" xr:uid="{00000000-0005-0000-0000-000064000000}"/>
    <cellStyle name="Good" xfId="167" builtinId="26" customBuiltin="1"/>
    <cellStyle name="Good 2" xfId="54" xr:uid="{00000000-0005-0000-0000-000066000000}"/>
    <cellStyle name="Heading 1" xfId="163" builtinId="16" customBuiltin="1"/>
    <cellStyle name="Heading 1 2" xfId="55" xr:uid="{00000000-0005-0000-0000-000068000000}"/>
    <cellStyle name="Heading 2" xfId="164" builtinId="17" customBuiltin="1"/>
    <cellStyle name="Heading 2 2" xfId="56" xr:uid="{00000000-0005-0000-0000-00006A000000}"/>
    <cellStyle name="Heading 3" xfId="165" builtinId="18" customBuiltin="1"/>
    <cellStyle name="Heading 3 2" xfId="57" xr:uid="{00000000-0005-0000-0000-00006C000000}"/>
    <cellStyle name="Heading 4" xfId="166" builtinId="19" customBuiltin="1"/>
    <cellStyle name="Heading 4 2" xfId="58" xr:uid="{00000000-0005-0000-0000-00006E000000}"/>
    <cellStyle name="Hyperlink" xfId="281" builtinId="8" customBuiltin="1"/>
    <cellStyle name="Hyperlink 2" xfId="120" xr:uid="{00000000-0005-0000-0000-000070000000}"/>
    <cellStyle name="Hyperlink 2 2" xfId="133" xr:uid="{00000000-0005-0000-0000-000071000000}"/>
    <cellStyle name="Hyperlink 2 3" xfId="151" xr:uid="{00000000-0005-0000-0000-000072000000}"/>
    <cellStyle name="Hyperlink 3" xfId="131" xr:uid="{00000000-0005-0000-0000-000073000000}"/>
    <cellStyle name="Hyperlink 4" xfId="157" xr:uid="{00000000-0005-0000-0000-000074000000}"/>
    <cellStyle name="Input" xfId="170" builtinId="20" customBuiltin="1"/>
    <cellStyle name="Input 2" xfId="59" xr:uid="{00000000-0005-0000-0000-000076000000}"/>
    <cellStyle name="Linked Cell" xfId="173" builtinId="24" customBuiltin="1"/>
    <cellStyle name="Linked Cell 2" xfId="60" xr:uid="{00000000-0005-0000-0000-000078000000}"/>
    <cellStyle name="Neutral" xfId="169" builtinId="28" customBuiltin="1"/>
    <cellStyle name="Neutral 2" xfId="61" xr:uid="{00000000-0005-0000-0000-00007A000000}"/>
    <cellStyle name="Normal" xfId="0" builtinId="0"/>
    <cellStyle name="Normal 10" xfId="97" xr:uid="{00000000-0005-0000-0000-00007C000000}"/>
    <cellStyle name="Normal 10 2" xfId="204" xr:uid="{00000000-0005-0000-0000-00007D000000}"/>
    <cellStyle name="Normal 10 2 2" xfId="212" xr:uid="{00000000-0005-0000-0000-00007E000000}"/>
    <cellStyle name="Normal 10 3" xfId="211" xr:uid="{00000000-0005-0000-0000-00007F000000}"/>
    <cellStyle name="Normal 11" xfId="98" xr:uid="{00000000-0005-0000-0000-000080000000}"/>
    <cellStyle name="Normal 11 2" xfId="142" xr:uid="{00000000-0005-0000-0000-000081000000}"/>
    <cellStyle name="Normal 11 3" xfId="213" xr:uid="{00000000-0005-0000-0000-000082000000}"/>
    <cellStyle name="Normal 12" xfId="91" xr:uid="{00000000-0005-0000-0000-000083000000}"/>
    <cellStyle name="Normal 12 2" xfId="215" xr:uid="{00000000-0005-0000-0000-000084000000}"/>
    <cellStyle name="Normal 12 3" xfId="214" xr:uid="{00000000-0005-0000-0000-000085000000}"/>
    <cellStyle name="Normal 13" xfId="110" xr:uid="{00000000-0005-0000-0000-000086000000}"/>
    <cellStyle name="Normal 13 2" xfId="143" xr:uid="{00000000-0005-0000-0000-000087000000}"/>
    <cellStyle name="Normal 13 3" xfId="279" xr:uid="{00000000-0005-0000-0000-000088000000}"/>
    <cellStyle name="Normal 2" xfId="2" xr:uid="{00000000-0005-0000-0000-000089000000}"/>
    <cellStyle name="Normal 2 2" xfId="8" xr:uid="{00000000-0005-0000-0000-00008A000000}"/>
    <cellStyle name="Normal 2 2 2" xfId="69" xr:uid="{00000000-0005-0000-0000-00008B000000}"/>
    <cellStyle name="Normal 2 2 2 2" xfId="154" xr:uid="{00000000-0005-0000-0000-00008C000000}"/>
    <cellStyle name="Normal 2 2 2 3" xfId="216" xr:uid="{00000000-0005-0000-0000-00008D000000}"/>
    <cellStyle name="Normal 2 2 3" xfId="68" xr:uid="{00000000-0005-0000-0000-00008E000000}"/>
    <cellStyle name="Normal 2 2 4" xfId="99" xr:uid="{00000000-0005-0000-0000-00008F000000}"/>
    <cellStyle name="Normal 2 2 5" xfId="113" xr:uid="{00000000-0005-0000-0000-000090000000}"/>
    <cellStyle name="Normal 2 2 5 2" xfId="277" xr:uid="{00000000-0005-0000-0000-000091000000}"/>
    <cellStyle name="Normal 2 3" xfId="9" xr:uid="{00000000-0005-0000-0000-000092000000}"/>
    <cellStyle name="Normal 2 3 2" xfId="100" xr:uid="{00000000-0005-0000-0000-000093000000}"/>
    <cellStyle name="Normal 2 3 2 2" xfId="218" xr:uid="{00000000-0005-0000-0000-000094000000}"/>
    <cellStyle name="Normal 2 3 3" xfId="153" xr:uid="{00000000-0005-0000-0000-000095000000}"/>
    <cellStyle name="Normal 2 3 3 2" xfId="268" xr:uid="{00000000-0005-0000-0000-000096000000}"/>
    <cellStyle name="Normal 2 3 4" xfId="217" xr:uid="{00000000-0005-0000-0000-000097000000}"/>
    <cellStyle name="Normal 2 4" xfId="7" xr:uid="{00000000-0005-0000-0000-000098000000}"/>
    <cellStyle name="Normal 2 4 2" xfId="76" xr:uid="{00000000-0005-0000-0000-000099000000}"/>
    <cellStyle name="Normal 2 4 3" xfId="82" xr:uid="{00000000-0005-0000-0000-00009A000000}"/>
    <cellStyle name="Normal 2 4 3 2" xfId="269" xr:uid="{00000000-0005-0000-0000-00009B000000}"/>
    <cellStyle name="Normal 2 4 4" xfId="72" xr:uid="{00000000-0005-0000-0000-00009C000000}"/>
    <cellStyle name="Normal 2 4 5" xfId="101" xr:uid="{00000000-0005-0000-0000-00009D000000}"/>
    <cellStyle name="Normal 2 4 5 2" xfId="144" xr:uid="{00000000-0005-0000-0000-00009E000000}"/>
    <cellStyle name="Normal 2 5" xfId="18" xr:uid="{00000000-0005-0000-0000-00009F000000}"/>
    <cellStyle name="Normal 2 5 2" xfId="219" xr:uid="{00000000-0005-0000-0000-0000A0000000}"/>
    <cellStyle name="Normal 2 6" xfId="78" xr:uid="{00000000-0005-0000-0000-0000A1000000}"/>
    <cellStyle name="Normal 2 6 2" xfId="275" xr:uid="{00000000-0005-0000-0000-0000A2000000}"/>
    <cellStyle name="Normal 2 7" xfId="112" xr:uid="{00000000-0005-0000-0000-0000A3000000}"/>
    <cellStyle name="Normal 2 8" xfId="150" xr:uid="{00000000-0005-0000-0000-0000A4000000}"/>
    <cellStyle name="Normal 2 9" xfId="280" xr:uid="{00000000-0005-0000-0000-0000A5000000}"/>
    <cellStyle name="Normal 2_Sheet1" xfId="102" xr:uid="{00000000-0005-0000-0000-0000A6000000}"/>
    <cellStyle name="Normal 3" xfId="13" xr:uid="{00000000-0005-0000-0000-0000A7000000}"/>
    <cellStyle name="Normal 3 10" xfId="278" xr:uid="{00000000-0005-0000-0000-0000A8000000}"/>
    <cellStyle name="Normal 3 2" xfId="10" xr:uid="{00000000-0005-0000-0000-0000A9000000}"/>
    <cellStyle name="Normal 3 2 2" xfId="83" xr:uid="{00000000-0005-0000-0000-0000AA000000}"/>
    <cellStyle name="Normal 3 2 2 2" xfId="159" xr:uid="{00000000-0005-0000-0000-0000AB000000}"/>
    <cellStyle name="Normal 3 2 2 2 2" xfId="220" xr:uid="{00000000-0005-0000-0000-0000AC000000}"/>
    <cellStyle name="Normal 3 2 3" xfId="104" xr:uid="{00000000-0005-0000-0000-0000AD000000}"/>
    <cellStyle name="Normal 3 2 3 2" xfId="221" xr:uid="{00000000-0005-0000-0000-0000AE000000}"/>
    <cellStyle name="Normal 3 2 4" xfId="134" xr:uid="{00000000-0005-0000-0000-0000AF000000}"/>
    <cellStyle name="Normal 3 2 4 2" xfId="271" xr:uid="{00000000-0005-0000-0000-0000B0000000}"/>
    <cellStyle name="Normal 3 3" xfId="11" xr:uid="{00000000-0005-0000-0000-0000B1000000}"/>
    <cellStyle name="Normal 3 3 2" xfId="84" xr:uid="{00000000-0005-0000-0000-0000B2000000}"/>
    <cellStyle name="Normal 3 3 2 2" xfId="158" xr:uid="{00000000-0005-0000-0000-0000B3000000}"/>
    <cellStyle name="Normal 3 3 2 2 2" xfId="222" xr:uid="{00000000-0005-0000-0000-0000B4000000}"/>
    <cellStyle name="Normal 3 3 3" xfId="132" xr:uid="{00000000-0005-0000-0000-0000B5000000}"/>
    <cellStyle name="Normal 3 3 3 2" xfId="223" xr:uid="{00000000-0005-0000-0000-0000B6000000}"/>
    <cellStyle name="Normal 3 3 4" xfId="272" xr:uid="{00000000-0005-0000-0000-0000B7000000}"/>
    <cellStyle name="Normal 3 4" xfId="19" xr:uid="{00000000-0005-0000-0000-0000B8000000}"/>
    <cellStyle name="Normal 3 4 2" xfId="127" xr:uid="{00000000-0005-0000-0000-0000B9000000}"/>
    <cellStyle name="Normal 3 4 2 2" xfId="226" xr:uid="{00000000-0005-0000-0000-0000BA000000}"/>
    <cellStyle name="Normal 3 4 2 3" xfId="225" xr:uid="{00000000-0005-0000-0000-0000BB000000}"/>
    <cellStyle name="Normal 3 4 3" xfId="227" xr:uid="{00000000-0005-0000-0000-0000BC000000}"/>
    <cellStyle name="Normal 3 4 4" xfId="224" xr:uid="{00000000-0005-0000-0000-0000BD000000}"/>
    <cellStyle name="Normal 3 5" xfId="77" xr:uid="{00000000-0005-0000-0000-0000BE000000}"/>
    <cellStyle name="Normal 3 5 2" xfId="229" xr:uid="{00000000-0005-0000-0000-0000BF000000}"/>
    <cellStyle name="Normal 3 5 2 2" xfId="230" xr:uid="{00000000-0005-0000-0000-0000C0000000}"/>
    <cellStyle name="Normal 3 5 3" xfId="231" xr:uid="{00000000-0005-0000-0000-0000C1000000}"/>
    <cellStyle name="Normal 3 5 4" xfId="228" xr:uid="{00000000-0005-0000-0000-0000C2000000}"/>
    <cellStyle name="Normal 3 6" xfId="71" xr:uid="{00000000-0005-0000-0000-0000C3000000}"/>
    <cellStyle name="Normal 3 6 2" xfId="233" xr:uid="{00000000-0005-0000-0000-0000C4000000}"/>
    <cellStyle name="Normal 3 6 3" xfId="232" xr:uid="{00000000-0005-0000-0000-0000C5000000}"/>
    <cellStyle name="Normal 3 7" xfId="103" xr:uid="{00000000-0005-0000-0000-0000C6000000}"/>
    <cellStyle name="Normal 3 7 2" xfId="234" xr:uid="{00000000-0005-0000-0000-0000C7000000}"/>
    <cellStyle name="Normal 3 8" xfId="264" xr:uid="{00000000-0005-0000-0000-0000C8000000}"/>
    <cellStyle name="Normal 3 9" xfId="270" xr:uid="{00000000-0005-0000-0000-0000C9000000}"/>
    <cellStyle name="Normal 4" xfId="14" xr:uid="{00000000-0005-0000-0000-0000CA000000}"/>
    <cellStyle name="Normal 4 2" xfId="21" xr:uid="{00000000-0005-0000-0000-0000CB000000}"/>
    <cellStyle name="Normal 4 2 2" xfId="89" xr:uid="{00000000-0005-0000-0000-0000CC000000}"/>
    <cellStyle name="Normal 4 2 2 2" xfId="237" xr:uid="{00000000-0005-0000-0000-0000CD000000}"/>
    <cellStyle name="Normal 4 2 2 3" xfId="236" xr:uid="{00000000-0005-0000-0000-0000CE000000}"/>
    <cellStyle name="Normal 4 2 3" xfId="106" xr:uid="{00000000-0005-0000-0000-0000CF000000}"/>
    <cellStyle name="Normal 4 2 3 2" xfId="238" xr:uid="{00000000-0005-0000-0000-0000D0000000}"/>
    <cellStyle name="Normal 4 2 4" xfId="135" xr:uid="{00000000-0005-0000-0000-0000D1000000}"/>
    <cellStyle name="Normal 4 2 4 2" xfId="273" xr:uid="{00000000-0005-0000-0000-0000D2000000}"/>
    <cellStyle name="Normal 4 2 5" xfId="235" xr:uid="{00000000-0005-0000-0000-0000D3000000}"/>
    <cellStyle name="Normal 4 3" xfId="86" xr:uid="{00000000-0005-0000-0000-0000D4000000}"/>
    <cellStyle name="Normal 4 3 2" xfId="128" xr:uid="{00000000-0005-0000-0000-0000D5000000}"/>
    <cellStyle name="Normal 4 3 2 2" xfId="241" xr:uid="{00000000-0005-0000-0000-0000D6000000}"/>
    <cellStyle name="Normal 4 3 2 3" xfId="240" xr:uid="{00000000-0005-0000-0000-0000D7000000}"/>
    <cellStyle name="Normal 4 3 3" xfId="242" xr:uid="{00000000-0005-0000-0000-0000D8000000}"/>
    <cellStyle name="Normal 4 3 4" xfId="239" xr:uid="{00000000-0005-0000-0000-0000D9000000}"/>
    <cellStyle name="Normal 4 4" xfId="70" xr:uid="{00000000-0005-0000-0000-0000DA000000}"/>
    <cellStyle name="Normal 4 4 2" xfId="244" xr:uid="{00000000-0005-0000-0000-0000DB000000}"/>
    <cellStyle name="Normal 4 4 2 2" xfId="245" xr:uid="{00000000-0005-0000-0000-0000DC000000}"/>
    <cellStyle name="Normal 4 4 3" xfId="246" xr:uid="{00000000-0005-0000-0000-0000DD000000}"/>
    <cellStyle name="Normal 4 4 4" xfId="243" xr:uid="{00000000-0005-0000-0000-0000DE000000}"/>
    <cellStyle name="Normal 4 5" xfId="105" xr:uid="{00000000-0005-0000-0000-0000DF000000}"/>
    <cellStyle name="Normal 4 5 2" xfId="248" xr:uid="{00000000-0005-0000-0000-0000E0000000}"/>
    <cellStyle name="Normal 4 5 2 2" xfId="249" xr:uid="{00000000-0005-0000-0000-0000E1000000}"/>
    <cellStyle name="Normal 4 5 3" xfId="250" xr:uid="{00000000-0005-0000-0000-0000E2000000}"/>
    <cellStyle name="Normal 4 5 4" xfId="247" xr:uid="{00000000-0005-0000-0000-0000E3000000}"/>
    <cellStyle name="Normal 4 6" xfId="121" xr:uid="{00000000-0005-0000-0000-0000E4000000}"/>
    <cellStyle name="Normal 4 6 2" xfId="251" xr:uid="{00000000-0005-0000-0000-0000E5000000}"/>
    <cellStyle name="Normal 4 7" xfId="252" xr:uid="{00000000-0005-0000-0000-0000E6000000}"/>
    <cellStyle name="Normal 4 8" xfId="276" xr:uid="{00000000-0005-0000-0000-0000E7000000}"/>
    <cellStyle name="Normal 4 9" xfId="203" xr:uid="{00000000-0005-0000-0000-0000E8000000}"/>
    <cellStyle name="Normal 5" xfId="16" xr:uid="{00000000-0005-0000-0000-0000E9000000}"/>
    <cellStyle name="Normal 5 2" xfId="22" xr:uid="{00000000-0005-0000-0000-0000EA000000}"/>
    <cellStyle name="Normal 5 2 2" xfId="274" xr:uid="{00000000-0005-0000-0000-0000EB000000}"/>
    <cellStyle name="Normal 5 3" xfId="129" xr:uid="{00000000-0005-0000-0000-0000EC000000}"/>
    <cellStyle name="Normal 5 3 2" xfId="146" xr:uid="{00000000-0005-0000-0000-0000ED000000}"/>
    <cellStyle name="Normal 5 4" xfId="253" xr:uid="{00000000-0005-0000-0000-0000EE000000}"/>
    <cellStyle name="Normal 6" xfId="62" xr:uid="{00000000-0005-0000-0000-0000EF000000}"/>
    <cellStyle name="Normal 6 2" xfId="107" xr:uid="{00000000-0005-0000-0000-0000F0000000}"/>
    <cellStyle name="Normal 6 2 2" xfId="124" xr:uid="{00000000-0005-0000-0000-0000F1000000}"/>
    <cellStyle name="Normal 6 2 2 2" xfId="256" xr:uid="{00000000-0005-0000-0000-0000F2000000}"/>
    <cellStyle name="Normal 6 2 3" xfId="255" xr:uid="{00000000-0005-0000-0000-0000F3000000}"/>
    <cellStyle name="Normal 6 3" xfId="257" xr:uid="{00000000-0005-0000-0000-0000F4000000}"/>
    <cellStyle name="Normal 6 4" xfId="254" xr:uid="{00000000-0005-0000-0000-0000F5000000}"/>
    <cellStyle name="Normal 7" xfId="108" xr:uid="{00000000-0005-0000-0000-0000F6000000}"/>
    <cellStyle name="Normal 7 2" xfId="114" xr:uid="{00000000-0005-0000-0000-0000F7000000}"/>
    <cellStyle name="Normal 7 2 2" xfId="160" xr:uid="{00000000-0005-0000-0000-0000F8000000}"/>
    <cellStyle name="Normal 7 2 2 2" xfId="260" xr:uid="{00000000-0005-0000-0000-0000F9000000}"/>
    <cellStyle name="Normal 7 2 3" xfId="259" xr:uid="{00000000-0005-0000-0000-0000FA000000}"/>
    <cellStyle name="Normal 7 3" xfId="122" xr:uid="{00000000-0005-0000-0000-0000FB000000}"/>
    <cellStyle name="Normal 7 3 2" xfId="145" xr:uid="{00000000-0005-0000-0000-0000FC000000}"/>
    <cellStyle name="Normal 7 3 3" xfId="261" xr:uid="{00000000-0005-0000-0000-0000FD000000}"/>
    <cellStyle name="Normal 7 4" xfId="155" xr:uid="{00000000-0005-0000-0000-0000FE000000}"/>
    <cellStyle name="Normal 7 4 2" xfId="258" xr:uid="{00000000-0005-0000-0000-0000FF000000}"/>
    <cellStyle name="Normal 8" xfId="90" xr:uid="{00000000-0005-0000-0000-000000010000}"/>
    <cellStyle name="Normal 8 2" xfId="149" xr:uid="{00000000-0005-0000-0000-000001010000}"/>
    <cellStyle name="Normal 8 2 2" xfId="262" xr:uid="{00000000-0005-0000-0000-000002010000}"/>
    <cellStyle name="Normal 8 3" xfId="283" xr:uid="{69E8A0C3-7069-4958-9D2C-FD9665A9C280}"/>
    <cellStyle name="Normal 9" xfId="109" xr:uid="{00000000-0005-0000-0000-000003010000}"/>
    <cellStyle name="Normal 9 2" xfId="263" xr:uid="{00000000-0005-0000-0000-000004010000}"/>
    <cellStyle name="Normal 9 3" xfId="284" xr:uid="{457C1E71-AAAB-4B2D-92F0-DF1238289578}"/>
    <cellStyle name="Normal_Sheet1" xfId="285" xr:uid="{0EC6EB5B-5BE9-46C0-A117-85A754760A78}"/>
    <cellStyle name="Note" xfId="176" builtinId="10" customBuiltin="1"/>
    <cellStyle name="Note 2" xfId="63" xr:uid="{00000000-0005-0000-0000-000006010000}"/>
    <cellStyle name="Output" xfId="171" builtinId="21" customBuiltin="1"/>
    <cellStyle name="Output 2" xfId="64" xr:uid="{00000000-0005-0000-0000-000008010000}"/>
    <cellStyle name="Percent 2" xfId="3" xr:uid="{00000000-0005-0000-0000-000009010000}"/>
    <cellStyle name="Percent 2 2" xfId="23" xr:uid="{00000000-0005-0000-0000-00000A010000}"/>
    <cellStyle name="Percent 2 2 2" xfId="88" xr:uid="{00000000-0005-0000-0000-00000B010000}"/>
    <cellStyle name="Percent 2 2 3" xfId="130" xr:uid="{00000000-0005-0000-0000-00000C010000}"/>
    <cellStyle name="Percent 2 2 3 2" xfId="147" xr:uid="{00000000-0005-0000-0000-00000D010000}"/>
    <cellStyle name="Percent 2 2 4" xfId="139" xr:uid="{00000000-0005-0000-0000-00000E010000}"/>
    <cellStyle name="Percent 2 3" xfId="118" xr:uid="{00000000-0005-0000-0000-00000F010000}"/>
    <cellStyle name="Percent 3" xfId="74" xr:uid="{00000000-0005-0000-0000-000010010000}"/>
    <cellStyle name="Percent 3 2" xfId="119" xr:uid="{00000000-0005-0000-0000-000011010000}"/>
    <cellStyle name="Percent 4" xfId="123" xr:uid="{00000000-0005-0000-0000-000012010000}"/>
    <cellStyle name="Percent 4 2" xfId="138" xr:uid="{00000000-0005-0000-0000-000013010000}"/>
    <cellStyle name="Title" xfId="162" builtinId="15" customBuiltin="1"/>
    <cellStyle name="Title 2" xfId="65" xr:uid="{00000000-0005-0000-0000-000015010000}"/>
    <cellStyle name="Total" xfId="178" builtinId="25" customBuiltin="1"/>
    <cellStyle name="Total 2" xfId="66" xr:uid="{00000000-0005-0000-0000-000017010000}"/>
    <cellStyle name="Warning Text" xfId="175" builtinId="11" customBuiltin="1"/>
    <cellStyle name="Warning Text 2" xfId="67" xr:uid="{00000000-0005-0000-0000-000019010000}"/>
  </cellStyles>
  <dxfs count="0"/>
  <tableStyles count="0" defaultTableStyle="TableStyleMedium9" defaultPivotStyle="PivotStyleLight16"/>
  <colors>
    <mruColors>
      <color rgb="FFCCFFCC"/>
      <color rgb="FFC4D79B"/>
      <color rgb="FFC3E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FRFF@cde.state.co.u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GFRFF@cde.state.co.u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cody_a@cde.state.co.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dy_a@cde.state.co.us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GFRFF@cde.state.co.us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dy_a@cde.state.co.us" TargetMode="External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GFRFF@cde.state.co.us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GFRFF@cde.state.co.us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GFRFF@cde.state.co.us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hyperlink" Target="mailto:GFRFF@cde.state.co.u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mailto:GFRFF@cde.state.co.u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dy_a@cde.state.co.us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ody_a@cde.state.co.us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FRFF@cde.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4A1C-CA26-4D13-8795-E4DA70AEBA4E}">
  <sheetPr>
    <tabColor theme="2"/>
  </sheetPr>
  <dimension ref="A1:AJ60"/>
  <sheetViews>
    <sheetView workbookViewId="0">
      <pane xSplit="7" topLeftCell="H1" activePane="topRight" state="frozen"/>
      <selection pane="topRight" activeCell="H14" sqref="H14"/>
    </sheetView>
  </sheetViews>
  <sheetFormatPr defaultColWidth="9.42578125" defaultRowHeight="15" x14ac:dyDescent="0.25"/>
  <cols>
    <col min="2" max="2" width="36.5703125" customWidth="1"/>
    <col min="3" max="3" width="14.42578125" customWidth="1"/>
    <col min="4" max="4" width="10.5703125" customWidth="1"/>
    <col min="5" max="6" width="14.42578125" customWidth="1"/>
    <col min="7" max="7" width="17.5703125" customWidth="1"/>
    <col min="8" max="8" width="12.42578125" customWidth="1"/>
    <col min="9" max="9" width="12.5703125" customWidth="1"/>
    <col min="10" max="10" width="12" customWidth="1"/>
    <col min="11" max="11" width="11.5703125" customWidth="1"/>
    <col min="12" max="12" width="12.42578125" customWidth="1"/>
    <col min="13" max="13" width="12.5703125" customWidth="1"/>
    <col min="14" max="14" width="12.42578125" customWidth="1"/>
    <col min="15" max="15" width="13.42578125" customWidth="1"/>
    <col min="16" max="16" width="12.42578125" customWidth="1"/>
    <col min="17" max="17" width="13.5703125" customWidth="1"/>
    <col min="18" max="18" width="12.5703125" customWidth="1"/>
    <col min="19" max="19" width="13.42578125" customWidth="1"/>
    <col min="20" max="20" width="13" customWidth="1"/>
    <col min="21" max="22" width="15.5703125" customWidth="1"/>
    <col min="23" max="23" width="12.5703125" bestFit="1" customWidth="1"/>
    <col min="24" max="24" width="15" bestFit="1" customWidth="1"/>
    <col min="25" max="25" width="14.5703125" bestFit="1" customWidth="1"/>
    <col min="26" max="26" width="12.42578125" bestFit="1" customWidth="1"/>
    <col min="27" max="27" width="13.42578125" bestFit="1" customWidth="1"/>
    <col min="28" max="28" width="11" bestFit="1" customWidth="1"/>
    <col min="29" max="29" width="9.5703125" bestFit="1" customWidth="1"/>
    <col min="31" max="31" width="9.5703125" bestFit="1" customWidth="1"/>
    <col min="32" max="32" width="8.5703125" bestFit="1" customWidth="1"/>
    <col min="33" max="33" width="11.5703125" bestFit="1" customWidth="1"/>
    <col min="34" max="34" width="15.42578125" bestFit="1" customWidth="1"/>
    <col min="35" max="36" width="21.42578125" customWidth="1"/>
  </cols>
  <sheetData>
    <row r="1" spans="1:36" ht="21" x14ac:dyDescent="0.35">
      <c r="A1" s="28" t="s">
        <v>0</v>
      </c>
      <c r="B1" s="41"/>
      <c r="C1" s="37" t="s">
        <v>925</v>
      </c>
      <c r="D1" s="37"/>
      <c r="E1" s="37"/>
      <c r="F1" s="28"/>
      <c r="G1" s="38"/>
      <c r="H1" s="42"/>
      <c r="I1" s="42"/>
      <c r="J1" s="37"/>
      <c r="K1" s="37"/>
      <c r="L1" s="28"/>
      <c r="M1" s="28"/>
      <c r="N1" s="37" t="str">
        <f>$C$1</f>
        <v>SLFRF - Concurrent Enrollment Expansion  (SB 21-268)</v>
      </c>
      <c r="O1" s="38"/>
      <c r="P1" s="42"/>
      <c r="Q1" s="37"/>
      <c r="R1" s="37"/>
      <c r="S1" s="37"/>
      <c r="T1" s="37" t="str">
        <f>$C$1</f>
        <v>SLFRF - Concurrent Enrollment Expansion  (SB 21-268)</v>
      </c>
      <c r="U1" s="28"/>
      <c r="V1" s="38"/>
      <c r="W1" s="38"/>
      <c r="X1" s="37"/>
      <c r="Y1" s="38"/>
      <c r="Z1" s="38"/>
      <c r="AA1" s="37" t="str">
        <f>$C$1</f>
        <v>SLFRF - Concurrent Enrollment Expansion  (SB 21-268)</v>
      </c>
      <c r="AB1" s="38"/>
      <c r="AC1" s="38"/>
      <c r="AD1" s="38"/>
      <c r="AE1" s="37"/>
      <c r="AF1" s="38"/>
      <c r="AG1" s="38"/>
      <c r="AH1" s="38"/>
      <c r="AI1" s="28"/>
      <c r="AJ1" s="28"/>
    </row>
    <row r="2" spans="1:36" ht="21" x14ac:dyDescent="0.35">
      <c r="A2" s="28" t="s">
        <v>137</v>
      </c>
      <c r="B2" s="38"/>
      <c r="C2" s="28" t="s">
        <v>924</v>
      </c>
      <c r="D2" s="28"/>
      <c r="E2" s="28"/>
      <c r="F2" s="29"/>
      <c r="G2" s="18"/>
      <c r="H2" s="42"/>
      <c r="I2" s="42"/>
      <c r="J2" s="29"/>
      <c r="K2" s="37"/>
      <c r="L2" s="37" t="s">
        <v>32</v>
      </c>
      <c r="M2" s="39"/>
      <c r="N2" s="29" t="str">
        <f>"FY"&amp;$C$4</f>
        <v>FY2021-22</v>
      </c>
      <c r="O2" s="18"/>
      <c r="P2" s="18"/>
      <c r="Q2" s="29"/>
      <c r="R2" s="29"/>
      <c r="S2" s="37"/>
      <c r="T2" s="29" t="str">
        <f>"FY"&amp;$C$4</f>
        <v>FY2021-22</v>
      </c>
      <c r="U2" s="39"/>
      <c r="V2" s="18"/>
      <c r="W2" s="38"/>
      <c r="X2" s="29"/>
      <c r="Y2" s="38"/>
      <c r="Z2" s="38"/>
      <c r="AA2" s="29" t="str">
        <f>"FY"&amp;$C$4</f>
        <v>FY2021-22</v>
      </c>
      <c r="AB2" s="38"/>
      <c r="AC2" s="38"/>
      <c r="AD2" s="38"/>
      <c r="AE2" s="29"/>
      <c r="AF2" s="38"/>
      <c r="AG2" s="38"/>
      <c r="AH2" s="38"/>
      <c r="AI2" s="28"/>
      <c r="AJ2" s="28"/>
    </row>
    <row r="3" spans="1:36" ht="16.350000000000001" customHeight="1" x14ac:dyDescent="0.35">
      <c r="A3" s="29" t="s">
        <v>1</v>
      </c>
      <c r="B3" s="41"/>
      <c r="C3" s="39">
        <v>9017</v>
      </c>
      <c r="D3" s="39"/>
      <c r="E3" s="39"/>
      <c r="F3" s="29"/>
      <c r="G3" s="1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42"/>
      <c r="AJ3" s="42"/>
    </row>
    <row r="4" spans="1:36" ht="16.350000000000001" customHeight="1" x14ac:dyDescent="0.35">
      <c r="A4" s="29" t="s">
        <v>2</v>
      </c>
      <c r="B4" s="41"/>
      <c r="C4" s="39" t="s">
        <v>618</v>
      </c>
      <c r="D4" s="39"/>
      <c r="E4" s="39"/>
      <c r="F4" s="18"/>
      <c r="G4" s="1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42"/>
      <c r="AJ4" s="42"/>
    </row>
    <row r="5" spans="1:36" ht="16.350000000000001" customHeight="1" x14ac:dyDescent="0.35">
      <c r="A5" s="29" t="s">
        <v>430</v>
      </c>
      <c r="B5" s="41"/>
      <c r="C5" s="39" t="s">
        <v>926</v>
      </c>
      <c r="D5" s="39"/>
      <c r="E5" s="39"/>
      <c r="F5" s="18"/>
      <c r="G5" s="1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42"/>
      <c r="AJ5" s="42"/>
    </row>
    <row r="6" spans="1:36" ht="16.350000000000001" customHeight="1" x14ac:dyDescent="0.35">
      <c r="A6" s="29" t="s">
        <v>133</v>
      </c>
      <c r="B6" s="41"/>
      <c r="C6" s="51" t="s">
        <v>315</v>
      </c>
      <c r="D6" s="101"/>
      <c r="E6" s="101"/>
      <c r="F6" s="29"/>
      <c r="G6" s="9"/>
      <c r="H6" s="9"/>
      <c r="I6" s="9"/>
      <c r="J6" s="9"/>
      <c r="K6" s="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40"/>
      <c r="AJ6" s="40"/>
    </row>
    <row r="7" spans="1:36" ht="16.350000000000001" customHeight="1" x14ac:dyDescent="0.35">
      <c r="A7" s="29" t="s">
        <v>18</v>
      </c>
      <c r="B7" s="41"/>
      <c r="C7" s="54" t="s">
        <v>332</v>
      </c>
      <c r="D7" s="29"/>
      <c r="E7" s="29"/>
      <c r="F7" s="29"/>
      <c r="G7" s="9"/>
      <c r="H7" s="9"/>
      <c r="I7" s="9"/>
      <c r="J7" s="9"/>
      <c r="K7" s="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0"/>
      <c r="AJ7" s="40"/>
    </row>
    <row r="8" spans="1:36" ht="16.350000000000001" customHeight="1" thickBot="1" x14ac:dyDescent="0.4">
      <c r="A8" s="29"/>
      <c r="B8" s="41"/>
      <c r="C8" s="29"/>
      <c r="D8" s="29"/>
      <c r="E8" s="29"/>
      <c r="F8" s="29"/>
      <c r="G8" s="9"/>
      <c r="H8" s="9"/>
      <c r="I8" s="9"/>
      <c r="J8" s="9"/>
      <c r="K8" s="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0"/>
      <c r="AJ8" s="40"/>
    </row>
    <row r="9" spans="1:36" s="100" customFormat="1" ht="45.75" thickBot="1" x14ac:dyDescent="0.3">
      <c r="A9" s="43" t="s">
        <v>130</v>
      </c>
      <c r="B9" s="43" t="s">
        <v>42</v>
      </c>
      <c r="C9" s="43" t="s">
        <v>14</v>
      </c>
      <c r="D9" s="43"/>
      <c r="E9" s="43" t="s">
        <v>132</v>
      </c>
      <c r="F9" s="43" t="s">
        <v>15</v>
      </c>
      <c r="G9" s="22" t="s">
        <v>16</v>
      </c>
      <c r="H9" s="24" t="s">
        <v>606</v>
      </c>
      <c r="I9" s="24" t="s">
        <v>607</v>
      </c>
      <c r="J9" s="24" t="s">
        <v>608</v>
      </c>
      <c r="K9" s="24" t="s">
        <v>609</v>
      </c>
      <c r="L9" s="24" t="s">
        <v>610</v>
      </c>
      <c r="M9" s="24" t="s">
        <v>611</v>
      </c>
      <c r="N9" s="24" t="s">
        <v>612</v>
      </c>
      <c r="O9" s="24" t="s">
        <v>613</v>
      </c>
      <c r="P9" s="24" t="s">
        <v>614</v>
      </c>
      <c r="Q9" s="24" t="s">
        <v>619</v>
      </c>
      <c r="R9" s="24" t="s">
        <v>620</v>
      </c>
      <c r="S9" s="24" t="s">
        <v>866</v>
      </c>
      <c r="T9" s="24" t="s">
        <v>915</v>
      </c>
      <c r="U9" s="24" t="s">
        <v>916</v>
      </c>
      <c r="V9" s="24" t="s">
        <v>917</v>
      </c>
      <c r="W9" s="24" t="s">
        <v>918</v>
      </c>
      <c r="X9" s="24" t="s">
        <v>919</v>
      </c>
      <c r="Y9" s="24" t="s">
        <v>920</v>
      </c>
      <c r="Z9" s="24" t="s">
        <v>921</v>
      </c>
      <c r="AA9" s="24" t="s">
        <v>922</v>
      </c>
      <c r="AB9" s="24" t="s">
        <v>923</v>
      </c>
      <c r="AC9" s="24"/>
      <c r="AD9" s="24"/>
      <c r="AE9" s="24"/>
      <c r="AF9" s="23"/>
      <c r="AG9" s="24"/>
      <c r="AH9" s="24"/>
      <c r="AI9" s="43"/>
      <c r="AJ9" s="43"/>
    </row>
    <row r="10" spans="1:36" s="100" customFormat="1" ht="15.75" thickBot="1" x14ac:dyDescent="0.3">
      <c r="A10" s="368" t="s">
        <v>235</v>
      </c>
      <c r="B10" s="56" t="s">
        <v>882</v>
      </c>
      <c r="C10" s="196">
        <v>96793</v>
      </c>
      <c r="D10" s="188"/>
      <c r="E10" s="188">
        <f t="shared" ref="E10:E17" si="0">C10</f>
        <v>96793</v>
      </c>
      <c r="F10" s="196">
        <f>SUM(H10:AH10)</f>
        <v>91876.75</v>
      </c>
      <c r="G10" s="196">
        <f>C10-F10</f>
        <v>4916.25</v>
      </c>
      <c r="H10" s="204"/>
      <c r="I10" s="204"/>
      <c r="J10" s="204"/>
      <c r="K10" s="205"/>
      <c r="L10" s="205">
        <v>72765.84</v>
      </c>
      <c r="M10" s="205">
        <v>16934.560000000001</v>
      </c>
      <c r="N10" s="205">
        <v>2176.35</v>
      </c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197"/>
      <c r="Z10" s="197"/>
      <c r="AA10" s="197"/>
      <c r="AB10" s="197"/>
      <c r="AC10" s="111"/>
      <c r="AD10" s="111"/>
      <c r="AE10" s="111"/>
      <c r="AF10" s="111"/>
      <c r="AG10" s="111"/>
      <c r="AH10" s="111"/>
      <c r="AI10"/>
      <c r="AJ10"/>
    </row>
    <row r="11" spans="1:36" s="99" customFormat="1" ht="19.5" thickBot="1" x14ac:dyDescent="0.35">
      <c r="A11" s="368" t="s">
        <v>883</v>
      </c>
      <c r="B11" s="56" t="s">
        <v>884</v>
      </c>
      <c r="C11" s="196">
        <v>100000</v>
      </c>
      <c r="D11" s="188"/>
      <c r="E11" s="188">
        <f t="shared" si="0"/>
        <v>100000</v>
      </c>
      <c r="F11" s="196">
        <f>SUM(H11:AH11)</f>
        <v>0</v>
      </c>
      <c r="G11" s="196">
        <f>C11-F11</f>
        <v>100000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197"/>
      <c r="Z11" s="197"/>
      <c r="AA11" s="197"/>
      <c r="AB11" s="197"/>
      <c r="AC11" s="111"/>
      <c r="AD11" s="111"/>
      <c r="AE11" s="111"/>
      <c r="AF11" s="111"/>
      <c r="AG11" s="111"/>
      <c r="AH11" s="111"/>
      <c r="AI11"/>
      <c r="AJ11"/>
    </row>
    <row r="12" spans="1:36" s="99" customFormat="1" ht="19.5" thickBot="1" x14ac:dyDescent="0.35">
      <c r="A12" s="368" t="s">
        <v>803</v>
      </c>
      <c r="B12" s="56" t="s">
        <v>885</v>
      </c>
      <c r="C12" s="196">
        <v>100000</v>
      </c>
      <c r="D12" s="188"/>
      <c r="E12" s="188">
        <f t="shared" si="0"/>
        <v>100000</v>
      </c>
      <c r="F12" s="196">
        <f>SUM(H12:AH12)</f>
        <v>0</v>
      </c>
      <c r="G12" s="196">
        <f>C12-F12</f>
        <v>100000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197"/>
      <c r="Z12" s="197"/>
      <c r="AA12" s="197"/>
      <c r="AB12" s="197"/>
      <c r="AC12" s="111"/>
      <c r="AD12" s="111"/>
      <c r="AE12" s="111"/>
      <c r="AF12" s="111"/>
      <c r="AG12" s="111"/>
      <c r="AH12" s="111"/>
      <c r="AI12"/>
      <c r="AJ12"/>
    </row>
    <row r="13" spans="1:36" s="99" customFormat="1" ht="19.5" thickBot="1" x14ac:dyDescent="0.35">
      <c r="A13" s="368" t="s">
        <v>5</v>
      </c>
      <c r="B13" s="56" t="s">
        <v>886</v>
      </c>
      <c r="C13" s="196">
        <v>105830</v>
      </c>
      <c r="D13" s="188"/>
      <c r="E13" s="188">
        <f t="shared" si="0"/>
        <v>105830</v>
      </c>
      <c r="F13" s="196">
        <f>SUM(H13:AH13)</f>
        <v>0</v>
      </c>
      <c r="G13" s="196">
        <f>C13-F13</f>
        <v>105830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197"/>
      <c r="Z13" s="197"/>
      <c r="AA13" s="197"/>
      <c r="AB13" s="197"/>
      <c r="AC13" s="111"/>
      <c r="AD13" s="111"/>
      <c r="AE13" s="111"/>
      <c r="AF13" s="111"/>
      <c r="AG13" s="111"/>
      <c r="AH13" s="111"/>
      <c r="AI13"/>
      <c r="AJ13"/>
    </row>
    <row r="14" spans="1:36" s="99" customFormat="1" ht="19.5" thickBot="1" x14ac:dyDescent="0.35">
      <c r="A14" s="368" t="s">
        <v>887</v>
      </c>
      <c r="B14" s="56" t="s">
        <v>888</v>
      </c>
      <c r="C14" s="196">
        <v>7200</v>
      </c>
      <c r="D14" s="188"/>
      <c r="E14" s="188">
        <f t="shared" si="0"/>
        <v>7200</v>
      </c>
      <c r="F14" s="196">
        <f t="shared" ref="F14:F22" si="1">SUM(H14:AH14)</f>
        <v>0</v>
      </c>
      <c r="G14" s="196">
        <f t="shared" ref="G14:G22" si="2">C14-F14</f>
        <v>7200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197"/>
      <c r="Z14" s="197"/>
      <c r="AA14" s="197"/>
      <c r="AB14" s="197"/>
      <c r="AC14" s="111"/>
      <c r="AD14" s="111"/>
      <c r="AE14" s="111"/>
      <c r="AF14" s="111"/>
      <c r="AG14" s="111"/>
      <c r="AH14" s="111"/>
      <c r="AI14"/>
      <c r="AJ14"/>
    </row>
    <row r="15" spans="1:36" s="99" customFormat="1" ht="19.5" thickBot="1" x14ac:dyDescent="0.35">
      <c r="A15" s="368" t="s">
        <v>889</v>
      </c>
      <c r="B15" s="56" t="s">
        <v>890</v>
      </c>
      <c r="C15" s="196">
        <v>78159</v>
      </c>
      <c r="D15" s="188"/>
      <c r="E15" s="188">
        <f t="shared" si="0"/>
        <v>78159</v>
      </c>
      <c r="F15" s="196">
        <f t="shared" si="1"/>
        <v>78159</v>
      </c>
      <c r="G15" s="196">
        <f t="shared" si="2"/>
        <v>0</v>
      </c>
      <c r="H15" s="205"/>
      <c r="I15" s="205"/>
      <c r="J15" s="205"/>
      <c r="K15" s="205"/>
      <c r="L15" s="205"/>
      <c r="M15" s="205">
        <v>78159</v>
      </c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197"/>
      <c r="Z15" s="197"/>
      <c r="AA15" s="197"/>
      <c r="AB15" s="197"/>
      <c r="AC15" s="111"/>
      <c r="AD15" s="111"/>
      <c r="AE15" s="111"/>
      <c r="AF15" s="111"/>
      <c r="AG15" s="111"/>
      <c r="AH15" s="111"/>
      <c r="AI15"/>
      <c r="AJ15"/>
    </row>
    <row r="16" spans="1:36" s="99" customFormat="1" ht="19.5" thickBot="1" x14ac:dyDescent="0.35">
      <c r="A16" s="368" t="s">
        <v>51</v>
      </c>
      <c r="B16" s="56" t="s">
        <v>891</v>
      </c>
      <c r="C16" s="196">
        <v>43262</v>
      </c>
      <c r="D16" s="188"/>
      <c r="E16" s="188">
        <f t="shared" si="0"/>
        <v>43262</v>
      </c>
      <c r="F16" s="196">
        <f t="shared" si="1"/>
        <v>0</v>
      </c>
      <c r="G16" s="196">
        <f t="shared" si="2"/>
        <v>43262</v>
      </c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197"/>
      <c r="Z16" s="197"/>
      <c r="AA16" s="197"/>
      <c r="AB16" s="197"/>
      <c r="AC16" s="111"/>
      <c r="AD16" s="111"/>
      <c r="AE16" s="111"/>
      <c r="AF16" s="111"/>
      <c r="AG16" s="111"/>
      <c r="AH16" s="111"/>
      <c r="AI16"/>
      <c r="AJ16"/>
    </row>
    <row r="17" spans="1:36" s="99" customFormat="1" ht="19.5" thickBot="1" x14ac:dyDescent="0.35">
      <c r="A17" s="368" t="s">
        <v>893</v>
      </c>
      <c r="B17" s="56" t="s">
        <v>894</v>
      </c>
      <c r="C17" s="196">
        <v>30500</v>
      </c>
      <c r="D17" s="188"/>
      <c r="E17" s="188">
        <f t="shared" si="0"/>
        <v>30500</v>
      </c>
      <c r="F17" s="196">
        <f t="shared" si="1"/>
        <v>0</v>
      </c>
      <c r="G17" s="196">
        <f t="shared" si="2"/>
        <v>30500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197"/>
      <c r="Z17" s="197"/>
      <c r="AA17" s="197"/>
      <c r="AB17" s="197"/>
      <c r="AC17" s="111"/>
      <c r="AD17" s="111"/>
      <c r="AE17" s="111"/>
      <c r="AF17" s="111"/>
      <c r="AG17" s="111"/>
      <c r="AH17" s="111"/>
      <c r="AI17"/>
      <c r="AJ17"/>
    </row>
    <row r="18" spans="1:36" s="99" customFormat="1" ht="19.5" thickBot="1" x14ac:dyDescent="0.35">
      <c r="A18" s="368" t="s">
        <v>103</v>
      </c>
      <c r="B18" s="56" t="s">
        <v>895</v>
      </c>
      <c r="C18" s="196">
        <v>84884</v>
      </c>
      <c r="D18" s="188"/>
      <c r="E18" s="188">
        <f t="shared" ref="E18:E19" si="3">C18</f>
        <v>84884</v>
      </c>
      <c r="F18" s="196">
        <f t="shared" si="1"/>
        <v>0</v>
      </c>
      <c r="G18" s="196">
        <f t="shared" si="2"/>
        <v>84884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197"/>
      <c r="Z18" s="197"/>
      <c r="AA18" s="197"/>
      <c r="AB18" s="197"/>
      <c r="AC18" s="111"/>
      <c r="AD18" s="111"/>
      <c r="AE18" s="111"/>
      <c r="AF18" s="111"/>
      <c r="AG18" s="111"/>
      <c r="AH18" s="111"/>
      <c r="AI18"/>
      <c r="AJ18"/>
    </row>
    <row r="19" spans="1:36" s="99" customFormat="1" ht="19.5" thickBot="1" x14ac:dyDescent="0.35">
      <c r="A19" s="368" t="s">
        <v>39</v>
      </c>
      <c r="B19" s="56" t="s">
        <v>892</v>
      </c>
      <c r="C19" s="196">
        <v>10558</v>
      </c>
      <c r="D19" s="188"/>
      <c r="E19" s="188">
        <f t="shared" si="3"/>
        <v>10558</v>
      </c>
      <c r="F19" s="196">
        <f t="shared" si="1"/>
        <v>0</v>
      </c>
      <c r="G19" s="196">
        <f t="shared" si="2"/>
        <v>10558</v>
      </c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197"/>
      <c r="Z19" s="197"/>
      <c r="AA19" s="197"/>
      <c r="AB19" s="197"/>
      <c r="AC19" s="111"/>
      <c r="AD19" s="111"/>
      <c r="AE19" s="111"/>
      <c r="AF19" s="111"/>
      <c r="AG19" s="111"/>
      <c r="AH19" s="111"/>
      <c r="AI19"/>
      <c r="AJ19"/>
    </row>
    <row r="20" spans="1:36" s="99" customFormat="1" ht="19.5" thickBot="1" x14ac:dyDescent="0.35">
      <c r="A20" s="368" t="s">
        <v>52</v>
      </c>
      <c r="B20" s="56" t="s">
        <v>156</v>
      </c>
      <c r="C20" s="196">
        <v>75417</v>
      </c>
      <c r="D20" s="188"/>
      <c r="E20" s="188">
        <f>C20</f>
        <v>75417</v>
      </c>
      <c r="F20" s="196">
        <f t="shared" si="1"/>
        <v>44806.63</v>
      </c>
      <c r="G20" s="196">
        <f t="shared" si="2"/>
        <v>30610.370000000003</v>
      </c>
      <c r="H20" s="205"/>
      <c r="I20" s="205"/>
      <c r="J20" s="205"/>
      <c r="K20" s="205"/>
      <c r="L20" s="205"/>
      <c r="M20" s="205">
        <v>44806.63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197"/>
      <c r="Z20" s="197"/>
      <c r="AA20" s="197"/>
      <c r="AB20" s="197"/>
      <c r="AC20" s="111"/>
      <c r="AD20" s="111"/>
      <c r="AE20" s="111"/>
      <c r="AF20" s="111"/>
      <c r="AG20" s="111"/>
      <c r="AH20" s="111"/>
      <c r="AI20"/>
      <c r="AJ20"/>
    </row>
    <row r="21" spans="1:36" s="99" customFormat="1" ht="19.5" thickBot="1" x14ac:dyDescent="0.35">
      <c r="A21" s="114" t="s">
        <v>129</v>
      </c>
      <c r="B21" s="56" t="s">
        <v>209</v>
      </c>
      <c r="C21" s="196">
        <v>81748</v>
      </c>
      <c r="D21" s="188"/>
      <c r="E21" s="188">
        <f>C21</f>
        <v>81748</v>
      </c>
      <c r="F21" s="196">
        <f t="shared" si="1"/>
        <v>63166.319999999992</v>
      </c>
      <c r="G21" s="196">
        <f t="shared" si="2"/>
        <v>18581.680000000008</v>
      </c>
      <c r="H21" s="205"/>
      <c r="I21" s="205"/>
      <c r="J21" s="205"/>
      <c r="K21" s="205"/>
      <c r="L21" s="205">
        <v>6463.72</v>
      </c>
      <c r="M21" s="205">
        <v>4744.01</v>
      </c>
      <c r="N21" s="205">
        <f>50281.99+1676.6</f>
        <v>51958.59</v>
      </c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197"/>
      <c r="Z21" s="197"/>
      <c r="AA21" s="197"/>
      <c r="AB21" s="197"/>
      <c r="AC21" s="111"/>
      <c r="AD21" s="111"/>
      <c r="AE21" s="111"/>
      <c r="AF21" s="111"/>
      <c r="AG21" s="111"/>
      <c r="AH21" s="111"/>
      <c r="AI21"/>
      <c r="AJ21"/>
    </row>
    <row r="22" spans="1:36" s="99" customFormat="1" ht="19.5" thickBot="1" x14ac:dyDescent="0.35">
      <c r="A22" s="368" t="s">
        <v>935</v>
      </c>
      <c r="B22" s="56" t="s">
        <v>896</v>
      </c>
      <c r="C22" s="196">
        <v>86000</v>
      </c>
      <c r="D22" s="369"/>
      <c r="E22" s="369">
        <f>C22</f>
        <v>86000</v>
      </c>
      <c r="F22" s="196">
        <f t="shared" si="1"/>
        <v>47140.869999999995</v>
      </c>
      <c r="G22" s="196">
        <f t="shared" si="2"/>
        <v>38859.130000000005</v>
      </c>
      <c r="H22" s="205"/>
      <c r="I22" s="205"/>
      <c r="J22" s="205"/>
      <c r="K22" s="205"/>
      <c r="L22" s="205">
        <v>10750</v>
      </c>
      <c r="M22" s="205"/>
      <c r="N22" s="205">
        <f>18208.11+18182.76</f>
        <v>36390.869999999995</v>
      </c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197"/>
      <c r="Z22" s="197"/>
      <c r="AA22" s="197"/>
      <c r="AB22" s="197"/>
      <c r="AC22" s="111"/>
      <c r="AD22" s="111"/>
      <c r="AE22" s="111"/>
      <c r="AF22" s="111"/>
      <c r="AG22" s="111"/>
      <c r="AH22" s="111"/>
      <c r="AI22"/>
      <c r="AJ22"/>
    </row>
    <row r="23" spans="1:36" ht="15.75" thickBot="1" x14ac:dyDescent="0.3">
      <c r="A23" s="56"/>
      <c r="B23" s="56"/>
      <c r="C23" s="198"/>
      <c r="D23" s="198"/>
      <c r="E23" s="198"/>
      <c r="F23" s="198"/>
      <c r="G23" s="198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11"/>
      <c r="AD23" s="111"/>
      <c r="AE23" s="111"/>
      <c r="AF23" s="111"/>
      <c r="AG23" s="111"/>
      <c r="AH23" s="111"/>
      <c r="AI23" s="62"/>
      <c r="AJ23" s="62"/>
    </row>
    <row r="24" spans="1:36" s="98" customFormat="1" ht="15.75" thickBot="1" x14ac:dyDescent="0.3">
      <c r="A24" s="58" t="s">
        <v>44</v>
      </c>
      <c r="B24" s="58"/>
      <c r="C24" s="199">
        <f>SUM(C10:C22)</f>
        <v>900351</v>
      </c>
      <c r="D24" s="199">
        <v>0</v>
      </c>
      <c r="E24" s="199">
        <f>C24+D24</f>
        <v>900351</v>
      </c>
      <c r="F24" s="199">
        <f>SUM(F10:F22)</f>
        <v>325149.57</v>
      </c>
      <c r="G24" s="199">
        <f>SUM(G10:G22)</f>
        <v>575201.43000000005</v>
      </c>
      <c r="H24" s="199">
        <f t="shared" ref="H24:AJ24" si="4">SUM(H10:H21)</f>
        <v>0</v>
      </c>
      <c r="I24" s="199">
        <f t="shared" si="4"/>
        <v>0</v>
      </c>
      <c r="J24" s="199">
        <f t="shared" si="4"/>
        <v>0</v>
      </c>
      <c r="K24" s="199">
        <f t="shared" si="4"/>
        <v>0</v>
      </c>
      <c r="L24" s="199">
        <f>SUM(L10:L22)</f>
        <v>89979.56</v>
      </c>
      <c r="M24" s="199">
        <f t="shared" ref="M24:AB24" si="5">SUM(M10:M22)</f>
        <v>144644.20000000001</v>
      </c>
      <c r="N24" s="199">
        <f t="shared" si="5"/>
        <v>90525.81</v>
      </c>
      <c r="O24" s="199">
        <f t="shared" si="5"/>
        <v>0</v>
      </c>
      <c r="P24" s="199">
        <f t="shared" si="5"/>
        <v>0</v>
      </c>
      <c r="Q24" s="199">
        <f t="shared" si="5"/>
        <v>0</v>
      </c>
      <c r="R24" s="199">
        <f t="shared" si="5"/>
        <v>0</v>
      </c>
      <c r="S24" s="199">
        <f t="shared" si="5"/>
        <v>0</v>
      </c>
      <c r="T24" s="199">
        <f t="shared" si="5"/>
        <v>0</v>
      </c>
      <c r="U24" s="199">
        <f t="shared" si="5"/>
        <v>0</v>
      </c>
      <c r="V24" s="199">
        <f t="shared" si="5"/>
        <v>0</v>
      </c>
      <c r="W24" s="199">
        <f t="shared" si="5"/>
        <v>0</v>
      </c>
      <c r="X24" s="199">
        <f t="shared" si="5"/>
        <v>0</v>
      </c>
      <c r="Y24" s="199">
        <f t="shared" si="5"/>
        <v>0</v>
      </c>
      <c r="Z24" s="199">
        <f t="shared" si="5"/>
        <v>0</v>
      </c>
      <c r="AA24" s="199">
        <f t="shared" si="5"/>
        <v>0</v>
      </c>
      <c r="AB24" s="199">
        <f t="shared" si="5"/>
        <v>0</v>
      </c>
      <c r="AC24" s="58">
        <f t="shared" si="4"/>
        <v>0</v>
      </c>
      <c r="AD24" s="58">
        <f t="shared" si="4"/>
        <v>0</v>
      </c>
      <c r="AE24" s="58">
        <f t="shared" si="4"/>
        <v>0</v>
      </c>
      <c r="AF24" s="58">
        <f t="shared" si="4"/>
        <v>0</v>
      </c>
      <c r="AG24" s="58">
        <f t="shared" si="4"/>
        <v>0</v>
      </c>
      <c r="AH24" s="58">
        <f t="shared" si="4"/>
        <v>0</v>
      </c>
      <c r="AI24" s="58">
        <f t="shared" si="4"/>
        <v>0</v>
      </c>
      <c r="AJ24" s="58">
        <f t="shared" si="4"/>
        <v>0</v>
      </c>
    </row>
    <row r="25" spans="1:36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I25" s="62"/>
      <c r="AJ25" s="62"/>
    </row>
    <row r="26" spans="1:36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36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36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36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I29" s="62"/>
      <c r="AJ29" s="62"/>
    </row>
    <row r="31" spans="1:36" x14ac:dyDescent="0.25">
      <c r="AI31" s="62"/>
      <c r="AJ31" s="62"/>
    </row>
    <row r="35" spans="35:36" x14ac:dyDescent="0.25">
      <c r="AI35" s="62"/>
      <c r="AJ35" s="62"/>
    </row>
    <row r="36" spans="35:36" x14ac:dyDescent="0.25">
      <c r="AI36" s="62"/>
      <c r="AJ36" s="62"/>
    </row>
    <row r="41" spans="35:36" x14ac:dyDescent="0.25">
      <c r="AI41" s="62"/>
      <c r="AJ41" s="62"/>
    </row>
    <row r="42" spans="35:36" x14ac:dyDescent="0.25">
      <c r="AI42" s="62"/>
      <c r="AJ42" s="62"/>
    </row>
    <row r="44" spans="35:36" x14ac:dyDescent="0.25">
      <c r="AI44" s="62"/>
      <c r="AJ44" s="62"/>
    </row>
    <row r="47" spans="35:36" x14ac:dyDescent="0.25">
      <c r="AI47" s="16"/>
      <c r="AJ47" s="16"/>
    </row>
    <row r="48" spans="35:36" x14ac:dyDescent="0.25">
      <c r="AI48" s="16"/>
      <c r="AJ48" s="16"/>
    </row>
    <row r="49" spans="35:36" x14ac:dyDescent="0.25">
      <c r="AI49" s="16"/>
      <c r="AJ49" s="16"/>
    </row>
    <row r="50" spans="35:36" x14ac:dyDescent="0.25">
      <c r="AI50" s="16"/>
      <c r="AJ50" s="16"/>
    </row>
    <row r="51" spans="35:36" x14ac:dyDescent="0.25">
      <c r="AI51" s="16"/>
      <c r="AJ51" s="16"/>
    </row>
    <row r="52" spans="35:36" x14ac:dyDescent="0.25">
      <c r="AI52" s="16"/>
      <c r="AJ52" s="16"/>
    </row>
    <row r="53" spans="35:36" x14ac:dyDescent="0.25">
      <c r="AI53" s="16"/>
      <c r="AJ53" s="16"/>
    </row>
    <row r="54" spans="35:36" x14ac:dyDescent="0.25">
      <c r="AI54" s="16"/>
      <c r="AJ54" s="16"/>
    </row>
    <row r="55" spans="35:36" x14ac:dyDescent="0.25">
      <c r="AI55" s="16"/>
      <c r="AJ55" s="16"/>
    </row>
    <row r="56" spans="35:36" x14ac:dyDescent="0.25">
      <c r="AI56" s="16"/>
      <c r="AJ56" s="16"/>
    </row>
    <row r="57" spans="35:36" x14ac:dyDescent="0.25">
      <c r="AI57" s="16"/>
      <c r="AJ57" s="16"/>
    </row>
    <row r="58" spans="35:36" x14ac:dyDescent="0.25">
      <c r="AI58" s="16"/>
      <c r="AJ58" s="16"/>
    </row>
    <row r="59" spans="35:36" x14ac:dyDescent="0.25">
      <c r="AI59" s="16"/>
      <c r="AJ59" s="16"/>
    </row>
    <row r="60" spans="35:36" x14ac:dyDescent="0.25">
      <c r="AI60" s="16"/>
      <c r="AJ60" s="16"/>
    </row>
  </sheetData>
  <sheetProtection algorithmName="SHA-512" hashValue="nOD9JWAU9NEPMqliHZEjfHe/HgMsmzgUEcffjV3RJ0OsO696dxPCFAkK83aOgPMZT2POX4GYvoRK/EGGZfsvbQ==" saltValue="NfrDF9EYauQC2PuFp1iwnw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E7ED-28A9-4393-A2F7-0CA20441D383}">
  <sheetPr codeName="Sheet2">
    <tabColor theme="2"/>
  </sheetPr>
  <dimension ref="A1:Z53"/>
  <sheetViews>
    <sheetView zoomScale="70" zoomScaleNormal="70" workbookViewId="0">
      <selection activeCell="A6" sqref="A6"/>
    </sheetView>
  </sheetViews>
  <sheetFormatPr defaultColWidth="8.5703125" defaultRowHeight="15" x14ac:dyDescent="0.25"/>
  <cols>
    <col min="1" max="1" width="12.5703125" customWidth="1"/>
    <col min="2" max="2" width="54" bestFit="1" customWidth="1"/>
    <col min="3" max="3" width="20.42578125" customWidth="1"/>
    <col min="4" max="4" width="14.5703125" customWidth="1"/>
    <col min="5" max="22" width="16.5703125" customWidth="1"/>
    <col min="23" max="23" width="14.5703125" customWidth="1"/>
    <col min="24" max="24" width="12.5703125" customWidth="1"/>
    <col min="25" max="26" width="21.42578125" customWidth="1"/>
  </cols>
  <sheetData>
    <row r="1" spans="1:26" ht="21" x14ac:dyDescent="0.35">
      <c r="A1" s="28" t="s">
        <v>0</v>
      </c>
      <c r="B1" s="41"/>
      <c r="C1" s="37" t="s">
        <v>400</v>
      </c>
      <c r="D1" s="28"/>
      <c r="E1" s="38"/>
      <c r="F1" s="37"/>
      <c r="G1" s="37"/>
      <c r="H1" s="37"/>
      <c r="I1" s="28"/>
      <c r="J1" s="28"/>
      <c r="K1" s="38"/>
      <c r="L1" s="28" t="str">
        <f>$C$1</f>
        <v>Colorado Multi-Tiered Behavioral Framework: Mini-Grant</v>
      </c>
      <c r="M1" s="42"/>
      <c r="N1" s="42"/>
      <c r="O1" s="37"/>
      <c r="P1" s="37"/>
      <c r="Q1" s="28"/>
      <c r="R1" s="28" t="str">
        <f>$C$1</f>
        <v>Colorado Multi-Tiered Behavioral Framework: Mini-Grant</v>
      </c>
      <c r="S1" s="28"/>
      <c r="T1" s="28"/>
      <c r="U1" s="28"/>
      <c r="V1" s="28"/>
      <c r="W1" s="28"/>
      <c r="X1" s="28"/>
      <c r="Y1" s="28"/>
      <c r="Z1" s="28"/>
    </row>
    <row r="2" spans="1:26" ht="21" x14ac:dyDescent="0.35">
      <c r="A2" s="28" t="s">
        <v>137</v>
      </c>
      <c r="B2" s="38"/>
      <c r="C2" s="28" t="s">
        <v>334</v>
      </c>
      <c r="D2" s="29"/>
      <c r="E2" s="9"/>
      <c r="F2" s="9"/>
      <c r="G2" s="9"/>
      <c r="H2" s="9"/>
      <c r="I2" s="40"/>
      <c r="J2" s="40"/>
      <c r="K2" s="40"/>
      <c r="L2" s="109"/>
      <c r="M2" s="40"/>
      <c r="N2" s="9" t="str">
        <f>$C$4</f>
        <v>2020-21</v>
      </c>
      <c r="O2" s="9"/>
      <c r="P2" s="9"/>
      <c r="Q2" s="9"/>
      <c r="R2" s="109"/>
      <c r="S2" s="9"/>
      <c r="T2" s="9" t="str">
        <f>$C$4</f>
        <v>2020-21</v>
      </c>
      <c r="U2" s="40"/>
      <c r="V2" s="40"/>
      <c r="W2" s="40"/>
      <c r="X2" s="40"/>
      <c r="Y2" s="28"/>
      <c r="Z2" s="28"/>
    </row>
    <row r="3" spans="1:26" ht="15.75" x14ac:dyDescent="0.25">
      <c r="A3" s="29" t="s">
        <v>1</v>
      </c>
      <c r="B3" s="41"/>
      <c r="C3" s="39">
        <v>8174</v>
      </c>
      <c r="D3" s="29"/>
      <c r="E3" s="18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.75" x14ac:dyDescent="0.25">
      <c r="A4" s="29" t="s">
        <v>2</v>
      </c>
      <c r="B4" s="41"/>
      <c r="C4" s="39" t="s">
        <v>401</v>
      </c>
      <c r="D4" s="29"/>
      <c r="E4" s="1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.75" x14ac:dyDescent="0.25">
      <c r="A5" s="29" t="s">
        <v>18</v>
      </c>
      <c r="B5" s="41"/>
      <c r="C5" s="292" t="s">
        <v>572</v>
      </c>
      <c r="D5" s="29"/>
      <c r="E5" s="9"/>
      <c r="F5" s="9"/>
      <c r="G5" s="9"/>
      <c r="H5" s="9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6.5" thickBot="1" x14ac:dyDescent="0.3">
      <c r="A6" s="29" t="s">
        <v>930</v>
      </c>
      <c r="B6" s="41"/>
      <c r="C6" s="29"/>
      <c r="D6" s="29"/>
      <c r="E6" s="9"/>
      <c r="F6" s="9"/>
      <c r="G6" s="9"/>
      <c r="H6" s="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45.6" customHeight="1" thickBot="1" x14ac:dyDescent="0.3">
      <c r="A7" s="105" t="s">
        <v>130</v>
      </c>
      <c r="B7" s="12" t="s">
        <v>124</v>
      </c>
      <c r="C7" s="12" t="s">
        <v>14</v>
      </c>
      <c r="D7" s="13" t="s">
        <v>15</v>
      </c>
      <c r="E7" s="26" t="s">
        <v>16</v>
      </c>
      <c r="F7" s="23" t="s">
        <v>202</v>
      </c>
      <c r="G7" s="24" t="s">
        <v>203</v>
      </c>
      <c r="H7" s="23" t="s">
        <v>204</v>
      </c>
      <c r="I7" s="24" t="s">
        <v>313</v>
      </c>
      <c r="J7" s="23" t="s">
        <v>314</v>
      </c>
      <c r="K7" s="24" t="s">
        <v>373</v>
      </c>
      <c r="L7" s="24" t="s">
        <v>402</v>
      </c>
      <c r="M7" s="24" t="s">
        <v>403</v>
      </c>
      <c r="N7" s="24" t="s">
        <v>404</v>
      </c>
      <c r="O7" s="24" t="s">
        <v>405</v>
      </c>
      <c r="P7" s="24" t="s">
        <v>406</v>
      </c>
      <c r="Q7" s="24" t="s">
        <v>407</v>
      </c>
      <c r="R7" s="23" t="s">
        <v>408</v>
      </c>
      <c r="S7" s="24" t="s">
        <v>409</v>
      </c>
      <c r="T7" s="24" t="s">
        <v>410</v>
      </c>
      <c r="U7" s="24" t="s">
        <v>411</v>
      </c>
      <c r="V7" s="23" t="s">
        <v>412</v>
      </c>
      <c r="W7" s="24" t="s">
        <v>416</v>
      </c>
      <c r="X7" s="12" t="s">
        <v>144</v>
      </c>
      <c r="Y7" s="12" t="s">
        <v>144</v>
      </c>
      <c r="Z7" s="12" t="s">
        <v>145</v>
      </c>
    </row>
    <row r="8" spans="1:26" ht="19.5" customHeight="1" thickBot="1" x14ac:dyDescent="0.3">
      <c r="A8" s="275">
        <v>180</v>
      </c>
      <c r="B8" s="86" t="s">
        <v>88</v>
      </c>
      <c r="C8" s="273">
        <v>29500</v>
      </c>
      <c r="D8" s="87">
        <f>SUM(F8:W8)</f>
        <v>0</v>
      </c>
      <c r="E8" s="273">
        <f>SUM(C8-D8)</f>
        <v>29500</v>
      </c>
      <c r="F8" s="88"/>
      <c r="G8" s="88"/>
      <c r="H8" s="88"/>
      <c r="I8" s="88"/>
      <c r="J8" s="88"/>
      <c r="K8" s="88"/>
      <c r="L8" s="88"/>
      <c r="M8" s="88"/>
      <c r="N8" s="277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6" ht="22.5" customHeight="1" thickBot="1" x14ac:dyDescent="0.3">
      <c r="A9" s="57" t="s">
        <v>49</v>
      </c>
      <c r="B9" s="102" t="s">
        <v>26</v>
      </c>
      <c r="C9" s="273">
        <v>20000</v>
      </c>
      <c r="D9" s="87">
        <f t="shared" ref="D9:D19" si="0">SUM(F9:W9)</f>
        <v>0</v>
      </c>
      <c r="E9" s="273">
        <f t="shared" ref="E9:E19" si="1">SUM(C9-D9)</f>
        <v>20000</v>
      </c>
      <c r="F9" s="88"/>
      <c r="G9" s="88"/>
      <c r="H9" s="88"/>
      <c r="I9" s="88"/>
      <c r="J9" s="265"/>
      <c r="K9" s="265"/>
      <c r="L9" s="265"/>
      <c r="M9" s="265"/>
      <c r="N9" s="265"/>
      <c r="O9" s="265"/>
      <c r="P9" s="265"/>
      <c r="Q9" s="265"/>
      <c r="R9" s="88"/>
      <c r="S9" s="88"/>
      <c r="T9" s="88"/>
      <c r="U9" s="88"/>
      <c r="V9" s="88"/>
      <c r="W9" s="88"/>
      <c r="X9" s="88"/>
    </row>
    <row r="10" spans="1:26" ht="15.75" thickBot="1" x14ac:dyDescent="0.3">
      <c r="A10" s="103" t="s">
        <v>422</v>
      </c>
      <c r="B10" s="102" t="s">
        <v>423</v>
      </c>
      <c r="C10" s="273">
        <v>20000</v>
      </c>
      <c r="D10" s="87">
        <f t="shared" si="0"/>
        <v>0</v>
      </c>
      <c r="E10" s="273">
        <f t="shared" si="1"/>
        <v>20000</v>
      </c>
      <c r="F10" s="88"/>
      <c r="G10" s="88"/>
      <c r="H10" s="88"/>
      <c r="I10" s="88"/>
      <c r="J10" s="88"/>
      <c r="K10" s="88"/>
      <c r="L10" s="88"/>
      <c r="M10" s="88"/>
      <c r="N10" s="88"/>
      <c r="O10" s="265"/>
      <c r="P10" s="265"/>
      <c r="Q10" s="265"/>
      <c r="R10" s="278"/>
      <c r="S10" s="88"/>
      <c r="T10" s="88"/>
      <c r="U10" s="88"/>
      <c r="V10" s="88"/>
      <c r="W10" s="88"/>
      <c r="X10" s="88"/>
    </row>
    <row r="11" spans="1:26" ht="15.75" thickBot="1" x14ac:dyDescent="0.3">
      <c r="A11" s="57" t="s">
        <v>424</v>
      </c>
      <c r="B11" s="102" t="s">
        <v>425</v>
      </c>
      <c r="C11" s="274">
        <v>20000</v>
      </c>
      <c r="D11" s="87">
        <f t="shared" si="0"/>
        <v>0</v>
      </c>
      <c r="E11" s="273">
        <f t="shared" si="1"/>
        <v>20000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62"/>
      <c r="Z11" s="62"/>
    </row>
    <row r="12" spans="1:26" ht="15.75" thickBot="1" x14ac:dyDescent="0.3">
      <c r="A12" s="57" t="s">
        <v>38</v>
      </c>
      <c r="B12" s="102" t="s">
        <v>79</v>
      </c>
      <c r="C12" s="274">
        <v>20000</v>
      </c>
      <c r="D12" s="87">
        <f t="shared" si="0"/>
        <v>0</v>
      </c>
      <c r="E12" s="273">
        <f t="shared" si="1"/>
        <v>20000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62"/>
      <c r="Z12" s="62"/>
    </row>
    <row r="13" spans="1:26" ht="15.75" thickBot="1" x14ac:dyDescent="0.3">
      <c r="A13" s="57" t="s">
        <v>80</v>
      </c>
      <c r="B13" s="102" t="s">
        <v>81</v>
      </c>
      <c r="C13" s="274">
        <v>20000</v>
      </c>
      <c r="D13" s="87">
        <f t="shared" si="0"/>
        <v>0</v>
      </c>
      <c r="E13" s="273">
        <f t="shared" si="1"/>
        <v>20000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62"/>
      <c r="Z13" s="62"/>
    </row>
    <row r="14" spans="1:26" ht="20.85" customHeight="1" thickBot="1" x14ac:dyDescent="0.3">
      <c r="A14" s="57" t="s">
        <v>426</v>
      </c>
      <c r="B14" s="102" t="s">
        <v>427</v>
      </c>
      <c r="C14" s="274">
        <v>20000</v>
      </c>
      <c r="D14" s="87">
        <f t="shared" si="0"/>
        <v>0</v>
      </c>
      <c r="E14" s="273">
        <f t="shared" si="1"/>
        <v>20000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62"/>
      <c r="Z14" s="62"/>
    </row>
    <row r="15" spans="1:26" ht="15.75" thickBot="1" x14ac:dyDescent="0.3">
      <c r="A15" s="57" t="s">
        <v>428</v>
      </c>
      <c r="B15" s="102" t="s">
        <v>429</v>
      </c>
      <c r="C15" s="274">
        <v>29500</v>
      </c>
      <c r="D15" s="87">
        <f t="shared" si="0"/>
        <v>0</v>
      </c>
      <c r="E15" s="273">
        <f t="shared" si="1"/>
        <v>29500</v>
      </c>
      <c r="F15" s="88"/>
      <c r="G15" s="88"/>
      <c r="H15" s="88"/>
      <c r="I15" s="88"/>
      <c r="J15" s="88"/>
      <c r="K15" s="88"/>
      <c r="L15" s="88"/>
      <c r="M15" s="277"/>
      <c r="N15" s="88"/>
      <c r="O15" s="277"/>
      <c r="P15" s="277"/>
      <c r="Q15" s="277"/>
      <c r="R15" s="88"/>
      <c r="S15" s="88"/>
      <c r="T15" s="88"/>
      <c r="U15" s="88"/>
      <c r="V15" s="88"/>
      <c r="W15" s="88"/>
      <c r="X15" s="88"/>
      <c r="Y15" s="62"/>
      <c r="Z15" s="62"/>
    </row>
    <row r="16" spans="1:26" ht="15.75" thickBot="1" x14ac:dyDescent="0.3">
      <c r="A16" s="57" t="s">
        <v>251</v>
      </c>
      <c r="B16" s="102" t="s">
        <v>264</v>
      </c>
      <c r="C16" s="274">
        <v>29500</v>
      </c>
      <c r="D16" s="87">
        <f t="shared" si="0"/>
        <v>0</v>
      </c>
      <c r="E16" s="273">
        <f t="shared" si="1"/>
        <v>29500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62"/>
      <c r="Z16" s="62"/>
    </row>
    <row r="17" spans="1:26" ht="15.75" thickBot="1" x14ac:dyDescent="0.3">
      <c r="A17" s="57" t="s">
        <v>104</v>
      </c>
      <c r="B17" s="102" t="s">
        <v>265</v>
      </c>
      <c r="C17" s="274">
        <v>29500</v>
      </c>
      <c r="D17" s="87">
        <f t="shared" si="0"/>
        <v>0</v>
      </c>
      <c r="E17" s="273">
        <f t="shared" si="1"/>
        <v>29500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62"/>
      <c r="Z17" s="62"/>
    </row>
    <row r="18" spans="1:26" ht="15.75" thickBot="1" x14ac:dyDescent="0.3">
      <c r="A18" s="57" t="s">
        <v>105</v>
      </c>
      <c r="B18" s="102" t="s">
        <v>267</v>
      </c>
      <c r="C18" s="274">
        <v>29500</v>
      </c>
      <c r="D18" s="87">
        <f t="shared" si="0"/>
        <v>0</v>
      </c>
      <c r="E18" s="273">
        <f t="shared" si="1"/>
        <v>29500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62"/>
      <c r="Z18" s="62"/>
    </row>
    <row r="19" spans="1:26" ht="15.75" thickBot="1" x14ac:dyDescent="0.3">
      <c r="A19" s="57" t="s">
        <v>420</v>
      </c>
      <c r="B19" s="102" t="s">
        <v>421</v>
      </c>
      <c r="C19" s="274">
        <v>20000</v>
      </c>
      <c r="D19" s="87">
        <f t="shared" si="0"/>
        <v>0</v>
      </c>
      <c r="E19" s="273">
        <f t="shared" si="1"/>
        <v>20000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62"/>
      <c r="Z19" s="62"/>
    </row>
    <row r="20" spans="1:26" s="14" customFormat="1" ht="15.75" thickBot="1" x14ac:dyDescent="0.3">
      <c r="A20" s="59" t="s">
        <v>52</v>
      </c>
      <c r="B20" s="35" t="s">
        <v>156</v>
      </c>
      <c r="C20" s="276">
        <v>29500</v>
      </c>
      <c r="D20" s="207">
        <f>SUM(D8:D19)</f>
        <v>0</v>
      </c>
      <c r="E20" s="207">
        <f>SUM(E8:E19)</f>
        <v>287500</v>
      </c>
      <c r="F20" s="60">
        <f t="shared" ref="F20:L20" si="2">SUM(F8:F10)</f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207">
        <f t="shared" si="2"/>
        <v>0</v>
      </c>
      <c r="K20" s="207">
        <f t="shared" si="2"/>
        <v>0</v>
      </c>
      <c r="L20" s="207">
        <f t="shared" si="2"/>
        <v>0</v>
      </c>
      <c r="M20" s="207">
        <f>SUM(M8:M19)</f>
        <v>0</v>
      </c>
      <c r="N20" s="207">
        <f t="shared" ref="N20:W20" si="3">SUM(N8:N19)</f>
        <v>0</v>
      </c>
      <c r="O20" s="207">
        <f t="shared" si="3"/>
        <v>0</v>
      </c>
      <c r="P20" s="207">
        <f t="shared" si="3"/>
        <v>0</v>
      </c>
      <c r="Q20" s="207">
        <f t="shared" si="3"/>
        <v>0</v>
      </c>
      <c r="R20" s="207">
        <f t="shared" si="3"/>
        <v>0</v>
      </c>
      <c r="S20" s="207">
        <f t="shared" si="3"/>
        <v>0</v>
      </c>
      <c r="T20" s="207">
        <f t="shared" si="3"/>
        <v>0</v>
      </c>
      <c r="U20" s="207">
        <f t="shared" si="3"/>
        <v>0</v>
      </c>
      <c r="V20" s="207">
        <f t="shared" si="3"/>
        <v>0</v>
      </c>
      <c r="W20" s="207">
        <f t="shared" si="3"/>
        <v>0</v>
      </c>
      <c r="X20" s="60">
        <f>SUM(X8:X10)</f>
        <v>0</v>
      </c>
      <c r="Y20" s="60">
        <f>SUM(Y8:Y10)</f>
        <v>0</v>
      </c>
      <c r="Z20" s="60">
        <f>SUM(Z8:Z10)</f>
        <v>0</v>
      </c>
    </row>
    <row r="23" spans="1:26" x14ac:dyDescent="0.25">
      <c r="Y23" s="62"/>
      <c r="Z23" s="62"/>
    </row>
    <row r="25" spans="1:26" x14ac:dyDescent="0.25">
      <c r="Y25" s="62"/>
      <c r="Z25" s="62"/>
    </row>
    <row r="29" spans="1:26" x14ac:dyDescent="0.25">
      <c r="Y29" s="62"/>
      <c r="Z29" s="62"/>
    </row>
    <row r="30" spans="1:26" x14ac:dyDescent="0.25">
      <c r="Y30" s="62"/>
      <c r="Z30" s="62"/>
    </row>
    <row r="36" spans="25:26" x14ac:dyDescent="0.25">
      <c r="Y36" s="62"/>
      <c r="Z36" s="62"/>
    </row>
    <row r="40" spans="25:26" x14ac:dyDescent="0.25">
      <c r="Y40" s="16"/>
      <c r="Z40" s="16"/>
    </row>
    <row r="41" spans="25:26" x14ac:dyDescent="0.25">
      <c r="Y41" s="16"/>
      <c r="Z41" s="16"/>
    </row>
    <row r="42" spans="25:26" x14ac:dyDescent="0.25">
      <c r="Y42" s="16"/>
      <c r="Z42" s="16"/>
    </row>
    <row r="43" spans="25:26" x14ac:dyDescent="0.25">
      <c r="Y43" s="16"/>
      <c r="Z43" s="16"/>
    </row>
    <row r="44" spans="25:26" x14ac:dyDescent="0.25">
      <c r="Y44" s="16"/>
      <c r="Z44" s="16"/>
    </row>
    <row r="45" spans="25:26" x14ac:dyDescent="0.25">
      <c r="Y45" s="16"/>
      <c r="Z45" s="16"/>
    </row>
    <row r="46" spans="25:26" x14ac:dyDescent="0.25">
      <c r="Y46" s="16"/>
      <c r="Z46" s="16"/>
    </row>
    <row r="47" spans="25:26" x14ac:dyDescent="0.25">
      <c r="Y47" s="16"/>
      <c r="Z47" s="16"/>
    </row>
    <row r="48" spans="25:26" x14ac:dyDescent="0.25">
      <c r="Y48" s="16"/>
      <c r="Z48" s="16"/>
    </row>
    <row r="49" spans="25:26" x14ac:dyDescent="0.25">
      <c r="Y49" s="16"/>
      <c r="Z49" s="16"/>
    </row>
    <row r="50" spans="25:26" x14ac:dyDescent="0.25">
      <c r="Y50" s="16"/>
      <c r="Z50" s="16"/>
    </row>
    <row r="51" spans="25:26" x14ac:dyDescent="0.25">
      <c r="Y51" s="16"/>
      <c r="Z51" s="16"/>
    </row>
    <row r="52" spans="25:26" x14ac:dyDescent="0.25">
      <c r="Y52" s="16"/>
      <c r="Z52" s="16"/>
    </row>
    <row r="53" spans="25:26" x14ac:dyDescent="0.25">
      <c r="Y53" s="16"/>
      <c r="Z53" s="16"/>
    </row>
  </sheetData>
  <hyperlinks>
    <hyperlink ref="C5" r:id="rId1" xr:uid="{B7B49A65-D6BC-4A08-96F4-7C1E1286EE83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6">
    <tabColor theme="2"/>
  </sheetPr>
  <dimension ref="A1:AB43"/>
  <sheetViews>
    <sheetView zoomScale="115" zoomScaleNormal="115"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H9" sqref="H9:M15"/>
    </sheetView>
  </sheetViews>
  <sheetFormatPr defaultColWidth="8.5703125" defaultRowHeight="15" x14ac:dyDescent="0.25"/>
  <cols>
    <col min="1" max="1" width="8.5703125" style="2"/>
    <col min="2" max="2" width="31.5703125" customWidth="1"/>
    <col min="3" max="3" width="11.42578125" style="2" customWidth="1"/>
    <col min="4" max="4" width="30.5703125" customWidth="1"/>
    <col min="5" max="7" width="14.5703125" customWidth="1"/>
    <col min="8" max="26" width="15.5703125" customWidth="1"/>
    <col min="27" max="28" width="21.42578125" customWidth="1"/>
  </cols>
  <sheetData>
    <row r="1" spans="1:28" ht="21" x14ac:dyDescent="0.35">
      <c r="A1" s="50" t="s">
        <v>0</v>
      </c>
      <c r="B1" s="41"/>
      <c r="C1" s="53" t="s">
        <v>158</v>
      </c>
      <c r="D1" s="29"/>
      <c r="E1" s="29"/>
      <c r="F1" s="29"/>
      <c r="G1" s="42"/>
      <c r="H1" s="41"/>
      <c r="I1" s="37"/>
      <c r="J1" s="53" t="str">
        <f>$C$1</f>
        <v>BEST Instruction</v>
      </c>
      <c r="K1" s="41"/>
      <c r="L1" s="41"/>
      <c r="M1" s="37"/>
      <c r="N1" s="41"/>
      <c r="O1" s="41"/>
      <c r="P1" s="53" t="str">
        <f>$C$1</f>
        <v>BEST Instruction</v>
      </c>
      <c r="Q1" s="37"/>
      <c r="R1" s="37"/>
      <c r="S1" s="41"/>
      <c r="T1" s="37"/>
      <c r="U1" s="41"/>
      <c r="V1" s="41"/>
      <c r="W1" s="53" t="str">
        <f>$C$1</f>
        <v>BEST Instruction</v>
      </c>
      <c r="X1" s="41"/>
      <c r="Y1" s="37"/>
      <c r="Z1" s="41"/>
      <c r="AA1" s="28"/>
      <c r="AB1" s="28"/>
    </row>
    <row r="2" spans="1:28" s="3" customFormat="1" ht="21" x14ac:dyDescent="0.35">
      <c r="A2" s="28" t="s">
        <v>137</v>
      </c>
      <c r="B2" s="38"/>
      <c r="C2" s="50" t="s">
        <v>159</v>
      </c>
      <c r="D2" s="37"/>
      <c r="E2" s="37"/>
      <c r="F2" s="37"/>
      <c r="G2" s="15"/>
      <c r="H2" s="38"/>
      <c r="I2" s="38"/>
      <c r="J2" s="29" t="str">
        <f>"FY"&amp;$C$4</f>
        <v>FY2019-20</v>
      </c>
      <c r="K2" s="38"/>
      <c r="L2" s="38"/>
      <c r="M2" s="38"/>
      <c r="N2" s="38"/>
      <c r="O2" s="38"/>
      <c r="P2" s="29" t="str">
        <f>"FY"&amp;$C$4</f>
        <v>FY2019-20</v>
      </c>
      <c r="Q2" s="38"/>
      <c r="R2" s="38"/>
      <c r="S2" s="38"/>
      <c r="T2" s="38"/>
      <c r="U2" s="38"/>
      <c r="V2" s="38"/>
      <c r="W2" s="29" t="str">
        <f>"FY"&amp;$C$4</f>
        <v>FY2019-20</v>
      </c>
      <c r="X2" s="38"/>
      <c r="Y2" s="38"/>
      <c r="Z2" s="38"/>
      <c r="AA2" s="28"/>
      <c r="AB2" s="28"/>
    </row>
    <row r="3" spans="1:28" ht="15.75" x14ac:dyDescent="0.25">
      <c r="A3" s="51" t="s">
        <v>1</v>
      </c>
      <c r="B3" s="41"/>
      <c r="C3" s="54" t="s">
        <v>160</v>
      </c>
      <c r="D3" s="29"/>
      <c r="E3" s="29"/>
      <c r="F3" s="29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</row>
    <row r="4" spans="1:28" ht="15.75" x14ac:dyDescent="0.25">
      <c r="A4" s="51" t="s">
        <v>2</v>
      </c>
      <c r="B4" s="41"/>
      <c r="C4" s="54" t="s">
        <v>311</v>
      </c>
      <c r="D4" s="29"/>
      <c r="E4" s="29"/>
      <c r="F4" s="29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42"/>
    </row>
    <row r="5" spans="1:28" ht="15.75" x14ac:dyDescent="0.25">
      <c r="A5" s="51" t="s">
        <v>17</v>
      </c>
      <c r="B5" s="41"/>
      <c r="C5" s="51" t="s">
        <v>315</v>
      </c>
      <c r="D5" s="29"/>
      <c r="E5" s="29"/>
      <c r="F5" s="2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0"/>
      <c r="AB5" s="40"/>
    </row>
    <row r="6" spans="1:28" ht="15.75" x14ac:dyDescent="0.25">
      <c r="A6" s="51" t="s">
        <v>18</v>
      </c>
      <c r="B6" s="41"/>
      <c r="C6" s="54" t="s">
        <v>316</v>
      </c>
      <c r="D6" s="29"/>
      <c r="E6" s="29"/>
      <c r="F6" s="2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0"/>
      <c r="AB6" s="40"/>
    </row>
    <row r="7" spans="1:28" ht="24" thickBot="1" x14ac:dyDescent="0.4">
      <c r="A7" s="651"/>
      <c r="B7" s="652"/>
      <c r="C7" s="652"/>
      <c r="D7" s="652"/>
      <c r="E7" s="652"/>
      <c r="F7" s="653"/>
      <c r="G7" s="65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0"/>
      <c r="AB7" s="40"/>
    </row>
    <row r="8" spans="1:28" ht="30.75" thickBot="1" x14ac:dyDescent="0.3">
      <c r="A8" s="11" t="s">
        <v>130</v>
      </c>
      <c r="B8" s="12" t="s">
        <v>124</v>
      </c>
      <c r="C8" s="11" t="s">
        <v>135</v>
      </c>
      <c r="D8" s="12" t="s">
        <v>41</v>
      </c>
      <c r="E8" s="13" t="s">
        <v>14</v>
      </c>
      <c r="F8" s="12" t="s">
        <v>15</v>
      </c>
      <c r="G8" s="26" t="s">
        <v>16</v>
      </c>
      <c r="H8" s="23" t="s">
        <v>118</v>
      </c>
      <c r="I8" s="24" t="s">
        <v>119</v>
      </c>
      <c r="J8" s="23" t="s">
        <v>120</v>
      </c>
      <c r="K8" s="24" t="s">
        <v>150</v>
      </c>
      <c r="L8" s="23" t="s">
        <v>151</v>
      </c>
      <c r="M8" s="24" t="s">
        <v>122</v>
      </c>
      <c r="N8" s="24" t="s">
        <v>196</v>
      </c>
      <c r="O8" s="24" t="s">
        <v>197</v>
      </c>
      <c r="P8" s="24" t="s">
        <v>198</v>
      </c>
      <c r="Q8" s="24" t="s">
        <v>199</v>
      </c>
      <c r="R8" s="24" t="s">
        <v>200</v>
      </c>
      <c r="S8" s="24" t="s">
        <v>312</v>
      </c>
      <c r="T8" s="23" t="s">
        <v>202</v>
      </c>
      <c r="U8" s="24" t="s">
        <v>203</v>
      </c>
      <c r="V8" s="24" t="s">
        <v>204</v>
      </c>
      <c r="W8" s="24" t="s">
        <v>313</v>
      </c>
      <c r="X8" s="23" t="s">
        <v>314</v>
      </c>
      <c r="Y8" s="24" t="s">
        <v>122</v>
      </c>
      <c r="Z8" s="12" t="s">
        <v>144</v>
      </c>
      <c r="AA8" s="12" t="s">
        <v>144</v>
      </c>
      <c r="AB8" s="12" t="s">
        <v>145</v>
      </c>
    </row>
    <row r="9" spans="1:28" s="31" customFormat="1" ht="15.75" thickBot="1" x14ac:dyDescent="0.3">
      <c r="A9" s="76" t="s">
        <v>4</v>
      </c>
      <c r="B9" s="74" t="s">
        <v>88</v>
      </c>
      <c r="C9" s="73"/>
      <c r="D9" s="74" t="s">
        <v>170</v>
      </c>
      <c r="E9" s="68"/>
      <c r="F9" s="68">
        <f>SUM(H9:AB9)</f>
        <v>0</v>
      </c>
      <c r="G9" s="68">
        <f>E9-F9</f>
        <v>0</v>
      </c>
      <c r="H9" s="10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/>
      <c r="AB9"/>
    </row>
    <row r="10" spans="1:28" s="31" customFormat="1" ht="15.75" thickBot="1" x14ac:dyDescent="0.3">
      <c r="A10" s="76" t="s">
        <v>47</v>
      </c>
      <c r="B10" s="74" t="s">
        <v>164</v>
      </c>
      <c r="C10" s="77"/>
      <c r="D10" s="74" t="s">
        <v>171</v>
      </c>
      <c r="E10" s="68"/>
      <c r="F10" s="68">
        <f t="shared" ref="F10:F16" si="0">SUM(H10:AB10)</f>
        <v>0</v>
      </c>
      <c r="G10" s="68">
        <f t="shared" ref="G10:G16" si="1">E10-F10</f>
        <v>0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/>
      <c r="AB10"/>
    </row>
    <row r="11" spans="1:28" s="31" customFormat="1" ht="30.75" thickBot="1" x14ac:dyDescent="0.3">
      <c r="A11" s="76" t="s">
        <v>48</v>
      </c>
      <c r="B11" s="74" t="s">
        <v>165</v>
      </c>
      <c r="C11" s="77"/>
      <c r="D11" s="74" t="s">
        <v>172</v>
      </c>
      <c r="E11" s="68"/>
      <c r="F11" s="68">
        <f t="shared" si="0"/>
        <v>0</v>
      </c>
      <c r="G11" s="68">
        <f t="shared" si="1"/>
        <v>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/>
      <c r="AB11"/>
    </row>
    <row r="12" spans="1:28" s="31" customFormat="1" ht="15.75" thickBot="1" x14ac:dyDescent="0.3">
      <c r="A12" s="76" t="s">
        <v>161</v>
      </c>
      <c r="B12" s="74" t="s">
        <v>166</v>
      </c>
      <c r="C12" s="77"/>
      <c r="D12" s="74" t="s">
        <v>173</v>
      </c>
      <c r="E12" s="68"/>
      <c r="F12" s="68">
        <f t="shared" si="0"/>
        <v>0</v>
      </c>
      <c r="G12" s="68">
        <f t="shared" si="1"/>
        <v>0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/>
      <c r="AB12"/>
    </row>
    <row r="13" spans="1:28" s="31" customFormat="1" ht="15.75" thickBot="1" x14ac:dyDescent="0.3">
      <c r="A13" s="76" t="s">
        <v>162</v>
      </c>
      <c r="B13" s="74" t="s">
        <v>167</v>
      </c>
      <c r="C13" s="77"/>
      <c r="D13" s="74" t="s">
        <v>174</v>
      </c>
      <c r="E13" s="68"/>
      <c r="F13" s="68">
        <f t="shared" si="0"/>
        <v>0</v>
      </c>
      <c r="G13" s="68">
        <f t="shared" si="1"/>
        <v>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/>
      <c r="AB13"/>
    </row>
    <row r="14" spans="1:28" s="31" customFormat="1" ht="15.75" thickBot="1" x14ac:dyDescent="0.3">
      <c r="A14" s="76" t="s">
        <v>37</v>
      </c>
      <c r="B14" s="74" t="s">
        <v>168</v>
      </c>
      <c r="C14" s="77"/>
      <c r="D14" s="74" t="s">
        <v>175</v>
      </c>
      <c r="E14" s="68"/>
      <c r="F14" s="68">
        <f t="shared" si="0"/>
        <v>0</v>
      </c>
      <c r="G14" s="68">
        <f t="shared" si="1"/>
        <v>0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/>
      <c r="AB14"/>
    </row>
    <row r="15" spans="1:28" s="31" customFormat="1" ht="15.75" thickBot="1" x14ac:dyDescent="0.3">
      <c r="A15" s="76" t="s">
        <v>163</v>
      </c>
      <c r="B15" s="74" t="s">
        <v>169</v>
      </c>
      <c r="C15" s="77"/>
      <c r="D15" s="74" t="s">
        <v>176</v>
      </c>
      <c r="E15" s="68"/>
      <c r="F15" s="68">
        <f t="shared" si="0"/>
        <v>0</v>
      </c>
      <c r="G15" s="68">
        <f t="shared" si="1"/>
        <v>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/>
      <c r="AB15"/>
    </row>
    <row r="16" spans="1:28" s="31" customFormat="1" ht="15.75" thickBot="1" x14ac:dyDescent="0.3">
      <c r="A16" s="76" t="s">
        <v>52</v>
      </c>
      <c r="B16" s="74" t="s">
        <v>156</v>
      </c>
      <c r="C16" s="77"/>
      <c r="D16" s="74" t="s">
        <v>177</v>
      </c>
      <c r="E16" s="68"/>
      <c r="F16" s="68">
        <f t="shared" si="0"/>
        <v>0</v>
      </c>
      <c r="G16" s="68">
        <f t="shared" si="1"/>
        <v>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/>
      <c r="AB16"/>
    </row>
    <row r="17" spans="1:28" ht="15.75" thickBot="1" x14ac:dyDescent="0.3">
      <c r="A17" s="128"/>
      <c r="B17" s="129"/>
      <c r="C17" s="130"/>
      <c r="D17" s="129"/>
      <c r="E17" s="131"/>
      <c r="F17" s="131"/>
      <c r="G17" s="13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8" s="14" customFormat="1" ht="15.75" thickBot="1" x14ac:dyDescent="0.3">
      <c r="A18" s="78" t="s">
        <v>44</v>
      </c>
      <c r="B18" s="36"/>
      <c r="C18" s="52"/>
      <c r="D18" s="36"/>
      <c r="E18" s="72">
        <f>SUM(E9:E17)</f>
        <v>0</v>
      </c>
      <c r="F18" s="72">
        <f>SUM(F9:F17)</f>
        <v>0</v>
      </c>
      <c r="G18" s="72">
        <f>SUM(G9:G17)</f>
        <v>0</v>
      </c>
      <c r="H18" s="72">
        <f>SUM(H9:H16)</f>
        <v>0</v>
      </c>
      <c r="I18" s="72">
        <f>SUM(I9:I16)</f>
        <v>0</v>
      </c>
      <c r="J18" s="72">
        <f>SUM(J9:J16)</f>
        <v>0</v>
      </c>
      <c r="K18" s="72">
        <f t="shared" ref="K18:AB18" si="2">SUM(K9:K17)</f>
        <v>0</v>
      </c>
      <c r="L18" s="72">
        <f t="shared" si="2"/>
        <v>0</v>
      </c>
      <c r="M18" s="72">
        <f t="shared" si="2"/>
        <v>0</v>
      </c>
      <c r="N18" s="72">
        <f t="shared" si="2"/>
        <v>0</v>
      </c>
      <c r="O18" s="72">
        <f t="shared" si="2"/>
        <v>0</v>
      </c>
      <c r="P18" s="72">
        <f t="shared" si="2"/>
        <v>0</v>
      </c>
      <c r="Q18" s="72">
        <f t="shared" si="2"/>
        <v>0</v>
      </c>
      <c r="R18" s="72">
        <f t="shared" si="2"/>
        <v>0</v>
      </c>
      <c r="S18" s="72">
        <f t="shared" si="2"/>
        <v>0</v>
      </c>
      <c r="T18" s="72">
        <f t="shared" si="2"/>
        <v>0</v>
      </c>
      <c r="U18" s="72">
        <f t="shared" si="2"/>
        <v>0</v>
      </c>
      <c r="V18" s="72">
        <f t="shared" si="2"/>
        <v>0</v>
      </c>
      <c r="W18" s="72">
        <f t="shared" si="2"/>
        <v>0</v>
      </c>
      <c r="X18" s="72">
        <f t="shared" si="2"/>
        <v>0</v>
      </c>
      <c r="Y18" s="72">
        <f t="shared" si="2"/>
        <v>0</v>
      </c>
      <c r="Z18" s="72">
        <f t="shared" si="2"/>
        <v>0</v>
      </c>
      <c r="AA18" s="72">
        <f t="shared" si="2"/>
        <v>0</v>
      </c>
      <c r="AB18" s="72">
        <f t="shared" si="2"/>
        <v>0</v>
      </c>
    </row>
    <row r="19" spans="1:28" x14ac:dyDescent="0.25">
      <c r="E19" s="16"/>
      <c r="F19" s="16"/>
      <c r="G19" s="16"/>
      <c r="AA19" s="16"/>
      <c r="AB19" s="16"/>
    </row>
    <row r="20" spans="1:28" x14ac:dyDescent="0.25">
      <c r="C20" s="16"/>
      <c r="D20" s="16"/>
      <c r="E20" s="16"/>
      <c r="L20" s="16"/>
      <c r="Q20" s="16"/>
      <c r="R20" s="16"/>
      <c r="X20" s="16"/>
      <c r="AA20" s="16"/>
      <c r="AB20" s="16"/>
    </row>
    <row r="21" spans="1:28" x14ac:dyDescent="0.25">
      <c r="C21" s="16"/>
      <c r="D21" s="16"/>
      <c r="E21" s="16"/>
      <c r="Q21" s="16"/>
      <c r="AA21" s="16"/>
      <c r="AB21" s="16"/>
    </row>
    <row r="22" spans="1:28" x14ac:dyDescent="0.25">
      <c r="C22" s="16"/>
      <c r="D22" s="16"/>
      <c r="E22" s="16"/>
      <c r="AA22" s="16"/>
      <c r="AB22" s="16"/>
    </row>
    <row r="23" spans="1:28" x14ac:dyDescent="0.25">
      <c r="C23" s="16"/>
      <c r="D23" s="16"/>
      <c r="E23" s="16"/>
      <c r="AA23" s="16"/>
      <c r="AB23" s="16"/>
    </row>
    <row r="24" spans="1:28" x14ac:dyDescent="0.25">
      <c r="C24" s="16"/>
      <c r="D24" s="16"/>
      <c r="E24" s="16"/>
      <c r="AA24" s="16"/>
      <c r="AB24" s="16"/>
    </row>
    <row r="25" spans="1:28" x14ac:dyDescent="0.25">
      <c r="C25" s="16"/>
      <c r="D25" s="16"/>
      <c r="E25" s="16"/>
      <c r="AA25" s="16"/>
      <c r="AB25" s="16"/>
    </row>
    <row r="26" spans="1:28" x14ac:dyDescent="0.25">
      <c r="C26" s="16"/>
      <c r="D26" s="16"/>
      <c r="E26" s="16"/>
      <c r="AA26" s="16"/>
      <c r="AB26" s="16"/>
    </row>
    <row r="27" spans="1:28" x14ac:dyDescent="0.25">
      <c r="C27" s="16"/>
      <c r="D27" s="16"/>
      <c r="E27" s="16"/>
      <c r="AA27" s="16"/>
      <c r="AB27" s="16"/>
    </row>
    <row r="28" spans="1:28" x14ac:dyDescent="0.25">
      <c r="C28" s="16"/>
      <c r="D28" s="16"/>
      <c r="E28" s="16"/>
      <c r="AA28" s="16"/>
      <c r="AB28" s="16"/>
    </row>
    <row r="29" spans="1:28" x14ac:dyDescent="0.25">
      <c r="C29" s="16"/>
      <c r="D29" s="16"/>
      <c r="E29" s="16"/>
      <c r="AA29" s="16"/>
      <c r="AB29" s="16"/>
    </row>
    <row r="30" spans="1:28" x14ac:dyDescent="0.25">
      <c r="C30" s="16"/>
      <c r="D30" s="16"/>
      <c r="E30" s="16"/>
      <c r="AA30" s="16"/>
      <c r="AB30" s="16"/>
    </row>
    <row r="31" spans="1:28" x14ac:dyDescent="0.25">
      <c r="C31" s="16"/>
      <c r="D31" s="16"/>
      <c r="E31" s="16"/>
      <c r="AA31" s="16"/>
      <c r="AB31" s="16"/>
    </row>
    <row r="32" spans="1:28" x14ac:dyDescent="0.25">
      <c r="C32" s="16"/>
      <c r="D32" s="16"/>
      <c r="E32" s="16"/>
    </row>
    <row r="33" spans="3:7" x14ac:dyDescent="0.25">
      <c r="C33" s="16"/>
      <c r="D33" s="16"/>
      <c r="E33" s="16"/>
    </row>
    <row r="34" spans="3:7" x14ac:dyDescent="0.25">
      <c r="C34" s="16"/>
      <c r="D34" s="16"/>
      <c r="E34" s="16"/>
    </row>
    <row r="35" spans="3:7" x14ac:dyDescent="0.25">
      <c r="C35" s="16"/>
      <c r="D35" s="16"/>
      <c r="E35" s="16"/>
    </row>
    <row r="36" spans="3:7" x14ac:dyDescent="0.25">
      <c r="E36" s="16"/>
      <c r="F36" s="16"/>
      <c r="G36" s="16"/>
    </row>
    <row r="37" spans="3:7" x14ac:dyDescent="0.25">
      <c r="E37" s="16"/>
      <c r="F37" s="16"/>
      <c r="G37" s="16"/>
    </row>
    <row r="38" spans="3:7" x14ac:dyDescent="0.25">
      <c r="E38" s="16"/>
      <c r="F38" s="16"/>
      <c r="G38" s="16"/>
    </row>
    <row r="39" spans="3:7" x14ac:dyDescent="0.25">
      <c r="E39" s="16"/>
      <c r="F39" s="16"/>
      <c r="G39" s="16"/>
    </row>
    <row r="40" spans="3:7" x14ac:dyDescent="0.25">
      <c r="E40" s="16"/>
      <c r="F40" s="16"/>
      <c r="G40" s="16"/>
    </row>
    <row r="41" spans="3:7" x14ac:dyDescent="0.25">
      <c r="F41" s="16"/>
      <c r="G41" s="16"/>
    </row>
    <row r="42" spans="3:7" x14ac:dyDescent="0.25">
      <c r="F42" s="16"/>
      <c r="G42" s="16"/>
    </row>
    <row r="43" spans="3:7" x14ac:dyDescent="0.25">
      <c r="F43" s="16"/>
      <c r="G43" s="1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2"/>
  </sheetPr>
  <dimension ref="A1:AL140"/>
  <sheetViews>
    <sheetView workbookViewId="0">
      <selection activeCell="M8" sqref="M8"/>
    </sheetView>
  </sheetViews>
  <sheetFormatPr defaultColWidth="9.42578125" defaultRowHeight="15" x14ac:dyDescent="0.25"/>
  <cols>
    <col min="1" max="1" width="19.42578125" style="2" customWidth="1"/>
    <col min="2" max="2" width="43.42578125" style="142" customWidth="1"/>
    <col min="3" max="3" width="17.5703125" customWidth="1"/>
    <col min="4" max="4" width="16.5703125" customWidth="1"/>
    <col min="5" max="5" width="15.5703125" style="4" customWidth="1"/>
    <col min="6" max="6" width="15.5703125" style="4" hidden="1" customWidth="1"/>
    <col min="7" max="7" width="15.5703125" style="4" customWidth="1"/>
    <col min="8" max="8" width="15.5703125" style="4" hidden="1" customWidth="1"/>
    <col min="9" max="27" width="15.5703125" style="4" customWidth="1"/>
  </cols>
  <sheetData>
    <row r="1" spans="1:38" ht="21" x14ac:dyDescent="0.35">
      <c r="A1" s="28" t="s">
        <v>0</v>
      </c>
      <c r="B1" s="65"/>
      <c r="C1" s="37" t="s">
        <v>19</v>
      </c>
      <c r="D1" s="28"/>
      <c r="E1" s="28"/>
      <c r="F1" s="28"/>
      <c r="G1" s="28"/>
      <c r="H1" s="28"/>
      <c r="I1" s="28" t="str">
        <f>$C$1</f>
        <v xml:space="preserve">Adult Education </v>
      </c>
      <c r="J1" s="28"/>
      <c r="K1" s="28"/>
      <c r="L1" s="28"/>
      <c r="M1" s="38"/>
      <c r="N1" s="38"/>
      <c r="O1" s="38"/>
      <c r="P1" s="38"/>
      <c r="Q1" s="42"/>
      <c r="R1" s="42"/>
      <c r="S1" s="42"/>
      <c r="T1" s="42"/>
      <c r="U1" s="37"/>
      <c r="V1" s="37"/>
      <c r="W1" s="28" t="str">
        <f>$C$1</f>
        <v xml:space="preserve">Adult Education </v>
      </c>
      <c r="X1" s="28"/>
      <c r="Y1" s="28"/>
      <c r="Z1" s="28"/>
      <c r="AA1" s="28"/>
    </row>
    <row r="2" spans="1:38" s="3" customFormat="1" ht="21" x14ac:dyDescent="0.35">
      <c r="A2" s="28" t="s">
        <v>137</v>
      </c>
      <c r="B2" s="140"/>
      <c r="C2" s="28" t="s">
        <v>337</v>
      </c>
      <c r="D2" s="28"/>
      <c r="E2" s="15"/>
      <c r="F2" s="15"/>
      <c r="G2" s="15"/>
      <c r="H2" s="15"/>
      <c r="I2" s="106" t="str">
        <f>"FY"&amp;$C$4</f>
        <v>FY2019-20</v>
      </c>
      <c r="J2" s="106"/>
      <c r="K2" s="106"/>
      <c r="L2" s="106"/>
      <c r="M2" s="15"/>
      <c r="N2" s="15"/>
      <c r="O2" s="15"/>
      <c r="P2" s="15"/>
      <c r="Q2" s="15"/>
      <c r="R2" s="15"/>
      <c r="S2" s="15"/>
      <c r="T2" s="15"/>
      <c r="U2" s="15"/>
      <c r="V2" s="15"/>
      <c r="W2" s="106" t="str">
        <f>"FY"&amp;$C$4</f>
        <v>FY2019-20</v>
      </c>
      <c r="X2" s="106"/>
      <c r="Y2" s="15"/>
      <c r="Z2" s="15"/>
      <c r="AA2" s="15"/>
    </row>
    <row r="3" spans="1:38" ht="15.75" x14ac:dyDescent="0.25">
      <c r="A3" s="29" t="s">
        <v>1</v>
      </c>
      <c r="B3" s="65"/>
      <c r="C3" s="39">
        <v>5002</v>
      </c>
      <c r="D3" s="2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38" ht="15.75" x14ac:dyDescent="0.25">
      <c r="A4" s="29" t="s">
        <v>2</v>
      </c>
      <c r="B4" s="65"/>
      <c r="C4" s="39" t="s">
        <v>311</v>
      </c>
      <c r="D4" s="2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8" ht="15.75" x14ac:dyDescent="0.25">
      <c r="A5" s="29"/>
      <c r="B5" s="65"/>
      <c r="C5" s="51"/>
      <c r="D5" s="2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38" ht="15.75" x14ac:dyDescent="0.25">
      <c r="A6" s="29" t="s">
        <v>18</v>
      </c>
      <c r="B6" s="65"/>
      <c r="C6" s="54" t="s">
        <v>316</v>
      </c>
      <c r="D6" s="2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38" ht="21.75" thickBot="1" x14ac:dyDescent="0.4">
      <c r="A7" s="28"/>
      <c r="B7" s="65"/>
      <c r="C7" s="18"/>
      <c r="D7" s="1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38" s="5" customFormat="1" ht="45.75" thickBot="1" x14ac:dyDescent="0.3">
      <c r="A8" s="210" t="s">
        <v>130</v>
      </c>
      <c r="B8" s="211" t="s">
        <v>124</v>
      </c>
      <c r="C8" s="211" t="s">
        <v>338</v>
      </c>
      <c r="D8" s="209" t="s">
        <v>357</v>
      </c>
      <c r="E8" s="43" t="s">
        <v>339</v>
      </c>
      <c r="F8" s="43" t="s">
        <v>359</v>
      </c>
      <c r="G8" s="43" t="s">
        <v>358</v>
      </c>
      <c r="H8" s="43" t="s">
        <v>360</v>
      </c>
      <c r="I8" s="246" t="s">
        <v>348</v>
      </c>
      <c r="J8" s="215" t="s">
        <v>359</v>
      </c>
      <c r="K8" s="226" t="s">
        <v>367</v>
      </c>
      <c r="L8" s="209" t="s">
        <v>360</v>
      </c>
      <c r="M8" s="246" t="s">
        <v>349</v>
      </c>
      <c r="N8" s="246" t="s">
        <v>341</v>
      </c>
      <c r="O8" s="24" t="s">
        <v>350</v>
      </c>
      <c r="P8" s="24" t="s">
        <v>342</v>
      </c>
      <c r="Q8" s="24" t="s">
        <v>351</v>
      </c>
      <c r="R8" s="24" t="s">
        <v>343</v>
      </c>
      <c r="S8" s="24" t="s">
        <v>352</v>
      </c>
      <c r="T8" s="24" t="s">
        <v>344</v>
      </c>
      <c r="U8" s="24" t="s">
        <v>353</v>
      </c>
      <c r="V8" s="24" t="s">
        <v>345</v>
      </c>
      <c r="W8" s="23" t="s">
        <v>354</v>
      </c>
      <c r="X8" s="24" t="s">
        <v>346</v>
      </c>
      <c r="Y8" s="24" t="s">
        <v>355</v>
      </c>
      <c r="Z8" s="24" t="s">
        <v>340</v>
      </c>
      <c r="AA8" s="24" t="s">
        <v>356</v>
      </c>
    </row>
    <row r="9" spans="1:38" s="21" customFormat="1" x14ac:dyDescent="0.25">
      <c r="A9" s="208" t="s">
        <v>3</v>
      </c>
      <c r="B9" s="216" t="s">
        <v>77</v>
      </c>
      <c r="C9" s="217">
        <v>249701.6</v>
      </c>
      <c r="D9" s="218">
        <v>45642</v>
      </c>
      <c r="E9" s="252">
        <v>103212.64</v>
      </c>
      <c r="F9" s="252">
        <f>C9-E9</f>
        <v>146488.96000000002</v>
      </c>
      <c r="G9" s="252">
        <v>17057</v>
      </c>
      <c r="H9" s="252">
        <f>D9-G9</f>
        <v>28585</v>
      </c>
      <c r="I9" s="255">
        <v>124969.61</v>
      </c>
      <c r="J9" s="255">
        <f>C9-I9</f>
        <v>124731.99</v>
      </c>
      <c r="K9" s="257">
        <v>23619</v>
      </c>
      <c r="L9" s="257">
        <f>D9-K9</f>
        <v>22023</v>
      </c>
      <c r="M9" s="255"/>
      <c r="N9" s="255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1" customFormat="1" x14ac:dyDescent="0.25">
      <c r="A10" s="147" t="s">
        <v>5</v>
      </c>
      <c r="B10" s="219" t="s">
        <v>287</v>
      </c>
      <c r="C10" s="217">
        <v>46911</v>
      </c>
      <c r="D10" s="214">
        <v>0</v>
      </c>
      <c r="E10" s="252">
        <v>12000</v>
      </c>
      <c r="F10" s="252">
        <f t="shared" ref="F10:F31" si="0">C10-E10</f>
        <v>34911</v>
      </c>
      <c r="G10" s="252">
        <v>0</v>
      </c>
      <c r="H10" s="252">
        <f>D10-G10</f>
        <v>0</v>
      </c>
      <c r="I10" s="255"/>
      <c r="J10" s="255">
        <f t="shared" ref="J10:J31" si="1">C10-I10</f>
        <v>46911</v>
      </c>
      <c r="K10" s="257"/>
      <c r="L10" s="257">
        <f t="shared" ref="L10:L31" si="2">D10-K10</f>
        <v>0</v>
      </c>
      <c r="M10" s="255">
        <v>20106</v>
      </c>
      <c r="N10" s="255"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21" customFormat="1" x14ac:dyDescent="0.25">
      <c r="A11" s="147" t="s">
        <v>71</v>
      </c>
      <c r="B11" s="219" t="s">
        <v>208</v>
      </c>
      <c r="C11" s="217">
        <v>141890</v>
      </c>
      <c r="D11" s="214">
        <v>22600</v>
      </c>
      <c r="E11" s="252">
        <v>50503.92</v>
      </c>
      <c r="F11" s="252">
        <f t="shared" si="0"/>
        <v>91386.08</v>
      </c>
      <c r="G11" s="252">
        <v>6123</v>
      </c>
      <c r="H11" s="252">
        <f>D11-G11</f>
        <v>16477</v>
      </c>
      <c r="I11" s="255">
        <v>63100.81</v>
      </c>
      <c r="J11" s="255">
        <f t="shared" si="1"/>
        <v>78789.19</v>
      </c>
      <c r="K11" s="257">
        <v>6942</v>
      </c>
      <c r="L11" s="257">
        <f t="shared" si="2"/>
        <v>15658</v>
      </c>
      <c r="M11" s="255"/>
      <c r="N11" s="255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21" customFormat="1" x14ac:dyDescent="0.25">
      <c r="A12" s="147" t="s">
        <v>28</v>
      </c>
      <c r="B12" s="219" t="s">
        <v>78</v>
      </c>
      <c r="C12" s="217">
        <v>74702</v>
      </c>
      <c r="D12" s="214">
        <v>28800</v>
      </c>
      <c r="E12" s="252">
        <v>33887.410000000003</v>
      </c>
      <c r="F12" s="252">
        <f t="shared" si="0"/>
        <v>40814.589999999997</v>
      </c>
      <c r="G12" s="252">
        <v>4047</v>
      </c>
      <c r="H12" s="252">
        <f t="shared" ref="H12:H31" si="3">D12-G12</f>
        <v>24753</v>
      </c>
      <c r="I12" s="255">
        <v>40665.019999999997</v>
      </c>
      <c r="J12" s="255">
        <f t="shared" si="1"/>
        <v>34036.980000000003</v>
      </c>
      <c r="K12" s="257">
        <v>4407</v>
      </c>
      <c r="L12" s="257">
        <f t="shared" si="2"/>
        <v>24393</v>
      </c>
      <c r="M12" s="255">
        <v>47442.75</v>
      </c>
      <c r="N12" s="255">
        <v>4709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21" customFormat="1" x14ac:dyDescent="0.25">
      <c r="A13" s="147" t="s">
        <v>72</v>
      </c>
      <c r="B13" s="219" t="s">
        <v>288</v>
      </c>
      <c r="C13" s="217">
        <v>58608</v>
      </c>
      <c r="D13" s="214">
        <v>4500</v>
      </c>
      <c r="E13" s="252"/>
      <c r="F13" s="252">
        <f t="shared" si="0"/>
        <v>58608</v>
      </c>
      <c r="G13" s="252">
        <v>0</v>
      </c>
      <c r="H13" s="252">
        <f t="shared" si="3"/>
        <v>4500</v>
      </c>
      <c r="I13" s="255"/>
      <c r="J13" s="255">
        <f t="shared" si="1"/>
        <v>58608</v>
      </c>
      <c r="K13" s="257"/>
      <c r="L13" s="257">
        <f t="shared" si="2"/>
        <v>4500</v>
      </c>
      <c r="M13" s="255"/>
      <c r="N13" s="255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21" customFormat="1" x14ac:dyDescent="0.25">
      <c r="A14" s="147" t="s">
        <v>6</v>
      </c>
      <c r="B14" s="219" t="s">
        <v>362</v>
      </c>
      <c r="C14" s="217">
        <v>55172</v>
      </c>
      <c r="D14" s="214">
        <v>0</v>
      </c>
      <c r="E14" s="252">
        <v>13792.99</v>
      </c>
      <c r="F14" s="252">
        <f t="shared" si="0"/>
        <v>41379.01</v>
      </c>
      <c r="G14" s="252">
        <v>0</v>
      </c>
      <c r="H14" s="252">
        <f t="shared" si="3"/>
        <v>0</v>
      </c>
      <c r="I14" s="255">
        <v>35585.99</v>
      </c>
      <c r="J14" s="255">
        <f t="shared" si="1"/>
        <v>19586.010000000002</v>
      </c>
      <c r="K14" s="257">
        <v>0</v>
      </c>
      <c r="L14" s="257">
        <f t="shared" si="2"/>
        <v>0</v>
      </c>
      <c r="M14" s="255"/>
      <c r="N14" s="255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21" customFormat="1" x14ac:dyDescent="0.25">
      <c r="A15" s="147" t="s">
        <v>29</v>
      </c>
      <c r="B15" s="219" t="s">
        <v>289</v>
      </c>
      <c r="C15" s="217">
        <v>42790</v>
      </c>
      <c r="D15" s="214">
        <v>0</v>
      </c>
      <c r="E15" s="252"/>
      <c r="F15" s="252">
        <f t="shared" si="0"/>
        <v>42790</v>
      </c>
      <c r="G15" s="252">
        <v>0</v>
      </c>
      <c r="H15" s="252">
        <f t="shared" si="3"/>
        <v>0</v>
      </c>
      <c r="I15" s="255"/>
      <c r="J15" s="255">
        <f t="shared" si="1"/>
        <v>42790</v>
      </c>
      <c r="K15" s="257"/>
      <c r="L15" s="257">
        <f t="shared" si="2"/>
        <v>0</v>
      </c>
      <c r="M15" s="255">
        <v>13728</v>
      </c>
      <c r="N15" s="255">
        <v>0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21" customFormat="1" x14ac:dyDescent="0.25">
      <c r="A16" s="147" t="s">
        <v>30</v>
      </c>
      <c r="B16" s="219" t="s">
        <v>290</v>
      </c>
      <c r="C16" s="217">
        <v>156616</v>
      </c>
      <c r="D16" s="214">
        <v>0</v>
      </c>
      <c r="E16" s="252">
        <v>48928</v>
      </c>
      <c r="F16" s="252">
        <f t="shared" si="0"/>
        <v>107688</v>
      </c>
      <c r="G16" s="252">
        <v>0</v>
      </c>
      <c r="H16" s="252">
        <f t="shared" si="3"/>
        <v>0</v>
      </c>
      <c r="I16" s="255">
        <v>61781</v>
      </c>
      <c r="J16" s="255">
        <f t="shared" si="1"/>
        <v>94835</v>
      </c>
      <c r="K16" s="257">
        <v>0</v>
      </c>
      <c r="L16" s="257">
        <f t="shared" si="2"/>
        <v>0</v>
      </c>
      <c r="M16" s="255"/>
      <c r="N16" s="255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21" customFormat="1" x14ac:dyDescent="0.25">
      <c r="A17" s="147" t="s">
        <v>65</v>
      </c>
      <c r="B17" s="219" t="s">
        <v>291</v>
      </c>
      <c r="C17" s="217">
        <v>42790</v>
      </c>
      <c r="D17" s="214">
        <v>13415</v>
      </c>
      <c r="E17" s="252">
        <v>16760.09</v>
      </c>
      <c r="F17" s="252">
        <f t="shared" si="0"/>
        <v>26029.91</v>
      </c>
      <c r="G17" s="252">
        <v>4362</v>
      </c>
      <c r="H17" s="252">
        <f t="shared" si="3"/>
        <v>9053</v>
      </c>
      <c r="I17" s="255">
        <v>19979.599999999999</v>
      </c>
      <c r="J17" s="255">
        <f t="shared" si="1"/>
        <v>22810.400000000001</v>
      </c>
      <c r="K17" s="257">
        <v>5717</v>
      </c>
      <c r="L17" s="257">
        <f t="shared" si="2"/>
        <v>7698</v>
      </c>
      <c r="M17" s="255">
        <v>23519.11</v>
      </c>
      <c r="N17" s="255">
        <v>6027</v>
      </c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21" customFormat="1" x14ac:dyDescent="0.25">
      <c r="A18" s="147" t="s">
        <v>246</v>
      </c>
      <c r="B18" s="219" t="s">
        <v>247</v>
      </c>
      <c r="C18" s="217">
        <v>42790</v>
      </c>
      <c r="D18" s="214">
        <v>0</v>
      </c>
      <c r="E18" s="252">
        <v>42790</v>
      </c>
      <c r="F18" s="252">
        <f t="shared" si="0"/>
        <v>0</v>
      </c>
      <c r="G18" s="252">
        <v>0</v>
      </c>
      <c r="H18" s="252">
        <f t="shared" si="3"/>
        <v>0</v>
      </c>
      <c r="I18" s="255">
        <v>26177.02</v>
      </c>
      <c r="J18" s="255">
        <f t="shared" si="1"/>
        <v>16612.98</v>
      </c>
      <c r="K18" s="257">
        <v>0</v>
      </c>
      <c r="L18" s="257">
        <f t="shared" si="2"/>
        <v>0</v>
      </c>
      <c r="M18" s="255"/>
      <c r="N18" s="255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21" customFormat="1" x14ac:dyDescent="0.25">
      <c r="A19" s="147" t="s">
        <v>125</v>
      </c>
      <c r="B19" s="219" t="s">
        <v>361</v>
      </c>
      <c r="C19" s="217">
        <v>103448</v>
      </c>
      <c r="D19" s="214">
        <v>39854</v>
      </c>
      <c r="E19" s="252">
        <v>60048.639999999999</v>
      </c>
      <c r="F19" s="252">
        <f t="shared" si="0"/>
        <v>43399.360000000001</v>
      </c>
      <c r="G19" s="252">
        <v>16595</v>
      </c>
      <c r="H19" s="252">
        <f t="shared" si="3"/>
        <v>23259</v>
      </c>
      <c r="I19" s="255">
        <v>60048.639999999999</v>
      </c>
      <c r="J19" s="255">
        <f t="shared" si="1"/>
        <v>43399.360000000001</v>
      </c>
      <c r="K19" s="257">
        <v>16595</v>
      </c>
      <c r="L19" s="257">
        <f t="shared" si="2"/>
        <v>23259</v>
      </c>
      <c r="M19" s="255"/>
      <c r="N19" s="255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21" customFormat="1" ht="45" x14ac:dyDescent="0.25">
      <c r="A20" s="147" t="s">
        <v>126</v>
      </c>
      <c r="B20" s="219" t="s">
        <v>206</v>
      </c>
      <c r="C20" s="217">
        <v>196267</v>
      </c>
      <c r="D20" s="214">
        <v>0</v>
      </c>
      <c r="E20" s="252"/>
      <c r="F20" s="252">
        <f t="shared" si="0"/>
        <v>196267</v>
      </c>
      <c r="G20" s="252">
        <v>0</v>
      </c>
      <c r="H20" s="252">
        <f t="shared" si="3"/>
        <v>0</v>
      </c>
      <c r="I20" s="255"/>
      <c r="J20" s="255">
        <f t="shared" si="1"/>
        <v>196267</v>
      </c>
      <c r="K20" s="257"/>
      <c r="L20" s="257">
        <f t="shared" si="2"/>
        <v>0</v>
      </c>
      <c r="M20" s="255"/>
      <c r="N20" s="255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21" customFormat="1" x14ac:dyDescent="0.25">
      <c r="A21" s="147" t="s">
        <v>245</v>
      </c>
      <c r="B21" s="219" t="s">
        <v>363</v>
      </c>
      <c r="C21" s="217">
        <v>40000</v>
      </c>
      <c r="D21" s="214">
        <v>0</v>
      </c>
      <c r="E21" s="252">
        <v>11194.68</v>
      </c>
      <c r="F21" s="252">
        <f t="shared" si="0"/>
        <v>28805.32</v>
      </c>
      <c r="G21" s="252">
        <v>0</v>
      </c>
      <c r="H21" s="252">
        <f t="shared" si="3"/>
        <v>0</v>
      </c>
      <c r="I21" s="255">
        <v>20853.759999999998</v>
      </c>
      <c r="J21" s="255">
        <f t="shared" si="1"/>
        <v>19146.240000000002</v>
      </c>
      <c r="K21" s="257">
        <v>0</v>
      </c>
      <c r="L21" s="257">
        <f t="shared" si="2"/>
        <v>0</v>
      </c>
      <c r="M21" s="255">
        <v>25909.47</v>
      </c>
      <c r="N21" s="255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21" customFormat="1" x14ac:dyDescent="0.25">
      <c r="A22" s="147" t="s">
        <v>7</v>
      </c>
      <c r="B22" s="219" t="s">
        <v>8</v>
      </c>
      <c r="C22" s="217">
        <v>60076</v>
      </c>
      <c r="D22" s="214">
        <v>9835</v>
      </c>
      <c r="E22" s="252"/>
      <c r="F22" s="252">
        <f t="shared" si="0"/>
        <v>60076</v>
      </c>
      <c r="G22" s="252"/>
      <c r="H22" s="252">
        <f t="shared" si="3"/>
        <v>9835</v>
      </c>
      <c r="I22" s="255">
        <v>50281.66</v>
      </c>
      <c r="J22" s="255">
        <f t="shared" si="1"/>
        <v>9794.3399999999965</v>
      </c>
      <c r="K22" s="257">
        <v>1044</v>
      </c>
      <c r="L22" s="257">
        <f t="shared" si="2"/>
        <v>8791</v>
      </c>
      <c r="M22" s="255"/>
      <c r="N22" s="255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21" customFormat="1" x14ac:dyDescent="0.25">
      <c r="A23" s="147" t="s">
        <v>66</v>
      </c>
      <c r="B23" s="219" t="s">
        <v>73</v>
      </c>
      <c r="C23" s="217">
        <v>94592</v>
      </c>
      <c r="D23" s="214">
        <v>84000</v>
      </c>
      <c r="E23" s="252">
        <v>29891.74</v>
      </c>
      <c r="F23" s="252">
        <f t="shared" si="0"/>
        <v>64700.259999999995</v>
      </c>
      <c r="G23" s="252">
        <v>29501</v>
      </c>
      <c r="H23" s="252">
        <f>D23-G23</f>
        <v>54499</v>
      </c>
      <c r="I23" s="255">
        <v>36576.69</v>
      </c>
      <c r="J23" s="255">
        <f t="shared" si="1"/>
        <v>58015.31</v>
      </c>
      <c r="K23" s="257">
        <v>29501</v>
      </c>
      <c r="L23" s="257">
        <f t="shared" si="2"/>
        <v>54499</v>
      </c>
      <c r="M23" s="255">
        <v>43261.64</v>
      </c>
      <c r="N23" s="255">
        <v>44981</v>
      </c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21" customFormat="1" x14ac:dyDescent="0.25">
      <c r="A24" s="147" t="s">
        <v>9</v>
      </c>
      <c r="B24" s="219" t="s">
        <v>74</v>
      </c>
      <c r="C24" s="217">
        <v>114948</v>
      </c>
      <c r="D24" s="214">
        <v>11000</v>
      </c>
      <c r="E24" s="252">
        <f>9579+9579+9579+1198.28</f>
        <v>29935.279999999999</v>
      </c>
      <c r="F24" s="252">
        <f t="shared" si="0"/>
        <v>85012.72</v>
      </c>
      <c r="G24" s="252"/>
      <c r="H24" s="252">
        <f t="shared" si="3"/>
        <v>11000</v>
      </c>
      <c r="I24" s="255">
        <v>54474</v>
      </c>
      <c r="J24" s="255">
        <f t="shared" si="1"/>
        <v>60474</v>
      </c>
      <c r="K24" s="257">
        <v>4499</v>
      </c>
      <c r="L24" s="257">
        <f t="shared" si="2"/>
        <v>6501</v>
      </c>
      <c r="M24" s="255"/>
      <c r="N24" s="255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21" customFormat="1" x14ac:dyDescent="0.25">
      <c r="A25" s="147" t="s">
        <v>10</v>
      </c>
      <c r="B25" s="219" t="s">
        <v>292</v>
      </c>
      <c r="C25" s="217">
        <v>245768</v>
      </c>
      <c r="D25" s="214">
        <v>20040</v>
      </c>
      <c r="E25" s="252">
        <v>209755</v>
      </c>
      <c r="F25" s="252">
        <f t="shared" si="0"/>
        <v>36013</v>
      </c>
      <c r="G25" s="252">
        <v>11645</v>
      </c>
      <c r="H25" s="252">
        <f t="shared" si="3"/>
        <v>8395</v>
      </c>
      <c r="I25" s="255">
        <v>219755</v>
      </c>
      <c r="J25" s="255">
        <f t="shared" si="1"/>
        <v>26013</v>
      </c>
      <c r="K25" s="257">
        <v>17656</v>
      </c>
      <c r="L25" s="257">
        <f t="shared" si="2"/>
        <v>2384</v>
      </c>
      <c r="M25" s="255"/>
      <c r="N25" s="255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21" customFormat="1" x14ac:dyDescent="0.25">
      <c r="A26" s="147" t="s">
        <v>11</v>
      </c>
      <c r="B26" s="219" t="s">
        <v>12</v>
      </c>
      <c r="C26" s="217">
        <v>54070</v>
      </c>
      <c r="D26" s="214">
        <v>0</v>
      </c>
      <c r="E26" s="6">
        <v>34203.519999999997</v>
      </c>
      <c r="F26" s="252">
        <f t="shared" si="0"/>
        <v>19866.480000000003</v>
      </c>
      <c r="G26" s="6">
        <v>0</v>
      </c>
      <c r="H26" s="252">
        <f t="shared" si="3"/>
        <v>0</v>
      </c>
      <c r="I26" s="255"/>
      <c r="J26" s="255">
        <f t="shared" si="1"/>
        <v>54070</v>
      </c>
      <c r="K26" s="257"/>
      <c r="L26" s="257">
        <f t="shared" si="2"/>
        <v>0</v>
      </c>
      <c r="M26" s="255">
        <v>217634</v>
      </c>
      <c r="N26" s="255">
        <v>16500</v>
      </c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21" customFormat="1" x14ac:dyDescent="0.25">
      <c r="A27" s="147" t="s">
        <v>67</v>
      </c>
      <c r="B27" s="219" t="s">
        <v>293</v>
      </c>
      <c r="C27" s="217">
        <v>84044</v>
      </c>
      <c r="D27" s="214">
        <v>14700</v>
      </c>
      <c r="E27" s="252">
        <v>17830</v>
      </c>
      <c r="F27" s="252">
        <f t="shared" si="0"/>
        <v>66214</v>
      </c>
      <c r="G27" s="252">
        <v>3800</v>
      </c>
      <c r="H27" s="252">
        <f t="shared" si="3"/>
        <v>10900</v>
      </c>
      <c r="I27" s="255"/>
      <c r="J27" s="255">
        <f t="shared" si="1"/>
        <v>84044</v>
      </c>
      <c r="K27" s="257"/>
      <c r="L27" s="257">
        <f t="shared" si="2"/>
        <v>14700</v>
      </c>
      <c r="M27" s="255">
        <v>21396</v>
      </c>
      <c r="N27" s="255">
        <v>3885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21" customFormat="1" x14ac:dyDescent="0.25">
      <c r="A28" s="147" t="s">
        <v>68</v>
      </c>
      <c r="B28" s="219" t="s">
        <v>205</v>
      </c>
      <c r="C28" s="217">
        <v>42789.600000000006</v>
      </c>
      <c r="D28" s="214">
        <v>1000</v>
      </c>
      <c r="E28" s="252">
        <v>23792.2</v>
      </c>
      <c r="F28" s="252">
        <f t="shared" si="0"/>
        <v>18997.400000000005</v>
      </c>
      <c r="G28" s="252">
        <v>600</v>
      </c>
      <c r="H28" s="252">
        <f t="shared" si="3"/>
        <v>400</v>
      </c>
      <c r="I28" s="255">
        <v>23792.2</v>
      </c>
      <c r="J28" s="255">
        <f t="shared" si="1"/>
        <v>18997.400000000005</v>
      </c>
      <c r="K28" s="257">
        <v>600</v>
      </c>
      <c r="L28" s="257">
        <f t="shared" si="2"/>
        <v>400</v>
      </c>
      <c r="M28" s="255">
        <v>38550.58</v>
      </c>
      <c r="N28" s="255">
        <v>600</v>
      </c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21" customFormat="1" x14ac:dyDescent="0.25">
      <c r="A29" s="147" t="s">
        <v>69</v>
      </c>
      <c r="B29" s="219" t="s">
        <v>75</v>
      </c>
      <c r="C29" s="217">
        <v>133581</v>
      </c>
      <c r="D29" s="214">
        <v>19950</v>
      </c>
      <c r="E29" s="252">
        <v>22545.33</v>
      </c>
      <c r="F29" s="252">
        <v>19950</v>
      </c>
      <c r="G29" s="252">
        <v>5526.2</v>
      </c>
      <c r="H29" s="252">
        <f>D29-G29</f>
        <v>14423.8</v>
      </c>
      <c r="I29" s="255"/>
      <c r="J29" s="255">
        <f t="shared" si="1"/>
        <v>133581</v>
      </c>
      <c r="K29" s="257"/>
      <c r="L29" s="257">
        <f t="shared" si="2"/>
        <v>19950</v>
      </c>
      <c r="M29" s="255">
        <v>39276.019999999997</v>
      </c>
      <c r="N29" s="255">
        <v>8026.2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21" customFormat="1" x14ac:dyDescent="0.25">
      <c r="A30" s="147" t="s">
        <v>13</v>
      </c>
      <c r="B30" s="219" t="s">
        <v>207</v>
      </c>
      <c r="C30" s="217">
        <v>99273</v>
      </c>
      <c r="D30" s="214">
        <v>7920</v>
      </c>
      <c r="E30" s="252">
        <v>99273</v>
      </c>
      <c r="F30" s="252">
        <f t="shared" si="0"/>
        <v>0</v>
      </c>
      <c r="G30" s="252">
        <v>0</v>
      </c>
      <c r="H30" s="252">
        <f t="shared" si="3"/>
        <v>7920</v>
      </c>
      <c r="I30" s="255">
        <v>99273</v>
      </c>
      <c r="J30" s="255">
        <f t="shared" si="1"/>
        <v>0</v>
      </c>
      <c r="K30" s="257">
        <v>0</v>
      </c>
      <c r="L30" s="257">
        <f t="shared" si="2"/>
        <v>7920</v>
      </c>
      <c r="M30" s="255">
        <v>99273</v>
      </c>
      <c r="N30" s="255">
        <v>0</v>
      </c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21" customFormat="1" x14ac:dyDescent="0.25">
      <c r="A31" s="147" t="s">
        <v>70</v>
      </c>
      <c r="B31" s="219" t="s">
        <v>155</v>
      </c>
      <c r="C31" s="148">
        <v>80165</v>
      </c>
      <c r="D31" s="214">
        <v>0</v>
      </c>
      <c r="E31" s="252"/>
      <c r="F31" s="252">
        <f t="shared" si="0"/>
        <v>80165</v>
      </c>
      <c r="G31" s="252">
        <v>0</v>
      </c>
      <c r="H31" s="252">
        <f t="shared" si="3"/>
        <v>0</v>
      </c>
      <c r="I31" s="255"/>
      <c r="J31" s="255">
        <f t="shared" si="1"/>
        <v>80165</v>
      </c>
      <c r="K31" s="257"/>
      <c r="L31" s="257">
        <f t="shared" si="2"/>
        <v>0</v>
      </c>
      <c r="M31" s="255"/>
      <c r="N31" s="255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134" customFormat="1" ht="15.75" thickBot="1" x14ac:dyDescent="0.3">
      <c r="A32" s="220"/>
      <c r="B32" s="146"/>
      <c r="C32" s="221"/>
      <c r="D32" s="222"/>
      <c r="E32" s="253"/>
      <c r="F32" s="253"/>
      <c r="G32" s="253"/>
      <c r="H32" s="253"/>
      <c r="I32" s="256"/>
      <c r="J32" s="256"/>
      <c r="K32" s="258"/>
      <c r="L32" s="258"/>
      <c r="M32" s="256"/>
      <c r="N32" s="256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</row>
    <row r="33" spans="1:38" s="14" customFormat="1" ht="15.75" thickBot="1" x14ac:dyDescent="0.3">
      <c r="A33" s="223" t="s">
        <v>44</v>
      </c>
      <c r="B33" s="141"/>
      <c r="C33" s="224">
        <f>SUM(C9:C31)</f>
        <v>2260992.2000000002</v>
      </c>
      <c r="D33" s="225">
        <f>SUM(D9:D31)</f>
        <v>323256</v>
      </c>
      <c r="E33" s="254">
        <f t="shared" ref="E33:AA33" si="4">SUM(E9:E31)</f>
        <v>860344.44</v>
      </c>
      <c r="F33" s="254">
        <f t="shared" si="4"/>
        <v>1309562.0899999999</v>
      </c>
      <c r="G33" s="254">
        <f t="shared" si="4"/>
        <v>99256.2</v>
      </c>
      <c r="H33" s="254">
        <f t="shared" si="4"/>
        <v>223999.8</v>
      </c>
      <c r="I33" s="184">
        <f t="shared" si="4"/>
        <v>937314</v>
      </c>
      <c r="J33" s="184">
        <f t="shared" si="4"/>
        <v>1323678.2</v>
      </c>
      <c r="K33" s="259">
        <f t="shared" si="4"/>
        <v>110580</v>
      </c>
      <c r="L33" s="259">
        <f t="shared" si="4"/>
        <v>212676</v>
      </c>
      <c r="M33" s="184">
        <f t="shared" si="4"/>
        <v>590096.57000000007</v>
      </c>
      <c r="N33" s="184">
        <f t="shared" si="4"/>
        <v>84728.2</v>
      </c>
      <c r="O33" s="184">
        <f t="shared" si="4"/>
        <v>0</v>
      </c>
      <c r="P33" s="184">
        <f t="shared" si="4"/>
        <v>0</v>
      </c>
      <c r="Q33" s="184">
        <f t="shared" si="4"/>
        <v>0</v>
      </c>
      <c r="R33" s="184">
        <f t="shared" si="4"/>
        <v>0</v>
      </c>
      <c r="S33" s="184">
        <f t="shared" si="4"/>
        <v>0</v>
      </c>
      <c r="T33" s="184">
        <f t="shared" si="4"/>
        <v>0</v>
      </c>
      <c r="U33" s="184">
        <f t="shared" si="4"/>
        <v>0</v>
      </c>
      <c r="V33" s="184">
        <f t="shared" si="4"/>
        <v>0</v>
      </c>
      <c r="W33" s="184">
        <f t="shared" si="4"/>
        <v>0</v>
      </c>
      <c r="X33" s="184">
        <f t="shared" si="4"/>
        <v>0</v>
      </c>
      <c r="Y33" s="184">
        <f t="shared" si="4"/>
        <v>0</v>
      </c>
      <c r="Z33" s="184">
        <f t="shared" si="4"/>
        <v>0</v>
      </c>
      <c r="AA33" s="184">
        <f t="shared" si="4"/>
        <v>0</v>
      </c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</row>
    <row r="34" spans="1:38" x14ac:dyDescent="0.25">
      <c r="C34" s="27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25">
      <c r="C35" s="27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x14ac:dyDescent="0.25">
      <c r="C36" s="27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x14ac:dyDescent="0.25">
      <c r="C37" s="149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25">
      <c r="C38" s="27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x14ac:dyDescent="0.25"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x14ac:dyDescent="0.25"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x14ac:dyDescent="0.25"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x14ac:dyDescent="0.25"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8" x14ac:dyDescent="0.25"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38" x14ac:dyDescent="0.25"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8" x14ac:dyDescent="0.25"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38" x14ac:dyDescent="0.25"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38" x14ac:dyDescent="0.25"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38" x14ac:dyDescent="0.25"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4:27" x14ac:dyDescent="0.25"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4:27" x14ac:dyDescent="0.25"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4:27" x14ac:dyDescent="0.25"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4:27" x14ac:dyDescent="0.25"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4:27" x14ac:dyDescent="0.25"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4:27" x14ac:dyDescent="0.25"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4:27" x14ac:dyDescent="0.25"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4:27" x14ac:dyDescent="0.25"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4:27" x14ac:dyDescent="0.25"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4:27" x14ac:dyDescent="0.25"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4:27" x14ac:dyDescent="0.25"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4:27" x14ac:dyDescent="0.25"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4:27" x14ac:dyDescent="0.25"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4:27" x14ac:dyDescent="0.25"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4:27" x14ac:dyDescent="0.25"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4:27" x14ac:dyDescent="0.25"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4:27" x14ac:dyDescent="0.25"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4:27" x14ac:dyDescent="0.25"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4:27" x14ac:dyDescent="0.25"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4:27" x14ac:dyDescent="0.25"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4:27" x14ac:dyDescent="0.25"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4:27" x14ac:dyDescent="0.25"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4:27" x14ac:dyDescent="0.25"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4:27" x14ac:dyDescent="0.25"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4:27" x14ac:dyDescent="0.25"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4:27" x14ac:dyDescent="0.25"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4:27" x14ac:dyDescent="0.25"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4:27" x14ac:dyDescent="0.25"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4:27" x14ac:dyDescent="0.25"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4:27" x14ac:dyDescent="0.25"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4:27" x14ac:dyDescent="0.25"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4:27" x14ac:dyDescent="0.25"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4:27" x14ac:dyDescent="0.25"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4:27" x14ac:dyDescent="0.25"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4:27" x14ac:dyDescent="0.25"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4:27" x14ac:dyDescent="0.25"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4:27" x14ac:dyDescent="0.25"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4:27" x14ac:dyDescent="0.25"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4:27" x14ac:dyDescent="0.25"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4:27" x14ac:dyDescent="0.25"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4:27" x14ac:dyDescent="0.25"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4:27" x14ac:dyDescent="0.25"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4:27" x14ac:dyDescent="0.25"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4:27" x14ac:dyDescent="0.25"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4:27" x14ac:dyDescent="0.25"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4:27" x14ac:dyDescent="0.25"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4:27" x14ac:dyDescent="0.25"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4:27" x14ac:dyDescent="0.25"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4:27" x14ac:dyDescent="0.25"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4:27" x14ac:dyDescent="0.25"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4:27" x14ac:dyDescent="0.25"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4:27" x14ac:dyDescent="0.25"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4:27" x14ac:dyDescent="0.25"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4:27" x14ac:dyDescent="0.25"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4:27" x14ac:dyDescent="0.25"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4:27" x14ac:dyDescent="0.25"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4:27" x14ac:dyDescent="0.25"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4:27" x14ac:dyDescent="0.25"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4:27" x14ac:dyDescent="0.25"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4:27" x14ac:dyDescent="0.25"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4:27" x14ac:dyDescent="0.25"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4:27" x14ac:dyDescent="0.25"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4:27" x14ac:dyDescent="0.25"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4:27" x14ac:dyDescent="0.25"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4:27" x14ac:dyDescent="0.25"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4:27" x14ac:dyDescent="0.25"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4:27" x14ac:dyDescent="0.25"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4:27" x14ac:dyDescent="0.25"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4:27" x14ac:dyDescent="0.25"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4:27" x14ac:dyDescent="0.25"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4:27" x14ac:dyDescent="0.25"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4:27" x14ac:dyDescent="0.25"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4:27" x14ac:dyDescent="0.25"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4:27" x14ac:dyDescent="0.25"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4:27" x14ac:dyDescent="0.25"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4:27" x14ac:dyDescent="0.25"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4:27" x14ac:dyDescent="0.25"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4:27" x14ac:dyDescent="0.25"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4:27" x14ac:dyDescent="0.25"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4:27" x14ac:dyDescent="0.25"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4:27" x14ac:dyDescent="0.25"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4:27" x14ac:dyDescent="0.25"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4:27" x14ac:dyDescent="0.25"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4:27" x14ac:dyDescent="0.25"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4:27" x14ac:dyDescent="0.25"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4:27" x14ac:dyDescent="0.25"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4:27" x14ac:dyDescent="0.25"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4:27" x14ac:dyDescent="0.25"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4:27" x14ac:dyDescent="0.25"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4:27" x14ac:dyDescent="0.25"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4:27" x14ac:dyDescent="0.25"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4:27" x14ac:dyDescent="0.25"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793CF-6B37-49CC-9D8C-4C2274C13CEE}">
  <sheetPr codeName="Sheet5">
    <tabColor theme="2"/>
  </sheetPr>
  <dimension ref="A1:Y19"/>
  <sheetViews>
    <sheetView zoomScale="71" zoomScaleNormal="71" workbookViewId="0">
      <selection activeCell="K40" sqref="K40"/>
    </sheetView>
  </sheetViews>
  <sheetFormatPr defaultRowHeight="15" x14ac:dyDescent="0.25"/>
  <cols>
    <col min="1" max="3" width="15.5703125" customWidth="1"/>
    <col min="4" max="4" width="13.42578125" bestFit="1" customWidth="1"/>
    <col min="5" max="5" width="16.140625" customWidth="1"/>
    <col min="6" max="25" width="15.5703125" customWidth="1"/>
  </cols>
  <sheetData>
    <row r="1" spans="1:25" ht="21" x14ac:dyDescent="0.35">
      <c r="A1" s="50" t="s">
        <v>0</v>
      </c>
      <c r="B1" s="41"/>
      <c r="C1" s="53" t="s">
        <v>270</v>
      </c>
      <c r="D1" s="29"/>
      <c r="E1" s="29"/>
      <c r="F1" s="29"/>
      <c r="G1" s="42"/>
      <c r="H1" s="41"/>
      <c r="I1" s="37"/>
      <c r="J1" s="53" t="str">
        <f>$C$1</f>
        <v>CDC Improving Student Health</v>
      </c>
      <c r="K1" s="41"/>
      <c r="L1" s="41"/>
      <c r="M1" s="37"/>
      <c r="N1" s="41"/>
      <c r="O1" s="41"/>
      <c r="P1" s="53" t="str">
        <f>$C$1</f>
        <v>CDC Improving Student Health</v>
      </c>
      <c r="Q1" s="37"/>
      <c r="R1" s="37"/>
      <c r="S1" s="41"/>
      <c r="T1" s="37"/>
      <c r="U1" s="41"/>
      <c r="V1" s="37"/>
      <c r="W1" s="41"/>
      <c r="X1" s="28"/>
      <c r="Y1" s="28"/>
    </row>
    <row r="2" spans="1:25" s="3" customFormat="1" ht="21" x14ac:dyDescent="0.35">
      <c r="A2" s="28" t="s">
        <v>137</v>
      </c>
      <c r="B2" s="38"/>
      <c r="C2" s="50" t="s">
        <v>271</v>
      </c>
      <c r="D2" s="37"/>
      <c r="E2" s="37"/>
      <c r="F2" s="37"/>
      <c r="G2" s="15"/>
      <c r="H2" s="38"/>
      <c r="I2" s="38"/>
      <c r="J2" s="54" t="s">
        <v>413</v>
      </c>
      <c r="K2" s="38"/>
      <c r="L2" s="38"/>
      <c r="M2" s="38"/>
      <c r="N2" s="38"/>
      <c r="O2" s="38"/>
      <c r="P2" s="54" t="s">
        <v>617</v>
      </c>
      <c r="Q2" s="38"/>
      <c r="R2" s="38"/>
      <c r="S2" s="38"/>
      <c r="T2" s="38"/>
      <c r="U2" s="38"/>
      <c r="V2" s="38"/>
      <c r="W2" s="38"/>
      <c r="X2" s="28"/>
      <c r="Y2" s="28"/>
    </row>
    <row r="3" spans="1:25" ht="15.75" x14ac:dyDescent="0.25">
      <c r="A3" s="51" t="s">
        <v>1</v>
      </c>
      <c r="B3" s="41"/>
      <c r="C3" s="54" t="s">
        <v>272</v>
      </c>
      <c r="D3" s="29"/>
      <c r="E3" s="29"/>
      <c r="F3" s="29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42"/>
    </row>
    <row r="4" spans="1:25" ht="15.75" x14ac:dyDescent="0.25">
      <c r="A4" s="51" t="s">
        <v>2</v>
      </c>
      <c r="B4" s="41"/>
      <c r="C4" s="54" t="s">
        <v>617</v>
      </c>
      <c r="D4" s="29"/>
      <c r="E4" s="29"/>
      <c r="F4" s="29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  <c r="Y4" s="42"/>
    </row>
    <row r="5" spans="1:25" ht="15.75" x14ac:dyDescent="0.25">
      <c r="A5" s="51"/>
      <c r="B5" s="41"/>
      <c r="C5" s="51" t="s">
        <v>32</v>
      </c>
      <c r="D5" s="29"/>
      <c r="E5" s="29"/>
      <c r="F5" s="2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0"/>
      <c r="Y5" s="40"/>
    </row>
    <row r="6" spans="1:25" ht="15.75" x14ac:dyDescent="0.25">
      <c r="A6" s="51" t="s">
        <v>18</v>
      </c>
      <c r="B6" s="41"/>
      <c r="C6" s="292" t="s">
        <v>572</v>
      </c>
      <c r="D6" s="29"/>
      <c r="E6" s="29"/>
      <c r="F6" s="2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0"/>
      <c r="Y6" s="40"/>
    </row>
    <row r="7" spans="1:25" ht="24" thickBot="1" x14ac:dyDescent="0.4">
      <c r="A7" s="651"/>
      <c r="B7" s="652"/>
      <c r="C7" s="652"/>
      <c r="D7" s="652"/>
      <c r="E7" s="652"/>
      <c r="F7" s="653"/>
      <c r="G7" s="65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0"/>
      <c r="Y7" s="40"/>
    </row>
    <row r="8" spans="1:25" ht="30.75" thickBot="1" x14ac:dyDescent="0.3">
      <c r="A8" s="11" t="s">
        <v>130</v>
      </c>
      <c r="B8" s="12" t="s">
        <v>124</v>
      </c>
      <c r="C8" s="13" t="s">
        <v>14</v>
      </c>
      <c r="D8" s="12" t="s">
        <v>15</v>
      </c>
      <c r="E8" s="26" t="s">
        <v>16</v>
      </c>
      <c r="F8" s="23" t="s">
        <v>408</v>
      </c>
      <c r="G8" s="24" t="s">
        <v>409</v>
      </c>
      <c r="H8" s="23" t="s">
        <v>410</v>
      </c>
      <c r="I8" s="24" t="s">
        <v>411</v>
      </c>
      <c r="J8" s="23" t="s">
        <v>412</v>
      </c>
      <c r="K8" s="24" t="s">
        <v>416</v>
      </c>
      <c r="L8" s="24" t="s">
        <v>606</v>
      </c>
      <c r="M8" s="24" t="s">
        <v>607</v>
      </c>
      <c r="N8" s="24" t="s">
        <v>608</v>
      </c>
      <c r="O8" s="24" t="s">
        <v>609</v>
      </c>
      <c r="P8" s="24" t="s">
        <v>610</v>
      </c>
      <c r="Q8" s="24" t="s">
        <v>611</v>
      </c>
      <c r="R8" s="23" t="s">
        <v>612</v>
      </c>
      <c r="S8" s="24" t="s">
        <v>613</v>
      </c>
      <c r="T8" s="24" t="s">
        <v>614</v>
      </c>
      <c r="U8" s="24" t="s">
        <v>619</v>
      </c>
      <c r="V8" s="12" t="s">
        <v>144</v>
      </c>
      <c r="W8" s="12" t="s">
        <v>145</v>
      </c>
    </row>
    <row r="9" spans="1:25" s="31" customFormat="1" ht="15.75" thickBot="1" x14ac:dyDescent="0.3">
      <c r="A9" s="76" t="s">
        <v>22</v>
      </c>
      <c r="B9" s="74" t="s">
        <v>273</v>
      </c>
      <c r="C9" s="293">
        <v>17000</v>
      </c>
      <c r="D9" s="293">
        <f t="shared" ref="D9:D14" si="0">SUM(F9:W9)</f>
        <v>11065.39</v>
      </c>
      <c r="E9" s="293">
        <f t="shared" ref="E9:E14" si="1">C9-D9</f>
        <v>5934.6100000000006</v>
      </c>
      <c r="F9" s="104"/>
      <c r="G9" s="95"/>
      <c r="H9" s="95"/>
      <c r="I9" s="95"/>
      <c r="J9" s="362">
        <v>4802.1400000000003</v>
      </c>
      <c r="K9" s="201"/>
      <c r="L9" s="362">
        <v>6263.25</v>
      </c>
      <c r="M9" s="201"/>
      <c r="N9" s="201"/>
      <c r="O9" s="201"/>
      <c r="P9" s="201"/>
      <c r="Q9" s="201"/>
      <c r="R9" s="201"/>
      <c r="S9" s="201"/>
      <c r="T9" s="201"/>
      <c r="U9" s="201"/>
      <c r="V9"/>
      <c r="W9"/>
    </row>
    <row r="10" spans="1:25" s="31" customFormat="1" ht="15.75" thickBot="1" x14ac:dyDescent="0.3">
      <c r="A10" s="76" t="s">
        <v>46</v>
      </c>
      <c r="B10" s="74" t="s">
        <v>94</v>
      </c>
      <c r="C10" s="293">
        <v>17000</v>
      </c>
      <c r="D10" s="293">
        <f t="shared" si="0"/>
        <v>6680.32</v>
      </c>
      <c r="E10" s="293">
        <f t="shared" si="1"/>
        <v>10319.68</v>
      </c>
      <c r="F10" s="61"/>
      <c r="G10" s="61"/>
      <c r="H10" s="61"/>
      <c r="I10" s="61"/>
      <c r="J10" s="362">
        <v>319.87</v>
      </c>
      <c r="K10" s="171"/>
      <c r="L10" s="362">
        <v>2721.98</v>
      </c>
      <c r="M10" s="171">
        <v>3638.47</v>
      </c>
      <c r="N10" s="171"/>
      <c r="O10" s="171"/>
      <c r="P10" s="171"/>
      <c r="Q10" s="171"/>
      <c r="R10" s="171"/>
      <c r="S10" s="171"/>
      <c r="T10" s="171"/>
      <c r="U10" s="171"/>
      <c r="V10"/>
      <c r="W10"/>
    </row>
    <row r="11" spans="1:25" s="31" customFormat="1" ht="30.75" thickBot="1" x14ac:dyDescent="0.3">
      <c r="A11" s="76" t="s">
        <v>33</v>
      </c>
      <c r="B11" s="74" t="s">
        <v>274</v>
      </c>
      <c r="C11" s="293">
        <v>17000</v>
      </c>
      <c r="D11" s="293">
        <f t="shared" si="0"/>
        <v>9023.6200000000008</v>
      </c>
      <c r="E11" s="293">
        <f t="shared" si="1"/>
        <v>7976.3799999999992</v>
      </c>
      <c r="F11" s="61"/>
      <c r="G11" s="61"/>
      <c r="H11" s="61"/>
      <c r="I11" s="61"/>
      <c r="J11" s="171"/>
      <c r="K11" s="171"/>
      <c r="L11" s="362">
        <v>7964.6</v>
      </c>
      <c r="M11" s="171">
        <v>1059.02</v>
      </c>
      <c r="N11" s="171"/>
      <c r="O11" s="171"/>
      <c r="P11" s="171"/>
      <c r="Q11" s="171"/>
      <c r="R11" s="171"/>
      <c r="S11" s="171"/>
      <c r="T11" s="171"/>
      <c r="U11" s="171"/>
      <c r="V11"/>
      <c r="W11"/>
    </row>
    <row r="12" spans="1:25" s="31" customFormat="1" ht="15.75" thickBot="1" x14ac:dyDescent="0.3">
      <c r="A12" s="76" t="s">
        <v>40</v>
      </c>
      <c r="B12" s="74" t="s">
        <v>275</v>
      </c>
      <c r="C12" s="293">
        <v>17000</v>
      </c>
      <c r="D12" s="293">
        <f t="shared" si="0"/>
        <v>0</v>
      </c>
      <c r="E12" s="293">
        <f t="shared" si="1"/>
        <v>17000</v>
      </c>
      <c r="F12" s="61"/>
      <c r="G12" s="61"/>
      <c r="H12" s="61"/>
      <c r="I12" s="6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/>
      <c r="W12"/>
    </row>
    <row r="13" spans="1:25" s="31" customFormat="1" ht="30.75" thickBot="1" x14ac:dyDescent="0.3">
      <c r="A13" s="76" t="s">
        <v>35</v>
      </c>
      <c r="B13" s="74" t="s">
        <v>276</v>
      </c>
      <c r="C13" s="293">
        <v>17000</v>
      </c>
      <c r="D13" s="293">
        <f t="shared" si="0"/>
        <v>0</v>
      </c>
      <c r="E13" s="293">
        <f t="shared" si="1"/>
        <v>17000</v>
      </c>
      <c r="F13" s="61"/>
      <c r="G13" s="61"/>
      <c r="H13" s="61"/>
      <c r="I13" s="6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/>
      <c r="W13"/>
    </row>
    <row r="14" spans="1:25" s="31" customFormat="1" ht="30.75" thickBot="1" x14ac:dyDescent="0.3">
      <c r="A14" s="76" t="s">
        <v>39</v>
      </c>
      <c r="B14" s="74" t="s">
        <v>277</v>
      </c>
      <c r="C14" s="293">
        <v>17000</v>
      </c>
      <c r="D14" s="293">
        <f t="shared" si="0"/>
        <v>0</v>
      </c>
      <c r="E14" s="293">
        <f t="shared" si="1"/>
        <v>17000</v>
      </c>
      <c r="F14" s="61"/>
      <c r="G14" s="61"/>
      <c r="H14" s="61"/>
      <c r="I14" s="6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/>
      <c r="W14"/>
    </row>
    <row r="15" spans="1:25" ht="15.75" thickBot="1" x14ac:dyDescent="0.3">
      <c r="A15" s="128"/>
      <c r="B15" s="129"/>
      <c r="C15" s="131"/>
      <c r="D15" s="131"/>
      <c r="E15" s="131"/>
      <c r="F15" s="61"/>
      <c r="G15" s="61"/>
      <c r="H15" s="61"/>
      <c r="I15" s="6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5" s="14" customFormat="1" ht="15.75" thickBot="1" x14ac:dyDescent="0.3">
      <c r="A16" s="78"/>
      <c r="B16" s="36"/>
      <c r="C16" s="82"/>
      <c r="D16" s="82"/>
      <c r="E16" s="82"/>
      <c r="F16" s="72"/>
      <c r="G16" s="72"/>
      <c r="H16" s="72"/>
      <c r="I16" s="7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72"/>
      <c r="W16" s="72"/>
    </row>
    <row r="17" spans="1:25" x14ac:dyDescent="0.25">
      <c r="A17" s="2"/>
      <c r="C17" s="2"/>
      <c r="E17" s="16"/>
      <c r="F17" s="16"/>
      <c r="G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X17" s="16"/>
      <c r="Y17" s="16"/>
    </row>
    <row r="18" spans="1:25" x14ac:dyDescent="0.25">
      <c r="A18" s="2"/>
      <c r="C18" s="16"/>
      <c r="D18" s="16"/>
      <c r="E18" s="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X18" s="16"/>
      <c r="Y18" s="16"/>
    </row>
    <row r="19" spans="1:25" x14ac:dyDescent="0.25">
      <c r="A19" s="2"/>
      <c r="C19" s="16"/>
      <c r="D19" s="16"/>
      <c r="E19" s="16"/>
      <c r="Q19" s="16"/>
      <c r="X19" s="16"/>
      <c r="Y19" s="16"/>
    </row>
  </sheetData>
  <sheetProtection algorithmName="SHA-512" hashValue="7GCpQ0RKkymVU7XSog0iFc/p5LVUDc3OnQ0lHA/mdECMveFjBoXz1lvG8hIZE8trQZ8CKF0x3JtyLZOyicVUzw==" saltValue="l91eKe9SJEdQb/003YBrvg==" spinCount="100000" sheet="1" objects="1" scenarios="1"/>
  <mergeCells count="1">
    <mergeCell ref="A7:G7"/>
  </mergeCells>
  <hyperlinks>
    <hyperlink ref="C6" r:id="rId1" xr:uid="{21C2798D-F3AC-4C32-8A42-15C258C6BD11}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7">
    <tabColor theme="2"/>
  </sheetPr>
  <dimension ref="A1:AB46"/>
  <sheetViews>
    <sheetView workbookViewId="0">
      <pane xSplit="5" ySplit="8" topLeftCell="F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21" sqref="F21"/>
    </sheetView>
  </sheetViews>
  <sheetFormatPr defaultColWidth="8.5703125" defaultRowHeight="15" x14ac:dyDescent="0.25"/>
  <cols>
    <col min="1" max="1" width="9.5703125" customWidth="1"/>
    <col min="2" max="2" width="30.42578125" customWidth="1"/>
    <col min="3" max="5" width="14.5703125" customWidth="1"/>
    <col min="6" max="26" width="12.5703125" customWidth="1"/>
    <col min="27" max="28" width="21.42578125" customWidth="1"/>
  </cols>
  <sheetData>
    <row r="1" spans="1:28" ht="21" x14ac:dyDescent="0.35">
      <c r="A1" s="28" t="s">
        <v>0</v>
      </c>
      <c r="B1" s="41"/>
      <c r="C1" s="37" t="s">
        <v>147</v>
      </c>
      <c r="D1" s="28"/>
      <c r="E1" s="38"/>
      <c r="F1" s="37"/>
      <c r="G1" s="37"/>
      <c r="H1" s="37"/>
      <c r="I1" s="28"/>
      <c r="J1" s="28"/>
      <c r="K1" s="38"/>
      <c r="L1" s="28" t="str">
        <f>$C$1</f>
        <v>Deaf and Blind Centers</v>
      </c>
      <c r="M1" s="42"/>
      <c r="N1" s="42"/>
      <c r="O1" s="37"/>
      <c r="P1" s="37"/>
      <c r="Q1" s="28"/>
      <c r="R1" s="28" t="str">
        <f>$C$1</f>
        <v>Deaf and Blind Centers</v>
      </c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1" x14ac:dyDescent="0.35">
      <c r="A2" s="28" t="s">
        <v>137</v>
      </c>
      <c r="B2" s="38"/>
      <c r="C2" s="28" t="s">
        <v>148</v>
      </c>
      <c r="D2" s="29"/>
      <c r="E2" s="9"/>
      <c r="F2" s="9"/>
      <c r="G2" s="9"/>
      <c r="H2" s="9"/>
      <c r="I2" s="40"/>
      <c r="J2" s="40"/>
      <c r="K2" s="40"/>
      <c r="L2" s="109" t="str">
        <f>"FY"&amp;$C$4</f>
        <v>FY</v>
      </c>
      <c r="M2" s="40"/>
      <c r="N2" s="40"/>
      <c r="O2" s="40"/>
      <c r="P2" s="40"/>
      <c r="Q2" s="40"/>
      <c r="R2" s="109" t="str">
        <f>"FY"&amp;$C$4</f>
        <v>FY</v>
      </c>
      <c r="S2" s="40"/>
      <c r="T2" s="40"/>
      <c r="U2" s="40"/>
      <c r="V2" s="40"/>
      <c r="W2" s="40"/>
      <c r="X2" s="40"/>
      <c r="Y2" s="40"/>
      <c r="Z2" s="40"/>
      <c r="AA2" s="28"/>
      <c r="AB2" s="28"/>
    </row>
    <row r="3" spans="1:28" ht="15.75" x14ac:dyDescent="0.25">
      <c r="A3" s="29" t="s">
        <v>1</v>
      </c>
      <c r="B3" s="41"/>
      <c r="C3" s="39">
        <v>5326</v>
      </c>
      <c r="D3" s="29"/>
      <c r="E3" s="18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15.75" x14ac:dyDescent="0.25">
      <c r="A4" s="29" t="s">
        <v>2</v>
      </c>
      <c r="B4" s="41"/>
      <c r="C4" s="39"/>
      <c r="D4" s="29"/>
      <c r="E4" s="1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15.75" x14ac:dyDescent="0.25">
      <c r="A5" s="29" t="s">
        <v>17</v>
      </c>
      <c r="B5" s="41"/>
      <c r="C5" s="51" t="s">
        <v>315</v>
      </c>
      <c r="D5" s="29"/>
      <c r="E5" s="9"/>
      <c r="F5" s="9"/>
      <c r="G5" s="9"/>
      <c r="H5" s="9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15.75" x14ac:dyDescent="0.25">
      <c r="A6" s="29" t="s">
        <v>18</v>
      </c>
      <c r="B6" s="41"/>
      <c r="C6" s="54" t="s">
        <v>316</v>
      </c>
      <c r="D6" s="29"/>
      <c r="E6" s="9"/>
      <c r="F6" s="9"/>
      <c r="G6" s="9"/>
      <c r="H6" s="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16.5" thickBot="1" x14ac:dyDescent="0.3">
      <c r="A7" s="29"/>
      <c r="B7" s="41"/>
      <c r="C7" s="29"/>
      <c r="D7" s="29"/>
      <c r="E7" s="9"/>
      <c r="F7" s="9"/>
      <c r="G7" s="9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30.75" thickBot="1" x14ac:dyDescent="0.3">
      <c r="A8" s="105" t="s">
        <v>130</v>
      </c>
      <c r="B8" s="12" t="s">
        <v>124</v>
      </c>
      <c r="C8" s="12" t="s">
        <v>14</v>
      </c>
      <c r="D8" s="13" t="s">
        <v>15</v>
      </c>
      <c r="E8" s="26" t="s">
        <v>16</v>
      </c>
      <c r="F8" s="23" t="s">
        <v>118</v>
      </c>
      <c r="G8" s="24" t="s">
        <v>119</v>
      </c>
      <c r="H8" s="23" t="s">
        <v>120</v>
      </c>
      <c r="I8" s="24" t="s">
        <v>150</v>
      </c>
      <c r="J8" s="23" t="s">
        <v>151</v>
      </c>
      <c r="K8" s="24" t="s">
        <v>122</v>
      </c>
      <c r="L8" s="24" t="s">
        <v>196</v>
      </c>
      <c r="M8" s="24" t="s">
        <v>197</v>
      </c>
      <c r="N8" s="24" t="s">
        <v>198</v>
      </c>
      <c r="O8" s="24" t="s">
        <v>199</v>
      </c>
      <c r="P8" s="24" t="s">
        <v>200</v>
      </c>
      <c r="Q8" s="24" t="s">
        <v>312</v>
      </c>
      <c r="R8" s="23" t="s">
        <v>202</v>
      </c>
      <c r="S8" s="24" t="s">
        <v>203</v>
      </c>
      <c r="T8" s="24" t="s">
        <v>204</v>
      </c>
      <c r="U8" s="24" t="s">
        <v>313</v>
      </c>
      <c r="V8" s="23" t="s">
        <v>314</v>
      </c>
      <c r="W8" s="24" t="s">
        <v>122</v>
      </c>
      <c r="X8" s="12" t="s">
        <v>144</v>
      </c>
      <c r="Y8" s="24" t="s">
        <v>119</v>
      </c>
      <c r="Z8" s="24" t="s">
        <v>120</v>
      </c>
      <c r="AA8" s="12" t="s">
        <v>144</v>
      </c>
      <c r="AB8" s="12" t="s">
        <v>145</v>
      </c>
    </row>
    <row r="9" spans="1:28" ht="15.75" thickBot="1" x14ac:dyDescent="0.3">
      <c r="A9" s="85"/>
      <c r="B9" s="86"/>
      <c r="C9" s="87"/>
      <c r="D9" s="87">
        <f>SUM(F9:AA9)</f>
        <v>0</v>
      </c>
      <c r="E9" s="87">
        <f>C9-D9</f>
        <v>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8" ht="15.75" thickBot="1" x14ac:dyDescent="0.3">
      <c r="A10" s="57"/>
      <c r="B10" s="102"/>
      <c r="C10" s="87"/>
      <c r="D10" s="87">
        <f>SUM(F10:AA10)</f>
        <v>0</v>
      </c>
      <c r="E10" s="87">
        <f>C10-D10</f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8" ht="15.75" thickBot="1" x14ac:dyDescent="0.3">
      <c r="A11" s="103"/>
      <c r="B11" s="102"/>
      <c r="C11" s="87"/>
      <c r="D11" s="87">
        <f>SUM(F11:AA11)</f>
        <v>0</v>
      </c>
      <c r="E11" s="87">
        <f>C11-D11</f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8" ht="15.75" thickBot="1" x14ac:dyDescent="0.3">
      <c r="A12" s="57"/>
      <c r="B12" s="102"/>
      <c r="C12" s="89"/>
      <c r="D12" s="87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 t="s">
        <v>32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62"/>
      <c r="AB12" s="62"/>
    </row>
    <row r="13" spans="1:28" s="14" customFormat="1" ht="15.75" thickBot="1" x14ac:dyDescent="0.3">
      <c r="A13" s="59" t="s">
        <v>44</v>
      </c>
      <c r="B13" s="35"/>
      <c r="C13" s="60">
        <f t="shared" ref="C13:AB13" si="0">SUM(C9:C11)</f>
        <v>0</v>
      </c>
      <c r="D13" s="60">
        <f t="shared" si="0"/>
        <v>0</v>
      </c>
      <c r="E13" s="60">
        <f t="shared" si="0"/>
        <v>0</v>
      </c>
      <c r="F13" s="60">
        <f t="shared" si="0"/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  <c r="R13" s="60">
        <f t="shared" si="0"/>
        <v>0</v>
      </c>
      <c r="S13" s="60">
        <f t="shared" si="0"/>
        <v>0</v>
      </c>
      <c r="T13" s="60">
        <f t="shared" si="0"/>
        <v>0</v>
      </c>
      <c r="U13" s="60">
        <f t="shared" si="0"/>
        <v>0</v>
      </c>
      <c r="V13" s="60">
        <f t="shared" si="0"/>
        <v>0</v>
      </c>
      <c r="W13" s="60">
        <f t="shared" si="0"/>
        <v>0</v>
      </c>
      <c r="X13" s="60">
        <f t="shared" si="0"/>
        <v>0</v>
      </c>
      <c r="Y13" s="60">
        <f t="shared" si="0"/>
        <v>0</v>
      </c>
      <c r="Z13" s="60">
        <f t="shared" si="0"/>
        <v>0</v>
      </c>
      <c r="AA13" s="60">
        <f t="shared" si="0"/>
        <v>0</v>
      </c>
      <c r="AB13" s="60">
        <f t="shared" si="0"/>
        <v>0</v>
      </c>
    </row>
    <row r="16" spans="1:28" x14ac:dyDescent="0.25">
      <c r="AA16" s="62"/>
      <c r="AB16" s="62"/>
    </row>
    <row r="18" spans="27:28" x14ac:dyDescent="0.25">
      <c r="AA18" s="62"/>
      <c r="AB18" s="62"/>
    </row>
    <row r="22" spans="27:28" x14ac:dyDescent="0.25">
      <c r="AA22" s="62"/>
      <c r="AB22" s="62"/>
    </row>
    <row r="23" spans="27:28" x14ac:dyDescent="0.25">
      <c r="AA23" s="62"/>
      <c r="AB23" s="62"/>
    </row>
    <row r="29" spans="27:28" x14ac:dyDescent="0.25">
      <c r="AA29" s="62"/>
      <c r="AB29" s="62"/>
    </row>
    <row r="33" spans="27:28" x14ac:dyDescent="0.25">
      <c r="AA33" s="16"/>
      <c r="AB33" s="16"/>
    </row>
    <row r="34" spans="27:28" x14ac:dyDescent="0.25">
      <c r="AA34" s="16"/>
      <c r="AB34" s="16"/>
    </row>
    <row r="35" spans="27:28" x14ac:dyDescent="0.25">
      <c r="AA35" s="16"/>
      <c r="AB35" s="16"/>
    </row>
    <row r="36" spans="27:28" x14ac:dyDescent="0.25">
      <c r="AA36" s="16"/>
      <c r="AB36" s="16"/>
    </row>
    <row r="37" spans="27:28" x14ac:dyDescent="0.25">
      <c r="AA37" s="16"/>
      <c r="AB37" s="16"/>
    </row>
    <row r="38" spans="27:28" x14ac:dyDescent="0.25">
      <c r="AA38" s="16"/>
      <c r="AB38" s="16"/>
    </row>
    <row r="39" spans="27:28" x14ac:dyDescent="0.25">
      <c r="AA39" s="16"/>
      <c r="AB39" s="16"/>
    </row>
    <row r="40" spans="27:28" x14ac:dyDescent="0.25">
      <c r="AA40" s="16"/>
      <c r="AB40" s="16"/>
    </row>
    <row r="41" spans="27:28" x14ac:dyDescent="0.25">
      <c r="AA41" s="16"/>
      <c r="AB41" s="16"/>
    </row>
    <row r="42" spans="27:28" x14ac:dyDescent="0.25">
      <c r="AA42" s="16"/>
      <c r="AB42" s="16"/>
    </row>
    <row r="43" spans="27:28" x14ac:dyDescent="0.25">
      <c r="AA43" s="16"/>
      <c r="AB43" s="16"/>
    </row>
    <row r="44" spans="27:28" x14ac:dyDescent="0.25">
      <c r="AA44" s="16"/>
      <c r="AB44" s="16"/>
    </row>
    <row r="45" spans="27:28" x14ac:dyDescent="0.25">
      <c r="AA45" s="16"/>
      <c r="AB45" s="16"/>
    </row>
    <row r="46" spans="27:28" x14ac:dyDescent="0.25">
      <c r="AA46" s="16"/>
      <c r="AB46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>
    <tabColor theme="2"/>
  </sheetPr>
  <dimension ref="A1:AB4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8.5703125" defaultRowHeight="15" x14ac:dyDescent="0.25"/>
  <cols>
    <col min="1" max="1" width="8.5703125" style="2"/>
    <col min="2" max="2" width="36.42578125" customWidth="1"/>
    <col min="3" max="3" width="11.42578125" style="2" customWidth="1"/>
    <col min="4" max="4" width="30.5703125" customWidth="1"/>
    <col min="5" max="7" width="14.5703125" customWidth="1"/>
    <col min="8" max="26" width="15.5703125" customWidth="1"/>
    <col min="27" max="28" width="21.42578125" customWidth="1"/>
  </cols>
  <sheetData>
    <row r="1" spans="1:28" ht="21" x14ac:dyDescent="0.35">
      <c r="A1" s="50" t="s">
        <v>0</v>
      </c>
      <c r="B1" s="41"/>
      <c r="C1" s="53" t="s">
        <v>178</v>
      </c>
      <c r="D1" s="29"/>
      <c r="E1" s="29"/>
      <c r="F1" s="29"/>
      <c r="G1" s="42"/>
      <c r="H1" s="41"/>
      <c r="I1" s="37"/>
      <c r="J1" s="53" t="str">
        <f>$C$1</f>
        <v>High Flyers</v>
      </c>
      <c r="K1" s="41"/>
      <c r="L1" s="41"/>
      <c r="M1" s="37"/>
      <c r="N1" s="41"/>
      <c r="O1" s="41"/>
      <c r="P1" s="53" t="str">
        <f>$C$1</f>
        <v>High Flyers</v>
      </c>
      <c r="Q1" s="37"/>
      <c r="R1" s="37"/>
      <c r="S1" s="41"/>
      <c r="T1" s="37"/>
      <c r="U1" s="41"/>
      <c r="V1" s="41"/>
      <c r="W1" s="53" t="str">
        <f>$C$1</f>
        <v>High Flyers</v>
      </c>
      <c r="X1" s="41"/>
      <c r="Y1" s="37"/>
      <c r="Z1" s="41"/>
      <c r="AA1" s="28"/>
      <c r="AB1" s="28"/>
    </row>
    <row r="2" spans="1:28" s="3" customFormat="1" ht="21" x14ac:dyDescent="0.35">
      <c r="A2" s="28" t="s">
        <v>137</v>
      </c>
      <c r="B2" s="38"/>
      <c r="C2" s="50" t="s">
        <v>179</v>
      </c>
      <c r="D2" s="37"/>
      <c r="E2" s="37"/>
      <c r="F2" s="37"/>
      <c r="G2" s="15"/>
      <c r="H2" s="38"/>
      <c r="I2" s="38"/>
      <c r="J2" s="29" t="str">
        <f>"FY"&amp;$C$4</f>
        <v>FY2018-19</v>
      </c>
      <c r="K2" s="38"/>
      <c r="L2" s="38"/>
      <c r="M2" s="38"/>
      <c r="N2" s="38"/>
      <c r="O2" s="38"/>
      <c r="P2" s="29" t="str">
        <f>"FY"&amp;$C$4</f>
        <v>FY2018-19</v>
      </c>
      <c r="Q2" s="38"/>
      <c r="R2" s="38"/>
      <c r="S2" s="38"/>
      <c r="T2" s="38"/>
      <c r="U2" s="38"/>
      <c r="V2" s="38"/>
      <c r="W2" s="29" t="str">
        <f>"FY"&amp;$C$4</f>
        <v>FY2018-19</v>
      </c>
      <c r="X2" s="38"/>
      <c r="Y2" s="38"/>
      <c r="Z2" s="38"/>
      <c r="AA2" s="28"/>
      <c r="AB2" s="28"/>
    </row>
    <row r="3" spans="1:28" ht="15.75" x14ac:dyDescent="0.25">
      <c r="A3" s="51" t="s">
        <v>1</v>
      </c>
      <c r="B3" s="41"/>
      <c r="C3" s="54" t="s">
        <v>180</v>
      </c>
      <c r="D3" s="29"/>
      <c r="E3" s="29"/>
      <c r="F3" s="29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</row>
    <row r="4" spans="1:28" ht="15.75" x14ac:dyDescent="0.25">
      <c r="A4" s="51" t="s">
        <v>2</v>
      </c>
      <c r="B4" s="41"/>
      <c r="C4" s="54" t="s">
        <v>149</v>
      </c>
      <c r="D4" s="29"/>
      <c r="E4" s="29"/>
      <c r="F4" s="29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42"/>
    </row>
    <row r="5" spans="1:28" ht="15.75" x14ac:dyDescent="0.25">
      <c r="A5" s="51" t="s">
        <v>17</v>
      </c>
      <c r="B5" s="41"/>
      <c r="C5" s="51" t="s">
        <v>315</v>
      </c>
      <c r="D5" s="29"/>
      <c r="E5" s="29"/>
      <c r="F5" s="2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0"/>
      <c r="AB5" s="40"/>
    </row>
    <row r="6" spans="1:28" ht="15.75" x14ac:dyDescent="0.25">
      <c r="A6" s="51" t="s">
        <v>18</v>
      </c>
      <c r="B6" s="41"/>
      <c r="C6" s="54" t="s">
        <v>316</v>
      </c>
      <c r="D6" s="29"/>
      <c r="E6" s="29"/>
      <c r="F6" s="2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0"/>
      <c r="AB6" s="40"/>
    </row>
    <row r="7" spans="1:28" ht="24" thickBot="1" x14ac:dyDescent="0.4">
      <c r="A7" s="651"/>
      <c r="B7" s="652"/>
      <c r="C7" s="652"/>
      <c r="D7" s="652"/>
      <c r="E7" s="652"/>
      <c r="F7" s="653"/>
      <c r="G7" s="65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0"/>
      <c r="AB7" s="40"/>
    </row>
    <row r="8" spans="1:28" ht="30.75" thickBot="1" x14ac:dyDescent="0.3">
      <c r="A8" s="11" t="s">
        <v>130</v>
      </c>
      <c r="B8" s="12" t="s">
        <v>124</v>
      </c>
      <c r="C8" s="11" t="s">
        <v>135</v>
      </c>
      <c r="D8" s="12" t="s">
        <v>41</v>
      </c>
      <c r="E8" s="13" t="s">
        <v>14</v>
      </c>
      <c r="F8" s="12" t="s">
        <v>15</v>
      </c>
      <c r="G8" s="26" t="s">
        <v>16</v>
      </c>
      <c r="H8" s="23" t="s">
        <v>118</v>
      </c>
      <c r="I8" s="24" t="s">
        <v>119</v>
      </c>
      <c r="J8" s="23" t="s">
        <v>120</v>
      </c>
      <c r="K8" s="24" t="s">
        <v>150</v>
      </c>
      <c r="L8" s="23" t="s">
        <v>151</v>
      </c>
      <c r="M8" s="24" t="s">
        <v>122</v>
      </c>
      <c r="N8" s="24" t="s">
        <v>196</v>
      </c>
      <c r="O8" s="24" t="s">
        <v>197</v>
      </c>
      <c r="P8" s="24" t="s">
        <v>198</v>
      </c>
      <c r="Q8" s="24" t="s">
        <v>199</v>
      </c>
      <c r="R8" s="24" t="s">
        <v>200</v>
      </c>
      <c r="S8" s="24" t="s">
        <v>312</v>
      </c>
      <c r="T8" s="23" t="s">
        <v>202</v>
      </c>
      <c r="U8" s="24" t="s">
        <v>203</v>
      </c>
      <c r="V8" s="24" t="s">
        <v>204</v>
      </c>
      <c r="W8" s="24" t="s">
        <v>313</v>
      </c>
      <c r="X8" s="23" t="s">
        <v>314</v>
      </c>
      <c r="Y8" s="24" t="s">
        <v>122</v>
      </c>
      <c r="Z8" s="12" t="s">
        <v>144</v>
      </c>
      <c r="AA8" s="12" t="s">
        <v>144</v>
      </c>
      <c r="AB8" s="12" t="s">
        <v>145</v>
      </c>
    </row>
    <row r="9" spans="1:28" s="31" customFormat="1" ht="15.75" thickBot="1" x14ac:dyDescent="0.3">
      <c r="A9" s="76" t="s">
        <v>49</v>
      </c>
      <c r="B9" s="74" t="s">
        <v>26</v>
      </c>
      <c r="C9" s="73" t="s">
        <v>187</v>
      </c>
      <c r="D9" s="74" t="s">
        <v>189</v>
      </c>
      <c r="E9" s="68">
        <v>20000</v>
      </c>
      <c r="F9" s="68">
        <f t="shared" ref="F9:F14" si="0">SUM(H9:AB9)</f>
        <v>20000</v>
      </c>
      <c r="G9" s="68">
        <f t="shared" ref="G9:G14" si="1">E9-F9</f>
        <v>0</v>
      </c>
      <c r="H9" s="104"/>
      <c r="I9" s="95"/>
      <c r="J9" s="95"/>
      <c r="K9" s="95">
        <v>20000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/>
      <c r="AB9"/>
    </row>
    <row r="10" spans="1:28" s="31" customFormat="1" ht="15.75" thickBot="1" x14ac:dyDescent="0.3">
      <c r="A10" s="76" t="s">
        <v>49</v>
      </c>
      <c r="B10" s="74" t="s">
        <v>26</v>
      </c>
      <c r="C10" s="77" t="s">
        <v>188</v>
      </c>
      <c r="D10" s="74" t="s">
        <v>190</v>
      </c>
      <c r="E10" s="68">
        <v>20000</v>
      </c>
      <c r="F10" s="68">
        <f t="shared" si="0"/>
        <v>20000</v>
      </c>
      <c r="G10" s="68">
        <f t="shared" si="1"/>
        <v>0</v>
      </c>
      <c r="H10" s="61"/>
      <c r="I10" s="61"/>
      <c r="J10" s="61"/>
      <c r="K10" s="95">
        <v>20000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/>
      <c r="AB10"/>
    </row>
    <row r="11" spans="1:28" s="31" customFormat="1" ht="15.75" thickBot="1" x14ac:dyDescent="0.3">
      <c r="A11" s="76" t="s">
        <v>181</v>
      </c>
      <c r="B11" s="74" t="s">
        <v>184</v>
      </c>
      <c r="C11" s="77"/>
      <c r="D11" s="74" t="s">
        <v>191</v>
      </c>
      <c r="E11" s="68">
        <v>10000</v>
      </c>
      <c r="F11" s="68">
        <f t="shared" si="0"/>
        <v>10000</v>
      </c>
      <c r="G11" s="68">
        <f t="shared" si="1"/>
        <v>0</v>
      </c>
      <c r="H11" s="61"/>
      <c r="I11" s="61"/>
      <c r="J11" s="61"/>
      <c r="K11" s="61">
        <v>10000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/>
      <c r="AB11"/>
    </row>
    <row r="12" spans="1:28" s="31" customFormat="1" ht="15.75" thickBot="1" x14ac:dyDescent="0.3">
      <c r="A12" s="76" t="s">
        <v>51</v>
      </c>
      <c r="B12" s="74" t="s">
        <v>53</v>
      </c>
      <c r="C12" s="77"/>
      <c r="D12" s="74" t="s">
        <v>192</v>
      </c>
      <c r="E12" s="68">
        <v>10000</v>
      </c>
      <c r="F12" s="68">
        <f t="shared" si="0"/>
        <v>10000</v>
      </c>
      <c r="G12" s="68">
        <f t="shared" si="1"/>
        <v>0</v>
      </c>
      <c r="H12" s="61"/>
      <c r="I12" s="61"/>
      <c r="J12" s="61"/>
      <c r="K12" s="61">
        <v>10000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/>
      <c r="AB12"/>
    </row>
    <row r="13" spans="1:28" s="31" customFormat="1" ht="15.75" thickBot="1" x14ac:dyDescent="0.3">
      <c r="A13" s="76" t="s">
        <v>182</v>
      </c>
      <c r="B13" s="74" t="s">
        <v>185</v>
      </c>
      <c r="C13" s="77"/>
      <c r="D13" s="74" t="s">
        <v>193</v>
      </c>
      <c r="E13" s="68">
        <v>20000</v>
      </c>
      <c r="F13" s="68">
        <f t="shared" si="0"/>
        <v>20000</v>
      </c>
      <c r="G13" s="68">
        <f t="shared" si="1"/>
        <v>0</v>
      </c>
      <c r="H13" s="61"/>
      <c r="I13" s="61"/>
      <c r="J13" s="61"/>
      <c r="K13" s="61">
        <v>20000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/>
      <c r="AB13"/>
    </row>
    <row r="14" spans="1:28" s="31" customFormat="1" ht="15.75" thickBot="1" x14ac:dyDescent="0.3">
      <c r="A14" s="76" t="s">
        <v>183</v>
      </c>
      <c r="B14" s="74" t="s">
        <v>186</v>
      </c>
      <c r="C14" s="77"/>
      <c r="D14" s="74" t="s">
        <v>194</v>
      </c>
      <c r="E14" s="68">
        <v>20000</v>
      </c>
      <c r="F14" s="68">
        <f t="shared" si="0"/>
        <v>20000</v>
      </c>
      <c r="G14" s="68">
        <f t="shared" si="1"/>
        <v>0</v>
      </c>
      <c r="H14" s="61"/>
      <c r="I14" s="61"/>
      <c r="J14" s="61"/>
      <c r="K14" s="61">
        <v>20000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/>
      <c r="AB14"/>
    </row>
    <row r="15" spans="1:28" ht="15.75" thickBot="1" x14ac:dyDescent="0.3">
      <c r="A15" s="128"/>
      <c r="B15" s="129"/>
      <c r="C15" s="130"/>
      <c r="D15" s="129"/>
      <c r="E15" s="131"/>
      <c r="F15" s="131"/>
      <c r="G15" s="13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8" s="14" customFormat="1" ht="15.75" thickBot="1" x14ac:dyDescent="0.3">
      <c r="A16" s="78" t="s">
        <v>44</v>
      </c>
      <c r="B16" s="36"/>
      <c r="C16" s="52"/>
      <c r="D16" s="36"/>
      <c r="E16" s="72">
        <f>SUM(E9:E15)</f>
        <v>100000</v>
      </c>
      <c r="F16" s="72">
        <f>SUM(F9:F15)</f>
        <v>100000</v>
      </c>
      <c r="G16" s="72">
        <f>SUM(G9:G15)</f>
        <v>0</v>
      </c>
      <c r="H16" s="72">
        <f>SUM(H9:H14)</f>
        <v>0</v>
      </c>
      <c r="I16" s="72">
        <f>SUM(I9:I14)</f>
        <v>0</v>
      </c>
      <c r="J16" s="72">
        <f>SUM(J9:J14)</f>
        <v>0</v>
      </c>
      <c r="K16" s="72">
        <f t="shared" ref="K16:AB16" si="2">SUM(K9:K15)</f>
        <v>100000</v>
      </c>
      <c r="L16" s="72">
        <f t="shared" si="2"/>
        <v>0</v>
      </c>
      <c r="M16" s="72">
        <f t="shared" si="2"/>
        <v>0</v>
      </c>
      <c r="N16" s="72">
        <f t="shared" si="2"/>
        <v>0</v>
      </c>
      <c r="O16" s="72">
        <f t="shared" si="2"/>
        <v>0</v>
      </c>
      <c r="P16" s="72">
        <f t="shared" si="2"/>
        <v>0</v>
      </c>
      <c r="Q16" s="72">
        <f t="shared" si="2"/>
        <v>0</v>
      </c>
      <c r="R16" s="72">
        <f t="shared" si="2"/>
        <v>0</v>
      </c>
      <c r="S16" s="72">
        <f t="shared" si="2"/>
        <v>0</v>
      </c>
      <c r="T16" s="72">
        <f t="shared" si="2"/>
        <v>0</v>
      </c>
      <c r="U16" s="72">
        <f t="shared" si="2"/>
        <v>0</v>
      </c>
      <c r="V16" s="72">
        <f t="shared" si="2"/>
        <v>0</v>
      </c>
      <c r="W16" s="72">
        <f t="shared" si="2"/>
        <v>0</v>
      </c>
      <c r="X16" s="72">
        <f t="shared" si="2"/>
        <v>0</v>
      </c>
      <c r="Y16" s="72">
        <f t="shared" si="2"/>
        <v>0</v>
      </c>
      <c r="Z16" s="72">
        <f t="shared" si="2"/>
        <v>0</v>
      </c>
      <c r="AA16" s="72">
        <f t="shared" si="2"/>
        <v>0</v>
      </c>
      <c r="AB16" s="72">
        <f t="shared" si="2"/>
        <v>0</v>
      </c>
    </row>
    <row r="17" spans="3:28" x14ac:dyDescent="0.25">
      <c r="E17" s="16"/>
      <c r="F17" s="16"/>
      <c r="G17" s="16"/>
      <c r="AA17" s="16"/>
      <c r="AB17" s="16"/>
    </row>
    <row r="18" spans="3:28" x14ac:dyDescent="0.25">
      <c r="C18" s="16"/>
      <c r="D18" s="16"/>
      <c r="E18" s="16"/>
      <c r="L18" s="16"/>
      <c r="Q18" s="16"/>
      <c r="R18" s="16"/>
      <c r="X18" s="16"/>
      <c r="AA18" s="16"/>
      <c r="AB18" s="16"/>
    </row>
    <row r="19" spans="3:28" x14ac:dyDescent="0.25">
      <c r="C19" s="16"/>
      <c r="D19" s="16"/>
      <c r="E19" s="16"/>
      <c r="Q19" s="16"/>
      <c r="AA19" s="16"/>
      <c r="AB19" s="16"/>
    </row>
    <row r="20" spans="3:28" x14ac:dyDescent="0.25">
      <c r="C20" s="16"/>
      <c r="D20" s="16"/>
      <c r="E20" s="16"/>
      <c r="AA20" s="16"/>
      <c r="AB20" s="16"/>
    </row>
    <row r="21" spans="3:28" x14ac:dyDescent="0.25">
      <c r="C21" s="16"/>
      <c r="D21" s="16"/>
      <c r="E21" s="16"/>
      <c r="AA21" s="16"/>
      <c r="AB21" s="16"/>
    </row>
    <row r="22" spans="3:28" x14ac:dyDescent="0.25">
      <c r="C22" s="16"/>
      <c r="D22" s="16"/>
      <c r="E22" s="16"/>
      <c r="AA22" s="16"/>
      <c r="AB22" s="16"/>
    </row>
    <row r="23" spans="3:28" x14ac:dyDescent="0.25">
      <c r="C23" s="16"/>
      <c r="D23" s="16"/>
      <c r="E23" s="16"/>
      <c r="AA23" s="16"/>
      <c r="AB23" s="16"/>
    </row>
    <row r="24" spans="3:28" x14ac:dyDescent="0.25">
      <c r="C24" s="16"/>
      <c r="D24" s="16"/>
      <c r="E24" s="16"/>
      <c r="AA24" s="16"/>
      <c r="AB24" s="16"/>
    </row>
    <row r="25" spans="3:28" x14ac:dyDescent="0.25">
      <c r="C25" s="16"/>
      <c r="D25" s="16"/>
      <c r="E25" s="16"/>
      <c r="AA25" s="16"/>
      <c r="AB25" s="16"/>
    </row>
    <row r="26" spans="3:28" x14ac:dyDescent="0.25">
      <c r="C26" s="16"/>
      <c r="D26" s="16"/>
      <c r="E26" s="16"/>
      <c r="AA26" s="16"/>
      <c r="AB26" s="16"/>
    </row>
    <row r="27" spans="3:28" x14ac:dyDescent="0.25">
      <c r="C27" s="16"/>
      <c r="D27" s="16"/>
      <c r="E27" s="16"/>
      <c r="AA27" s="16"/>
      <c r="AB27" s="16"/>
    </row>
    <row r="28" spans="3:28" x14ac:dyDescent="0.25">
      <c r="C28" s="16"/>
      <c r="D28" s="16"/>
      <c r="E28" s="16"/>
      <c r="AA28" s="16"/>
      <c r="AB28" s="16"/>
    </row>
    <row r="29" spans="3:28" x14ac:dyDescent="0.25">
      <c r="C29" s="16"/>
      <c r="D29" s="16"/>
      <c r="E29" s="16"/>
      <c r="AA29" s="16"/>
      <c r="AB29" s="16"/>
    </row>
    <row r="30" spans="3:28" x14ac:dyDescent="0.25">
      <c r="C30" s="16"/>
      <c r="D30" s="16"/>
      <c r="E30" s="16"/>
    </row>
    <row r="31" spans="3:28" x14ac:dyDescent="0.25">
      <c r="C31" s="16"/>
      <c r="D31" s="16"/>
      <c r="E31" s="16"/>
    </row>
    <row r="32" spans="3:28" x14ac:dyDescent="0.25">
      <c r="C32" s="16"/>
      <c r="D32" s="16"/>
      <c r="E32" s="16"/>
    </row>
    <row r="33" spans="3:7" x14ac:dyDescent="0.25">
      <c r="C33" s="16"/>
      <c r="D33" s="16"/>
      <c r="E33" s="16"/>
    </row>
    <row r="34" spans="3:7" x14ac:dyDescent="0.25">
      <c r="E34" s="16"/>
      <c r="F34" s="16"/>
      <c r="G34" s="16"/>
    </row>
    <row r="35" spans="3:7" x14ac:dyDescent="0.25">
      <c r="E35" s="16"/>
      <c r="F35" s="16"/>
      <c r="G35" s="16"/>
    </row>
    <row r="36" spans="3:7" x14ac:dyDescent="0.25">
      <c r="E36" s="16"/>
      <c r="F36" s="16"/>
      <c r="G36" s="16"/>
    </row>
    <row r="37" spans="3:7" x14ac:dyDescent="0.25">
      <c r="E37" s="16"/>
      <c r="F37" s="16"/>
      <c r="G37" s="16"/>
    </row>
    <row r="38" spans="3:7" x14ac:dyDescent="0.25">
      <c r="E38" s="16"/>
      <c r="F38" s="16"/>
      <c r="G38" s="16"/>
    </row>
    <row r="39" spans="3:7" x14ac:dyDescent="0.25">
      <c r="F39" s="16"/>
      <c r="G39" s="16"/>
    </row>
    <row r="40" spans="3:7" x14ac:dyDescent="0.25">
      <c r="F40" s="16"/>
      <c r="G40" s="16"/>
    </row>
    <row r="41" spans="3:7" x14ac:dyDescent="0.25">
      <c r="F41" s="16"/>
      <c r="G41" s="1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theme="2"/>
  </sheetPr>
  <dimension ref="A1:AD15"/>
  <sheetViews>
    <sheetView workbookViewId="0">
      <selection activeCell="K35" sqref="K35"/>
    </sheetView>
  </sheetViews>
  <sheetFormatPr defaultRowHeight="15" x14ac:dyDescent="0.25"/>
  <cols>
    <col min="3" max="30" width="15.5703125" customWidth="1"/>
  </cols>
  <sheetData>
    <row r="1" spans="1:30" ht="21" x14ac:dyDescent="0.35">
      <c r="A1" s="28" t="s">
        <v>0</v>
      </c>
      <c r="B1" s="41"/>
      <c r="C1" s="37" t="s">
        <v>123</v>
      </c>
      <c r="D1" s="37"/>
      <c r="E1" s="37"/>
      <c r="F1" s="28"/>
      <c r="G1" s="38"/>
      <c r="H1" s="37"/>
      <c r="I1" s="37"/>
      <c r="J1" s="37"/>
      <c r="K1" s="28"/>
      <c r="L1" s="28"/>
      <c r="M1" s="38"/>
      <c r="N1" s="28" t="str">
        <f>$C$1</f>
        <v xml:space="preserve">Javits Gifted and Talented - Right 4 Rural </v>
      </c>
      <c r="O1" s="42"/>
      <c r="P1" s="42"/>
      <c r="Q1" s="37"/>
      <c r="R1" s="37"/>
      <c r="S1" s="28"/>
      <c r="T1" s="28" t="str">
        <f>$C$1</f>
        <v xml:space="preserve">Javits Gifted and Talented - Right 4 Rural </v>
      </c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1" x14ac:dyDescent="0.35">
      <c r="A2" s="28" t="s">
        <v>137</v>
      </c>
      <c r="B2" s="38"/>
      <c r="C2" s="28" t="s">
        <v>136</v>
      </c>
      <c r="D2" s="28"/>
      <c r="E2" s="28"/>
      <c r="F2" s="29"/>
      <c r="G2" s="9"/>
      <c r="H2" s="9"/>
      <c r="I2" s="9"/>
      <c r="J2" s="9"/>
      <c r="K2" s="40"/>
      <c r="L2" s="40"/>
      <c r="M2" s="40"/>
      <c r="N2" s="109" t="str">
        <f>"FY"&amp;$C$4</f>
        <v>FY2018-19</v>
      </c>
      <c r="O2" s="40"/>
      <c r="P2" s="40"/>
      <c r="Q2" s="40"/>
      <c r="R2" s="40"/>
      <c r="S2" s="40"/>
      <c r="T2" s="109" t="str">
        <f>"FY"&amp;$C$4</f>
        <v>FY2018-19</v>
      </c>
      <c r="U2" s="40"/>
      <c r="V2" s="40"/>
      <c r="W2" s="40"/>
      <c r="X2" s="40"/>
      <c r="Y2" s="40"/>
      <c r="Z2" s="40"/>
      <c r="AA2" s="40"/>
      <c r="AB2" s="40"/>
      <c r="AC2" s="28"/>
      <c r="AD2" s="28"/>
    </row>
    <row r="3" spans="1:30" ht="15.75" x14ac:dyDescent="0.25">
      <c r="A3" s="29" t="s">
        <v>1</v>
      </c>
      <c r="B3" s="41"/>
      <c r="C3" s="39">
        <v>5206</v>
      </c>
      <c r="D3" s="39"/>
      <c r="E3" s="39"/>
      <c r="F3" s="29"/>
      <c r="G3" s="1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5.75" x14ac:dyDescent="0.25">
      <c r="A4" s="29" t="s">
        <v>2</v>
      </c>
      <c r="B4" s="41"/>
      <c r="C4" s="39" t="s">
        <v>149</v>
      </c>
      <c r="D4" s="39"/>
      <c r="E4" s="39"/>
      <c r="F4" s="29"/>
      <c r="G4" s="1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5.75" x14ac:dyDescent="0.25">
      <c r="A5" s="29" t="s">
        <v>17</v>
      </c>
      <c r="B5" s="41"/>
      <c r="C5" s="29" t="s">
        <v>195</v>
      </c>
      <c r="D5" s="29"/>
      <c r="E5" s="29"/>
      <c r="F5" s="29"/>
      <c r="G5" s="9"/>
      <c r="H5" s="9"/>
      <c r="I5" s="9"/>
      <c r="J5" s="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5.75" x14ac:dyDescent="0.25">
      <c r="A6" s="29" t="s">
        <v>18</v>
      </c>
      <c r="B6" s="41"/>
      <c r="C6" s="29" t="s">
        <v>43</v>
      </c>
      <c r="D6" s="29"/>
      <c r="E6" s="29"/>
      <c r="F6" s="29"/>
      <c r="G6" s="9"/>
      <c r="H6" s="9"/>
      <c r="I6" s="9"/>
      <c r="J6" s="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6.5" thickBot="1" x14ac:dyDescent="0.3">
      <c r="A7" s="29"/>
      <c r="B7" s="41"/>
      <c r="C7" s="29"/>
      <c r="D7" s="29"/>
      <c r="E7" s="29"/>
      <c r="F7" s="29"/>
      <c r="G7" s="9"/>
      <c r="H7" s="9"/>
      <c r="I7" s="9"/>
      <c r="J7" s="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45.75" thickBot="1" x14ac:dyDescent="0.3">
      <c r="A8" s="105" t="s">
        <v>130</v>
      </c>
      <c r="B8" s="12" t="s">
        <v>124</v>
      </c>
      <c r="C8" s="12" t="s">
        <v>14</v>
      </c>
      <c r="D8" s="43" t="s">
        <v>97</v>
      </c>
      <c r="E8" s="43" t="s">
        <v>132</v>
      </c>
      <c r="F8" s="13" t="s">
        <v>15</v>
      </c>
      <c r="G8" s="26" t="s">
        <v>16</v>
      </c>
      <c r="H8" s="23" t="s">
        <v>54</v>
      </c>
      <c r="I8" s="24" t="s">
        <v>55</v>
      </c>
      <c r="J8" s="23" t="s">
        <v>56</v>
      </c>
      <c r="K8" s="24" t="s">
        <v>57</v>
      </c>
      <c r="L8" s="23" t="s">
        <v>58</v>
      </c>
      <c r="M8" s="24" t="s">
        <v>59</v>
      </c>
      <c r="N8" s="24" t="s">
        <v>60</v>
      </c>
      <c r="O8" s="24" t="s">
        <v>61</v>
      </c>
      <c r="P8" s="24" t="s">
        <v>62</v>
      </c>
      <c r="Q8" s="24" t="s">
        <v>110</v>
      </c>
      <c r="R8" s="24" t="s">
        <v>111</v>
      </c>
      <c r="S8" s="24" t="s">
        <v>121</v>
      </c>
      <c r="T8" s="24" t="s">
        <v>112</v>
      </c>
      <c r="U8" s="24" t="s">
        <v>113</v>
      </c>
      <c r="V8" s="24" t="s">
        <v>114</v>
      </c>
      <c r="W8" s="24" t="s">
        <v>115</v>
      </c>
      <c r="X8" s="24" t="s">
        <v>116</v>
      </c>
      <c r="Y8" s="24" t="s">
        <v>117</v>
      </c>
      <c r="Z8" s="24" t="s">
        <v>118</v>
      </c>
      <c r="AA8" s="24" t="s">
        <v>119</v>
      </c>
      <c r="AB8" s="24" t="s">
        <v>120</v>
      </c>
      <c r="AC8" s="12" t="s">
        <v>144</v>
      </c>
      <c r="AD8" s="12" t="s">
        <v>145</v>
      </c>
    </row>
    <row r="9" spans="1:30" ht="15.75" thickBot="1" x14ac:dyDescent="0.3">
      <c r="A9" s="85"/>
      <c r="B9" s="86"/>
      <c r="C9" s="87"/>
      <c r="D9" s="83">
        <v>0</v>
      </c>
      <c r="E9" s="83">
        <f>C9+D9</f>
        <v>0</v>
      </c>
      <c r="F9" s="87">
        <f>SUM(H9:AC9)</f>
        <v>0</v>
      </c>
      <c r="G9" s="87">
        <f>C9-F9</f>
        <v>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30" ht="15.75" thickBot="1" x14ac:dyDescent="0.3">
      <c r="A10" s="57"/>
      <c r="B10" s="102"/>
      <c r="C10" s="87"/>
      <c r="D10" s="83">
        <v>0</v>
      </c>
      <c r="E10" s="83">
        <f t="shared" ref="E10:E15" si="0">C10+D10</f>
        <v>0</v>
      </c>
      <c r="F10" s="87">
        <f>SUM(H10:AC10)</f>
        <v>0</v>
      </c>
      <c r="G10" s="87">
        <f>C10-F10</f>
        <v>0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30" ht="15.75" thickBot="1" x14ac:dyDescent="0.3">
      <c r="A11" s="103"/>
      <c r="B11" s="102"/>
      <c r="C11" s="87"/>
      <c r="D11" s="83">
        <v>0</v>
      </c>
      <c r="E11" s="83">
        <f t="shared" si="0"/>
        <v>0</v>
      </c>
      <c r="F11" s="87">
        <f>SUM(H11:AC11)</f>
        <v>0</v>
      </c>
      <c r="G11" s="87">
        <f>C11-F11</f>
        <v>0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30" ht="15.75" thickBot="1" x14ac:dyDescent="0.3">
      <c r="A12" s="57"/>
      <c r="B12" s="102"/>
      <c r="C12" s="87"/>
      <c r="D12" s="83">
        <v>0</v>
      </c>
      <c r="E12" s="83">
        <f t="shared" si="0"/>
        <v>0</v>
      </c>
      <c r="F12" s="87">
        <f>SUM(H12:AB12)</f>
        <v>0</v>
      </c>
      <c r="G12" s="87">
        <f>C12-F12</f>
        <v>0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62"/>
      <c r="AD12" s="62"/>
    </row>
    <row r="13" spans="1:30" ht="15.75" thickBot="1" x14ac:dyDescent="0.3">
      <c r="A13" s="57"/>
      <c r="B13" s="102"/>
      <c r="C13" s="87"/>
      <c r="D13" s="83">
        <v>0</v>
      </c>
      <c r="E13" s="83">
        <f>C13+D13</f>
        <v>0</v>
      </c>
      <c r="F13" s="87">
        <f>SUM(H13:AC13)</f>
        <v>0</v>
      </c>
      <c r="G13" s="87">
        <f>C13-F13</f>
        <v>0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30" ht="15.75" thickBot="1" x14ac:dyDescent="0.3">
      <c r="A14" s="57"/>
      <c r="B14" s="102"/>
      <c r="C14" s="89"/>
      <c r="D14" s="83"/>
      <c r="E14" s="83"/>
      <c r="F14" s="87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 t="s">
        <v>32</v>
      </c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62"/>
      <c r="AD14" s="62"/>
    </row>
    <row r="15" spans="1:30" ht="15.75" thickBot="1" x14ac:dyDescent="0.3">
      <c r="A15" s="59" t="s">
        <v>44</v>
      </c>
      <c r="B15" s="35"/>
      <c r="C15" s="60">
        <f>SUM(C9:C12)</f>
        <v>0</v>
      </c>
      <c r="D15" s="96">
        <v>0</v>
      </c>
      <c r="E15" s="96">
        <f t="shared" si="0"/>
        <v>0</v>
      </c>
      <c r="F15" s="60">
        <f t="shared" ref="F15:AD15" si="1">SUM(F9:F12)</f>
        <v>0</v>
      </c>
      <c r="G15" s="60">
        <f t="shared" si="1"/>
        <v>0</v>
      </c>
      <c r="H15" s="60">
        <f t="shared" si="1"/>
        <v>0</v>
      </c>
      <c r="I15" s="60">
        <f t="shared" si="1"/>
        <v>0</v>
      </c>
      <c r="J15" s="60">
        <f t="shared" si="1"/>
        <v>0</v>
      </c>
      <c r="K15" s="60">
        <f t="shared" si="1"/>
        <v>0</v>
      </c>
      <c r="L15" s="60">
        <f t="shared" si="1"/>
        <v>0</v>
      </c>
      <c r="M15" s="60">
        <f t="shared" si="1"/>
        <v>0</v>
      </c>
      <c r="N15" s="60">
        <f t="shared" si="1"/>
        <v>0</v>
      </c>
      <c r="O15" s="60">
        <f t="shared" si="1"/>
        <v>0</v>
      </c>
      <c r="P15" s="60">
        <f t="shared" si="1"/>
        <v>0</v>
      </c>
      <c r="Q15" s="60">
        <f t="shared" si="1"/>
        <v>0</v>
      </c>
      <c r="R15" s="60">
        <f t="shared" si="1"/>
        <v>0</v>
      </c>
      <c r="S15" s="60">
        <f t="shared" si="1"/>
        <v>0</v>
      </c>
      <c r="T15" s="60">
        <f t="shared" si="1"/>
        <v>0</v>
      </c>
      <c r="U15" s="60">
        <f t="shared" si="1"/>
        <v>0</v>
      </c>
      <c r="V15" s="60">
        <f t="shared" si="1"/>
        <v>0</v>
      </c>
      <c r="W15" s="60">
        <f t="shared" si="1"/>
        <v>0</v>
      </c>
      <c r="X15" s="60">
        <f t="shared" si="1"/>
        <v>0</v>
      </c>
      <c r="Y15" s="60">
        <f t="shared" si="1"/>
        <v>0</v>
      </c>
      <c r="Z15" s="60">
        <f t="shared" si="1"/>
        <v>0</v>
      </c>
      <c r="AA15" s="60">
        <f t="shared" si="1"/>
        <v>0</v>
      </c>
      <c r="AB15" s="60">
        <f t="shared" si="1"/>
        <v>0</v>
      </c>
      <c r="AC15" s="60">
        <f t="shared" si="1"/>
        <v>0</v>
      </c>
      <c r="AD15" s="60">
        <f t="shared" si="1"/>
        <v>0</v>
      </c>
    </row>
  </sheetData>
  <sheetProtection algorithmName="SHA-512" hashValue="v6JOr2seKewSnceDUvGMDkDSNi+oQvq7L65fcLMZGU7gJvpOtUp4itWoTPuq8YGL4cDhkCDkwr7v13l5UblZLg==" saltValue="DYvGgJCeeaJadFj8hLGnow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2"/>
  </sheetPr>
  <dimension ref="A1:AJ1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L27" sqref="L27"/>
    </sheetView>
  </sheetViews>
  <sheetFormatPr defaultRowHeight="15" x14ac:dyDescent="0.25"/>
  <cols>
    <col min="3" max="36" width="15.5703125" customWidth="1"/>
  </cols>
  <sheetData>
    <row r="1" spans="1:36" ht="21" x14ac:dyDescent="0.35">
      <c r="A1" s="28" t="s">
        <v>0</v>
      </c>
      <c r="B1" s="41"/>
      <c r="C1" s="37" t="s">
        <v>123</v>
      </c>
      <c r="D1" s="37"/>
      <c r="E1" s="37"/>
      <c r="F1" s="28"/>
      <c r="G1" s="38"/>
      <c r="H1" s="37"/>
      <c r="I1" s="37"/>
      <c r="J1" s="37"/>
      <c r="K1" s="28"/>
      <c r="L1" s="28"/>
      <c r="M1" s="38"/>
      <c r="N1" s="28" t="str">
        <f>$C$1</f>
        <v xml:space="preserve">Javits Gifted and Talented - Right 4 Rural </v>
      </c>
      <c r="O1" s="42"/>
      <c r="P1" s="42"/>
      <c r="Q1" s="37"/>
      <c r="R1" s="37"/>
      <c r="S1" s="28"/>
      <c r="T1" s="28" t="str">
        <f>$C$1</f>
        <v xml:space="preserve">Javits Gifted and Talented - Right 4 Rural </v>
      </c>
      <c r="U1" s="28"/>
      <c r="V1" s="28"/>
      <c r="W1" s="28"/>
      <c r="X1" s="28"/>
      <c r="Y1" s="28"/>
      <c r="Z1" s="28"/>
      <c r="AA1" s="28" t="str">
        <f>$C$1</f>
        <v xml:space="preserve">Javits Gifted and Talented - Right 4 Rural </v>
      </c>
      <c r="AB1" s="42"/>
      <c r="AC1" s="42"/>
      <c r="AD1" s="42"/>
      <c r="AE1" s="42"/>
      <c r="AF1" s="42"/>
      <c r="AG1" s="42"/>
      <c r="AH1" s="42"/>
      <c r="AI1" s="28"/>
      <c r="AJ1" s="28"/>
    </row>
    <row r="2" spans="1:36" ht="21" x14ac:dyDescent="0.35">
      <c r="A2" s="28" t="s">
        <v>137</v>
      </c>
      <c r="B2" s="38"/>
      <c r="C2" s="28" t="s">
        <v>136</v>
      </c>
      <c r="D2" s="28"/>
      <c r="E2" s="28"/>
      <c r="F2" s="29"/>
      <c r="G2" s="9"/>
      <c r="H2" s="9"/>
      <c r="I2" s="9"/>
      <c r="J2" s="9"/>
      <c r="K2" s="40"/>
      <c r="L2" s="40"/>
      <c r="M2" s="40"/>
      <c r="N2" s="109" t="str">
        <f>"FY"&amp;$C$4</f>
        <v>FY2018-19</v>
      </c>
      <c r="O2" s="40"/>
      <c r="P2" s="40"/>
      <c r="Q2" s="40"/>
      <c r="R2" s="40"/>
      <c r="S2" s="40"/>
      <c r="T2" s="109" t="str">
        <f>"FY"&amp;$C$4</f>
        <v>FY2018-19</v>
      </c>
      <c r="U2" s="40"/>
      <c r="V2" s="40"/>
      <c r="W2" s="40"/>
      <c r="X2" s="40"/>
      <c r="Y2" s="40"/>
      <c r="Z2" s="40"/>
      <c r="AA2" s="109" t="str">
        <f>"FY"&amp;$C$4</f>
        <v>FY2018-19</v>
      </c>
      <c r="AB2" s="42"/>
      <c r="AC2" s="42"/>
      <c r="AD2" s="42"/>
      <c r="AE2" s="42"/>
      <c r="AF2" s="42"/>
      <c r="AG2" s="42"/>
      <c r="AH2" s="42"/>
      <c r="AI2" s="28"/>
      <c r="AJ2" s="28"/>
    </row>
    <row r="3" spans="1:36" ht="15.75" x14ac:dyDescent="0.25">
      <c r="A3" s="29" t="s">
        <v>1</v>
      </c>
      <c r="B3" s="41"/>
      <c r="C3" s="39">
        <v>5206</v>
      </c>
      <c r="D3" s="39"/>
      <c r="E3" s="39"/>
      <c r="F3" s="29"/>
      <c r="G3" s="1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5.75" x14ac:dyDescent="0.25">
      <c r="A4" s="29" t="s">
        <v>2</v>
      </c>
      <c r="B4" s="41"/>
      <c r="C4" s="39" t="s">
        <v>149</v>
      </c>
      <c r="D4" s="39"/>
      <c r="E4" s="39"/>
      <c r="F4" s="29"/>
      <c r="G4" s="1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5.75" x14ac:dyDescent="0.25">
      <c r="A5" s="29" t="s">
        <v>17</v>
      </c>
      <c r="B5" s="41"/>
      <c r="C5" s="29" t="s">
        <v>195</v>
      </c>
      <c r="D5" s="29"/>
      <c r="E5" s="29"/>
      <c r="F5" s="29"/>
      <c r="G5" s="9"/>
      <c r="H5" s="9"/>
      <c r="I5" s="9"/>
      <c r="J5" s="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2"/>
      <c r="AC5" s="42"/>
      <c r="AD5" s="42"/>
      <c r="AE5" s="42"/>
      <c r="AF5" s="42"/>
      <c r="AG5" s="42"/>
      <c r="AH5" s="42"/>
      <c r="AI5" s="40"/>
      <c r="AJ5" s="40"/>
    </row>
    <row r="6" spans="1:36" ht="15.75" x14ac:dyDescent="0.25">
      <c r="A6" s="29" t="s">
        <v>18</v>
      </c>
      <c r="B6" s="41"/>
      <c r="C6" s="29" t="s">
        <v>20</v>
      </c>
      <c r="D6" s="29"/>
      <c r="E6" s="29"/>
      <c r="F6" s="29"/>
      <c r="G6" s="9"/>
      <c r="H6" s="9"/>
      <c r="I6" s="9"/>
      <c r="J6" s="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21.75" thickBot="1" x14ac:dyDescent="0.4">
      <c r="A7" s="28"/>
      <c r="B7" s="41"/>
      <c r="C7" s="18"/>
      <c r="D7" s="18"/>
      <c r="E7" s="18"/>
      <c r="F7" s="1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ht="45.75" thickBot="1" x14ac:dyDescent="0.3">
      <c r="A8" s="105" t="s">
        <v>130</v>
      </c>
      <c r="B8" s="12" t="s">
        <v>124</v>
      </c>
      <c r="C8" s="12" t="s">
        <v>14</v>
      </c>
      <c r="D8" s="43" t="s">
        <v>97</v>
      </c>
      <c r="E8" s="43" t="s">
        <v>132</v>
      </c>
      <c r="F8" s="13" t="s">
        <v>15</v>
      </c>
      <c r="G8" s="26" t="s">
        <v>16</v>
      </c>
      <c r="H8" s="47" t="s">
        <v>60</v>
      </c>
      <c r="I8" s="43" t="s">
        <v>61</v>
      </c>
      <c r="J8" s="47" t="s">
        <v>62</v>
      </c>
      <c r="K8" s="43" t="s">
        <v>110</v>
      </c>
      <c r="L8" s="47" t="s">
        <v>111</v>
      </c>
      <c r="M8" s="43" t="s">
        <v>121</v>
      </c>
      <c r="N8" s="43" t="s">
        <v>112</v>
      </c>
      <c r="O8" s="43" t="s">
        <v>113</v>
      </c>
      <c r="P8" s="43" t="s">
        <v>114</v>
      </c>
      <c r="Q8" s="43" t="s">
        <v>115</v>
      </c>
      <c r="R8" s="43" t="s">
        <v>116</v>
      </c>
      <c r="S8" s="43" t="s">
        <v>117</v>
      </c>
      <c r="T8" s="47" t="s">
        <v>118</v>
      </c>
      <c r="U8" s="47" t="s">
        <v>119</v>
      </c>
      <c r="V8" s="47" t="s">
        <v>120</v>
      </c>
      <c r="W8" s="47" t="s">
        <v>150</v>
      </c>
      <c r="X8" s="47" t="s">
        <v>151</v>
      </c>
      <c r="Y8" s="47" t="s">
        <v>122</v>
      </c>
      <c r="Z8" s="47" t="s">
        <v>196</v>
      </c>
      <c r="AA8" s="47" t="s">
        <v>197</v>
      </c>
      <c r="AB8" s="47" t="s">
        <v>198</v>
      </c>
      <c r="AC8" s="47" t="s">
        <v>199</v>
      </c>
      <c r="AD8" s="47" t="s">
        <v>200</v>
      </c>
      <c r="AE8" s="47" t="s">
        <v>201</v>
      </c>
      <c r="AF8" s="47" t="s">
        <v>118</v>
      </c>
      <c r="AG8" s="47" t="s">
        <v>119</v>
      </c>
      <c r="AH8" s="47" t="s">
        <v>120</v>
      </c>
      <c r="AI8" s="12" t="s">
        <v>144</v>
      </c>
      <c r="AJ8" s="12" t="s">
        <v>145</v>
      </c>
    </row>
    <row r="9" spans="1:36" ht="15.75" thickBot="1" x14ac:dyDescent="0.3">
      <c r="A9" s="85"/>
      <c r="B9" s="86"/>
      <c r="C9" s="122"/>
      <c r="D9" s="123">
        <v>0</v>
      </c>
      <c r="E9" s="123">
        <f>C9+D9</f>
        <v>0</v>
      </c>
      <c r="F9" s="122">
        <f>SUM(H9:AL9)</f>
        <v>0</v>
      </c>
      <c r="G9" s="124">
        <f>C9-F9</f>
        <v>0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55"/>
      <c r="AJ9" s="55"/>
    </row>
    <row r="10" spans="1:36" ht="15.75" thickBot="1" x14ac:dyDescent="0.3">
      <c r="A10" s="57"/>
      <c r="B10" s="63"/>
      <c r="C10" s="126"/>
      <c r="D10" s="126"/>
      <c r="E10" s="126"/>
      <c r="F10" s="126"/>
      <c r="G10" s="126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55"/>
      <c r="AJ10" s="55"/>
    </row>
    <row r="11" spans="1:36" ht="15.75" thickBot="1" x14ac:dyDescent="0.3">
      <c r="A11" s="59" t="s">
        <v>44</v>
      </c>
      <c r="B11" s="35"/>
      <c r="C11" s="127">
        <f t="shared" ref="C11:AJ11" si="0">SUM(C9:C10)</f>
        <v>0</v>
      </c>
      <c r="D11" s="127">
        <v>0</v>
      </c>
      <c r="E11" s="127">
        <f>C11+D11</f>
        <v>0</v>
      </c>
      <c r="F11" s="127">
        <f t="shared" si="0"/>
        <v>0</v>
      </c>
      <c r="G11" s="127">
        <f t="shared" si="0"/>
        <v>0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0"/>
        <v>0</v>
      </c>
      <c r="Y11" s="127">
        <f t="shared" si="0"/>
        <v>0</v>
      </c>
      <c r="Z11" s="127">
        <f t="shared" si="0"/>
        <v>0</v>
      </c>
      <c r="AA11" s="127">
        <f t="shared" si="0"/>
        <v>0</v>
      </c>
      <c r="AB11" s="127">
        <f t="shared" si="0"/>
        <v>0</v>
      </c>
      <c r="AC11" s="127">
        <f t="shared" si="0"/>
        <v>0</v>
      </c>
      <c r="AD11" s="127">
        <f t="shared" si="0"/>
        <v>0</v>
      </c>
      <c r="AE11" s="127">
        <f t="shared" si="0"/>
        <v>0</v>
      </c>
      <c r="AF11" s="127">
        <f t="shared" si="0"/>
        <v>0</v>
      </c>
      <c r="AG11" s="127">
        <f t="shared" si="0"/>
        <v>0</v>
      </c>
      <c r="AH11" s="127">
        <f t="shared" si="0"/>
        <v>0</v>
      </c>
      <c r="AI11" s="127">
        <f t="shared" si="0"/>
        <v>0</v>
      </c>
      <c r="AJ11" s="127">
        <f t="shared" si="0"/>
        <v>0</v>
      </c>
    </row>
  </sheetData>
  <sheetProtection algorithmName="SHA-512" hashValue="T//sy19S02Bj1yn1aM/9o/MsjSjBj1HctsaSM5k2kK/m4cgelX5i9WQ47dI5rDWrQqyroR9Iczdy8Aw91Zn3XA==" saltValue="7inmFkTYxRMrfxM7ZJa4uA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tabColor theme="2"/>
  </sheetPr>
  <dimension ref="A1:AV22"/>
  <sheetViews>
    <sheetView workbookViewId="0">
      <selection activeCell="B27" sqref="B27"/>
    </sheetView>
  </sheetViews>
  <sheetFormatPr defaultColWidth="9.42578125" defaultRowHeight="15" x14ac:dyDescent="0.25"/>
  <cols>
    <col min="1" max="1" width="27.42578125" customWidth="1"/>
    <col min="2" max="2" width="42.5703125" customWidth="1"/>
    <col min="3" max="3" width="18.5703125" customWidth="1"/>
    <col min="4" max="4" width="14.5703125" customWidth="1"/>
    <col min="5" max="5" width="12.5703125" customWidth="1"/>
    <col min="6" max="6" width="14.5703125" hidden="1" customWidth="1"/>
    <col min="7" max="7" width="12.5703125" customWidth="1"/>
    <col min="8" max="8" width="12.5703125" hidden="1" customWidth="1"/>
    <col min="9" max="9" width="13.5703125" customWidth="1"/>
    <col min="10" max="10" width="14" customWidth="1"/>
    <col min="11" max="11" width="15.5703125" customWidth="1"/>
    <col min="12" max="12" width="17.42578125" customWidth="1"/>
    <col min="13" max="13" width="11.5703125" customWidth="1"/>
    <col min="14" max="14" width="13.5703125" customWidth="1"/>
    <col min="15" max="18" width="12.42578125" customWidth="1"/>
    <col min="20" max="20" width="13.42578125" customWidth="1"/>
    <col min="22" max="22" width="13.42578125" customWidth="1"/>
    <col min="24" max="24" width="14.5703125" customWidth="1"/>
    <col min="26" max="26" width="10.5703125" customWidth="1"/>
    <col min="33" max="33" width="10.5703125" bestFit="1" customWidth="1"/>
  </cols>
  <sheetData>
    <row r="1" spans="1:48" ht="21" x14ac:dyDescent="0.35">
      <c r="A1" s="28" t="s">
        <v>0</v>
      </c>
      <c r="B1" s="41"/>
      <c r="C1" s="37" t="s">
        <v>85</v>
      </c>
      <c r="D1" s="37"/>
      <c r="E1" s="28"/>
      <c r="F1" s="28"/>
      <c r="G1" s="28"/>
      <c r="H1" s="28"/>
      <c r="I1" s="28" t="str">
        <f>$C$1</f>
        <v>IEL CIVICS</v>
      </c>
      <c r="J1" s="28"/>
      <c r="K1" s="28"/>
      <c r="L1" s="28"/>
      <c r="M1" s="28"/>
      <c r="N1" s="28"/>
      <c r="O1" s="38"/>
      <c r="P1" s="38"/>
      <c r="Q1" s="38"/>
      <c r="R1" s="38"/>
      <c r="S1" s="38"/>
      <c r="T1" s="38"/>
      <c r="U1" s="38"/>
      <c r="V1" s="38"/>
      <c r="W1" s="42"/>
      <c r="X1" s="42"/>
      <c r="Y1" s="42"/>
      <c r="Z1" s="42"/>
      <c r="AA1" s="42"/>
      <c r="AB1" s="42"/>
      <c r="AC1" s="42"/>
      <c r="AD1" s="42"/>
      <c r="AE1" s="37"/>
      <c r="AF1" s="28" t="str">
        <f>$C$1</f>
        <v>IEL CIVICS</v>
      </c>
      <c r="AG1" s="28"/>
      <c r="AH1" s="28"/>
      <c r="AI1" s="37"/>
      <c r="AJ1" s="37"/>
      <c r="AK1" s="28"/>
      <c r="AL1" s="28"/>
      <c r="AM1" s="28" t="str">
        <f>$C$1</f>
        <v>IEL CIVICS</v>
      </c>
      <c r="AN1" s="38"/>
      <c r="AO1" s="42"/>
      <c r="AP1" s="42"/>
      <c r="AQ1" s="42"/>
      <c r="AR1" s="37"/>
      <c r="AS1" s="28"/>
      <c r="AT1" s="28" t="str">
        <f>$C$1</f>
        <v>IEL CIVICS</v>
      </c>
      <c r="AU1" s="28"/>
      <c r="AV1" s="28"/>
    </row>
    <row r="2" spans="1:48" ht="19.5" customHeight="1" x14ac:dyDescent="0.35">
      <c r="A2" s="44" t="s">
        <v>137</v>
      </c>
      <c r="B2" s="44"/>
      <c r="C2" s="44" t="s">
        <v>347</v>
      </c>
      <c r="D2" s="28"/>
      <c r="E2" s="15"/>
      <c r="F2" s="15"/>
      <c r="G2" s="15"/>
      <c r="H2" s="15"/>
      <c r="I2" s="39" t="str">
        <f>"FY"&amp;$C$4</f>
        <v>FY2019-20</v>
      </c>
      <c r="J2" s="39"/>
      <c r="K2" s="39"/>
      <c r="L2" s="39"/>
      <c r="M2" s="39"/>
      <c r="N2" s="39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09" t="str">
        <f>"FY"&amp;$C$4</f>
        <v>FY2019-20</v>
      </c>
      <c r="AG2" s="15"/>
      <c r="AH2" s="15"/>
      <c r="AI2" s="15"/>
      <c r="AJ2" s="15"/>
      <c r="AK2" s="15"/>
      <c r="AL2" s="15"/>
      <c r="AM2" s="109" t="str">
        <f>"FY"&amp;$C$4</f>
        <v>FY2019-20</v>
      </c>
      <c r="AN2" s="15"/>
      <c r="AO2" s="15"/>
      <c r="AP2" s="15"/>
      <c r="AQ2" s="15"/>
      <c r="AR2" s="15"/>
      <c r="AS2" s="15"/>
      <c r="AT2" s="109" t="str">
        <f>"FY"&amp;$C$4</f>
        <v>FY2019-20</v>
      </c>
      <c r="AU2" s="28"/>
      <c r="AV2" s="28"/>
    </row>
    <row r="3" spans="1:48" ht="15.75" x14ac:dyDescent="0.25">
      <c r="A3" s="29" t="s">
        <v>1</v>
      </c>
      <c r="B3" s="41"/>
      <c r="C3" s="39">
        <v>6002</v>
      </c>
      <c r="D3" s="3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15.75" x14ac:dyDescent="0.25">
      <c r="A4" s="29" t="s">
        <v>2</v>
      </c>
      <c r="B4" s="41"/>
      <c r="C4" s="39" t="s">
        <v>311</v>
      </c>
      <c r="D4" s="3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ht="15.75" x14ac:dyDescent="0.25">
      <c r="A5" s="29" t="s">
        <v>17</v>
      </c>
      <c r="B5" s="29"/>
      <c r="C5" s="51" t="s">
        <v>315</v>
      </c>
      <c r="D5" s="2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</row>
    <row r="6" spans="1:48" ht="15.75" x14ac:dyDescent="0.25">
      <c r="A6" s="29" t="s">
        <v>18</v>
      </c>
      <c r="B6" s="29"/>
      <c r="C6" s="54" t="s">
        <v>316</v>
      </c>
      <c r="D6" s="2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21.75" thickBot="1" x14ac:dyDescent="0.4">
      <c r="A7" s="28"/>
      <c r="B7" s="29"/>
      <c r="C7" s="41"/>
      <c r="D7" s="41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</row>
    <row r="8" spans="1:48" ht="60.75" thickBot="1" x14ac:dyDescent="0.3">
      <c r="A8" s="212" t="s">
        <v>130</v>
      </c>
      <c r="B8" s="211" t="s">
        <v>124</v>
      </c>
      <c r="C8" s="211" t="s">
        <v>338</v>
      </c>
      <c r="D8" s="209" t="s">
        <v>357</v>
      </c>
      <c r="E8" s="24" t="s">
        <v>339</v>
      </c>
      <c r="F8" s="24" t="s">
        <v>359</v>
      </c>
      <c r="G8" s="24" t="s">
        <v>358</v>
      </c>
      <c r="H8" s="24" t="s">
        <v>360</v>
      </c>
      <c r="I8" s="246" t="s">
        <v>348</v>
      </c>
      <c r="J8" s="246" t="s">
        <v>359</v>
      </c>
      <c r="K8" s="226" t="s">
        <v>368</v>
      </c>
      <c r="L8" s="226" t="s">
        <v>360</v>
      </c>
      <c r="M8" s="246" t="s">
        <v>349</v>
      </c>
      <c r="N8" s="246" t="s">
        <v>341</v>
      </c>
      <c r="O8" s="24" t="s">
        <v>350</v>
      </c>
      <c r="P8" s="24" t="s">
        <v>342</v>
      </c>
      <c r="Q8" s="24" t="s">
        <v>351</v>
      </c>
      <c r="R8" s="24" t="s">
        <v>343</v>
      </c>
      <c r="S8" s="24" t="s">
        <v>352</v>
      </c>
      <c r="T8" s="24" t="s">
        <v>344</v>
      </c>
      <c r="U8" s="24" t="s">
        <v>353</v>
      </c>
      <c r="V8" s="24" t="s">
        <v>345</v>
      </c>
      <c r="W8" s="23" t="s">
        <v>354</v>
      </c>
      <c r="X8" s="24" t="s">
        <v>346</v>
      </c>
      <c r="Y8" s="24" t="s">
        <v>355</v>
      </c>
      <c r="Z8" s="24" t="s">
        <v>340</v>
      </c>
      <c r="AA8" s="24" t="s">
        <v>356</v>
      </c>
      <c r="AB8" s="24"/>
      <c r="AC8" s="24"/>
      <c r="AD8" s="24"/>
      <c r="AE8" s="24" t="s">
        <v>312</v>
      </c>
      <c r="AF8" s="23" t="s">
        <v>202</v>
      </c>
      <c r="AG8" s="24" t="s">
        <v>203</v>
      </c>
      <c r="AH8" s="24" t="s">
        <v>204</v>
      </c>
      <c r="AI8" s="24" t="s">
        <v>313</v>
      </c>
      <c r="AJ8" s="23" t="s">
        <v>314</v>
      </c>
      <c r="AK8" s="24" t="s">
        <v>122</v>
      </c>
      <c r="AL8" s="12" t="s">
        <v>144</v>
      </c>
      <c r="AM8" s="24" t="s">
        <v>197</v>
      </c>
      <c r="AN8" s="24" t="s">
        <v>198</v>
      </c>
      <c r="AO8" s="24" t="s">
        <v>199</v>
      </c>
      <c r="AP8" s="24" t="s">
        <v>200</v>
      </c>
      <c r="AQ8" s="24" t="s">
        <v>201</v>
      </c>
      <c r="AR8" s="23" t="s">
        <v>202</v>
      </c>
      <c r="AS8" s="24" t="s">
        <v>203</v>
      </c>
      <c r="AT8" s="24" t="s">
        <v>204</v>
      </c>
      <c r="AU8" s="12" t="s">
        <v>144</v>
      </c>
      <c r="AV8" s="12" t="s">
        <v>145</v>
      </c>
    </row>
    <row r="9" spans="1:48" ht="15.75" thickBot="1" x14ac:dyDescent="0.3">
      <c r="A9" s="83" t="s">
        <v>71</v>
      </c>
      <c r="B9" s="213" t="s">
        <v>208</v>
      </c>
      <c r="C9" s="250">
        <v>54906</v>
      </c>
      <c r="D9" s="251">
        <v>10600</v>
      </c>
      <c r="E9" s="242"/>
      <c r="F9" s="243">
        <f>C9-E9</f>
        <v>54906</v>
      </c>
      <c r="G9" s="242"/>
      <c r="H9" s="242"/>
      <c r="I9" s="247">
        <v>27453</v>
      </c>
      <c r="J9" s="247">
        <f>C9-E9-I9</f>
        <v>27453</v>
      </c>
      <c r="K9" s="245">
        <v>3524</v>
      </c>
      <c r="L9" s="245">
        <f>D9-K9</f>
        <v>7076</v>
      </c>
      <c r="M9" s="247"/>
      <c r="N9" s="247"/>
      <c r="O9" s="244"/>
      <c r="P9" s="244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86"/>
      <c r="AB9" s="186"/>
      <c r="AC9" s="186"/>
      <c r="AD9" s="186"/>
      <c r="AE9" s="171"/>
      <c r="AF9" s="171"/>
      <c r="AG9" s="176"/>
      <c r="AH9" s="176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6"/>
      <c r="AT9" s="176"/>
      <c r="AU9" s="6"/>
      <c r="AV9" s="6"/>
    </row>
    <row r="10" spans="1:48" ht="15.75" thickBot="1" x14ac:dyDescent="0.3">
      <c r="A10" s="83" t="s">
        <v>126</v>
      </c>
      <c r="B10" s="229" t="s">
        <v>318</v>
      </c>
      <c r="C10" s="231">
        <v>40342</v>
      </c>
      <c r="D10" s="232"/>
      <c r="E10" s="240"/>
      <c r="F10" s="240">
        <f t="shared" ref="F10:F17" si="0">C10-E10</f>
        <v>40342</v>
      </c>
      <c r="G10" s="240"/>
      <c r="H10" s="240"/>
      <c r="I10" s="248"/>
      <c r="J10" s="248">
        <f>C10-I10</f>
        <v>40342</v>
      </c>
      <c r="K10" s="227"/>
      <c r="L10" s="245">
        <f t="shared" ref="L10:L17" si="1">D10-K10</f>
        <v>0</v>
      </c>
      <c r="M10" s="248"/>
      <c r="N10" s="248"/>
      <c r="O10" s="233"/>
      <c r="P10" s="233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2"/>
      <c r="AH10" s="172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2"/>
      <c r="AT10" s="172"/>
      <c r="AU10" s="6"/>
      <c r="AV10" s="6"/>
    </row>
    <row r="11" spans="1:48" ht="15.75" thickBot="1" x14ac:dyDescent="0.3">
      <c r="A11" s="83" t="s">
        <v>7</v>
      </c>
      <c r="B11" s="213" t="s">
        <v>8</v>
      </c>
      <c r="C11" s="231">
        <v>40000</v>
      </c>
      <c r="D11" s="232">
        <v>35249</v>
      </c>
      <c r="E11" s="240"/>
      <c r="F11" s="240">
        <f t="shared" si="0"/>
        <v>40000</v>
      </c>
      <c r="G11" s="240"/>
      <c r="H11" s="240"/>
      <c r="I11" s="248">
        <v>23641.58</v>
      </c>
      <c r="J11" s="248">
        <f t="shared" ref="J11:J17" si="2">C11-I11</f>
        <v>16358.419999999998</v>
      </c>
      <c r="K11" s="227">
        <v>12137</v>
      </c>
      <c r="L11" s="245">
        <f t="shared" si="1"/>
        <v>23112</v>
      </c>
      <c r="M11" s="248"/>
      <c r="N11" s="248"/>
      <c r="O11" s="233"/>
      <c r="P11" s="233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6"/>
      <c r="AH11" s="176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6"/>
      <c r="AT11" s="176"/>
      <c r="AU11" s="6"/>
      <c r="AV11" s="6"/>
    </row>
    <row r="12" spans="1:48" ht="15.75" thickBot="1" x14ac:dyDescent="0.3">
      <c r="A12" s="83" t="s">
        <v>9</v>
      </c>
      <c r="B12" s="213" t="s">
        <v>74</v>
      </c>
      <c r="C12" s="231">
        <v>44752</v>
      </c>
      <c r="D12" s="232">
        <v>4400</v>
      </c>
      <c r="E12" s="240">
        <f>3729+3729+3729+406.03</f>
        <v>11593.03</v>
      </c>
      <c r="F12" s="240">
        <f t="shared" si="0"/>
        <v>33158.97</v>
      </c>
      <c r="G12" s="240"/>
      <c r="H12" s="240"/>
      <c r="I12" s="248">
        <v>22374</v>
      </c>
      <c r="J12" s="248">
        <f t="shared" si="2"/>
        <v>22378</v>
      </c>
      <c r="K12" s="227">
        <v>984</v>
      </c>
      <c r="L12" s="245">
        <f t="shared" si="1"/>
        <v>3416</v>
      </c>
      <c r="M12" s="248"/>
      <c r="N12" s="248"/>
      <c r="O12" s="233"/>
      <c r="P12" s="233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6"/>
      <c r="AH12" s="176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6"/>
      <c r="AT12" s="176"/>
      <c r="AU12" s="6"/>
      <c r="AV12" s="6"/>
    </row>
    <row r="13" spans="1:48" ht="15.75" thickBot="1" x14ac:dyDescent="0.3">
      <c r="A13" s="83" t="s">
        <v>11</v>
      </c>
      <c r="B13" s="213" t="s">
        <v>12</v>
      </c>
      <c r="C13" s="231">
        <v>40000</v>
      </c>
      <c r="D13" s="232">
        <v>0</v>
      </c>
      <c r="E13" s="240">
        <v>13870.3</v>
      </c>
      <c r="F13" s="240">
        <f t="shared" si="0"/>
        <v>26129.7</v>
      </c>
      <c r="G13" s="240"/>
      <c r="H13" s="240"/>
      <c r="I13" s="248"/>
      <c r="J13" s="248">
        <f t="shared" si="2"/>
        <v>40000</v>
      </c>
      <c r="K13" s="227"/>
      <c r="L13" s="245">
        <f t="shared" si="1"/>
        <v>0</v>
      </c>
      <c r="M13" s="248"/>
      <c r="N13" s="248"/>
      <c r="O13" s="233"/>
      <c r="P13" s="233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6"/>
      <c r="AH13" s="176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6"/>
      <c r="AT13" s="176"/>
      <c r="AU13" s="176"/>
      <c r="AV13" s="176"/>
    </row>
    <row r="14" spans="1:48" ht="15.75" thickBot="1" x14ac:dyDescent="0.3">
      <c r="A14" s="83" t="s">
        <v>68</v>
      </c>
      <c r="B14" s="213" t="s">
        <v>205</v>
      </c>
      <c r="C14" s="231">
        <v>40000</v>
      </c>
      <c r="D14" s="232">
        <v>840</v>
      </c>
      <c r="E14" s="240">
        <v>18622.77</v>
      </c>
      <c r="F14" s="240">
        <f t="shared" si="0"/>
        <v>21377.23</v>
      </c>
      <c r="G14" s="240">
        <v>840</v>
      </c>
      <c r="H14" s="240"/>
      <c r="I14" s="248">
        <v>18622.77</v>
      </c>
      <c r="J14" s="248">
        <f t="shared" si="2"/>
        <v>21377.23</v>
      </c>
      <c r="K14" s="227">
        <v>840</v>
      </c>
      <c r="L14" s="245">
        <f t="shared" si="1"/>
        <v>0</v>
      </c>
      <c r="M14" s="248">
        <v>24763.88</v>
      </c>
      <c r="N14" s="248">
        <v>840</v>
      </c>
      <c r="O14" s="233"/>
      <c r="P14" s="233"/>
      <c r="Q14" s="171"/>
      <c r="R14" s="171"/>
      <c r="S14" s="6"/>
      <c r="T14" s="6"/>
      <c r="U14" s="6"/>
      <c r="V14" s="6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6"/>
      <c r="AH14" s="176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6"/>
      <c r="AT14" s="176"/>
      <c r="AU14" s="176"/>
      <c r="AV14" s="176"/>
    </row>
    <row r="15" spans="1:48" ht="15.75" thickBot="1" x14ac:dyDescent="0.3">
      <c r="A15" s="83" t="s">
        <v>13</v>
      </c>
      <c r="B15" s="213" t="s">
        <v>207</v>
      </c>
      <c r="C15" s="231">
        <v>40000</v>
      </c>
      <c r="D15" s="232">
        <v>0</v>
      </c>
      <c r="E15" s="240">
        <v>40000</v>
      </c>
      <c r="F15" s="240">
        <f t="shared" si="0"/>
        <v>0</v>
      </c>
      <c r="G15" s="240"/>
      <c r="H15" s="240"/>
      <c r="I15" s="248">
        <v>40000</v>
      </c>
      <c r="J15" s="248">
        <f t="shared" si="2"/>
        <v>0</v>
      </c>
      <c r="K15" s="227">
        <v>0</v>
      </c>
      <c r="L15" s="245">
        <f t="shared" si="1"/>
        <v>0</v>
      </c>
      <c r="M15" s="248">
        <v>40000</v>
      </c>
      <c r="N15" s="248">
        <v>0</v>
      </c>
      <c r="O15" s="233"/>
      <c r="P15" s="233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6"/>
      <c r="AH15" s="176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6"/>
      <c r="AT15" s="176"/>
      <c r="AU15" s="6"/>
      <c r="AV15" s="6"/>
    </row>
    <row r="16" spans="1:48" ht="15.75" thickBot="1" x14ac:dyDescent="0.3">
      <c r="A16" s="83" t="s">
        <v>70</v>
      </c>
      <c r="B16" s="213" t="s">
        <v>155</v>
      </c>
      <c r="C16" s="231">
        <v>40000</v>
      </c>
      <c r="D16" s="232">
        <v>0</v>
      </c>
      <c r="E16" s="240"/>
      <c r="F16" s="240">
        <f t="shared" si="0"/>
        <v>40000</v>
      </c>
      <c r="G16" s="240"/>
      <c r="H16" s="240"/>
      <c r="I16" s="248"/>
      <c r="J16" s="248">
        <f t="shared" si="2"/>
        <v>40000</v>
      </c>
      <c r="K16" s="227"/>
      <c r="L16" s="245">
        <f t="shared" si="1"/>
        <v>0</v>
      </c>
      <c r="M16" s="248"/>
      <c r="N16" s="248"/>
      <c r="O16" s="233"/>
      <c r="P16" s="233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6"/>
      <c r="AH16" s="176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6"/>
      <c r="AT16" s="176"/>
      <c r="AU16" s="6"/>
      <c r="AV16" s="6"/>
    </row>
    <row r="17" spans="1:48" ht="15.75" thickBot="1" x14ac:dyDescent="0.3">
      <c r="A17" s="41"/>
      <c r="B17" s="41"/>
      <c r="C17" s="234"/>
      <c r="D17" s="235"/>
      <c r="E17" s="240"/>
      <c r="F17" s="240">
        <f t="shared" si="0"/>
        <v>0</v>
      </c>
      <c r="G17" s="240"/>
      <c r="H17" s="240"/>
      <c r="I17" s="249"/>
      <c r="J17" s="248">
        <f t="shared" si="2"/>
        <v>0</v>
      </c>
      <c r="K17" s="228"/>
      <c r="L17" s="245">
        <f t="shared" si="1"/>
        <v>0</v>
      </c>
      <c r="M17" s="249"/>
      <c r="N17" s="249"/>
      <c r="O17" s="236"/>
      <c r="P17" s="23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.75" thickBot="1" x14ac:dyDescent="0.3">
      <c r="A18" s="64" t="s">
        <v>44</v>
      </c>
      <c r="B18" s="230"/>
      <c r="C18" s="237">
        <f>SUM(C9:C16)</f>
        <v>340000</v>
      </c>
      <c r="D18" s="238">
        <f t="shared" ref="D18:AQ18" si="3">SUM(D9:D16)</f>
        <v>51089</v>
      </c>
      <c r="E18" s="241">
        <f t="shared" si="3"/>
        <v>84086.1</v>
      </c>
      <c r="F18" s="241"/>
      <c r="G18" s="241"/>
      <c r="H18" s="241"/>
      <c r="I18" s="239">
        <f t="shared" si="3"/>
        <v>132091.35</v>
      </c>
      <c r="J18" s="239">
        <f t="shared" si="3"/>
        <v>207908.65</v>
      </c>
      <c r="K18" s="239">
        <f t="shared" si="3"/>
        <v>17485</v>
      </c>
      <c r="L18" s="239">
        <f t="shared" si="3"/>
        <v>33604</v>
      </c>
      <c r="M18" s="239">
        <f t="shared" si="3"/>
        <v>64763.880000000005</v>
      </c>
      <c r="N18" s="239">
        <f t="shared" si="3"/>
        <v>840</v>
      </c>
      <c r="O18" s="239">
        <f t="shared" si="3"/>
        <v>0</v>
      </c>
      <c r="P18" s="239">
        <f t="shared" si="3"/>
        <v>0</v>
      </c>
      <c r="Q18" s="239">
        <f t="shared" si="3"/>
        <v>0</v>
      </c>
      <c r="R18" s="239">
        <f t="shared" si="3"/>
        <v>0</v>
      </c>
      <c r="S18" s="187">
        <f t="shared" si="3"/>
        <v>0</v>
      </c>
      <c r="T18" s="187"/>
      <c r="U18" s="187"/>
      <c r="V18" s="187"/>
      <c r="W18" s="187">
        <f t="shared" si="3"/>
        <v>0</v>
      </c>
      <c r="X18" s="187"/>
      <c r="Y18" s="187"/>
      <c r="Z18" s="187"/>
      <c r="AA18" s="187">
        <f t="shared" si="3"/>
        <v>0</v>
      </c>
      <c r="AB18" s="187"/>
      <c r="AC18" s="187"/>
      <c r="AD18" s="187"/>
      <c r="AE18" s="187">
        <f t="shared" si="3"/>
        <v>0</v>
      </c>
      <c r="AF18" s="187">
        <f t="shared" si="3"/>
        <v>0</v>
      </c>
      <c r="AG18" s="187">
        <f t="shared" si="3"/>
        <v>0</v>
      </c>
      <c r="AH18" s="187">
        <f t="shared" si="3"/>
        <v>0</v>
      </c>
      <c r="AI18" s="187">
        <f t="shared" si="3"/>
        <v>0</v>
      </c>
      <c r="AJ18" s="187">
        <f t="shared" si="3"/>
        <v>0</v>
      </c>
      <c r="AK18" s="187">
        <f t="shared" si="3"/>
        <v>0</v>
      </c>
      <c r="AL18" s="187">
        <f t="shared" si="3"/>
        <v>0</v>
      </c>
      <c r="AM18" s="187">
        <f t="shared" si="3"/>
        <v>0</v>
      </c>
      <c r="AN18" s="187">
        <f t="shared" si="3"/>
        <v>0</v>
      </c>
      <c r="AO18" s="187">
        <f t="shared" si="3"/>
        <v>0</v>
      </c>
      <c r="AP18" s="187">
        <f t="shared" si="3"/>
        <v>0</v>
      </c>
      <c r="AQ18" s="187">
        <f t="shared" si="3"/>
        <v>0</v>
      </c>
      <c r="AR18" s="187">
        <f>SUM(AR9:AR15)</f>
        <v>0</v>
      </c>
      <c r="AS18" s="187">
        <f>SUM(AS9:AS15)</f>
        <v>0</v>
      </c>
      <c r="AT18" s="187">
        <f>SUM(AT9:AT15)</f>
        <v>0</v>
      </c>
      <c r="AU18" s="187">
        <f>SUM(AU9:AU15)</f>
        <v>0</v>
      </c>
      <c r="AV18" s="187">
        <f>SUM(AV9:AV15)</f>
        <v>0</v>
      </c>
    </row>
    <row r="19" spans="1:48" x14ac:dyDescent="0.2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x14ac:dyDescent="0.2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x14ac:dyDescent="0.2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x14ac:dyDescent="0.2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</sheetData>
  <dataValidations count="1">
    <dataValidation type="list" allowBlank="1" showInputMessage="1" showErrorMessage="1" sqref="A9:A16" xr:uid="{00000000-0002-0000-0D00-000000000000}">
      <formula1>INDIRECT($A9)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2">
    <tabColor theme="2"/>
  </sheetPr>
  <dimension ref="A1:Y65"/>
  <sheetViews>
    <sheetView zoomScale="78" zoomScaleNormal="78"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"/>
    </sheetView>
  </sheetViews>
  <sheetFormatPr defaultColWidth="9.42578125" defaultRowHeight="15" x14ac:dyDescent="0.25"/>
  <cols>
    <col min="2" max="2" width="45.42578125" customWidth="1"/>
    <col min="3" max="5" width="13.5703125" customWidth="1"/>
    <col min="6" max="6" width="11.42578125" customWidth="1"/>
    <col min="7" max="7" width="16" customWidth="1"/>
    <col min="8" max="23" width="15.5703125" customWidth="1"/>
    <col min="24" max="24" width="21.42578125" customWidth="1"/>
  </cols>
  <sheetData>
    <row r="1" spans="1:25" ht="21" x14ac:dyDescent="0.35">
      <c r="A1" s="28" t="s">
        <v>0</v>
      </c>
      <c r="B1" s="41"/>
      <c r="C1" s="37" t="s">
        <v>24</v>
      </c>
      <c r="D1" s="37"/>
      <c r="E1" s="37"/>
      <c r="F1" s="28"/>
      <c r="G1" s="38"/>
      <c r="H1" s="42"/>
      <c r="I1" s="41"/>
      <c r="J1" s="37" t="str">
        <f>C1</f>
        <v>McKinney-Vento Homeless</v>
      </c>
      <c r="K1" s="41"/>
      <c r="L1" s="37"/>
      <c r="M1" s="41"/>
      <c r="N1" s="37" t="str">
        <f>$C$1</f>
        <v>McKinney-Vento Homeless</v>
      </c>
      <c r="O1" s="41"/>
      <c r="P1" s="37"/>
      <c r="Q1" s="41"/>
      <c r="R1" s="41"/>
      <c r="S1" s="41"/>
      <c r="T1" s="37" t="str">
        <f>$C$1</f>
        <v>McKinney-Vento Homeless</v>
      </c>
      <c r="U1" s="41"/>
      <c r="V1" s="37"/>
      <c r="W1" s="41"/>
      <c r="X1" s="28"/>
    </row>
    <row r="2" spans="1:25" ht="21" x14ac:dyDescent="0.35">
      <c r="A2" s="28" t="s">
        <v>137</v>
      </c>
      <c r="B2" s="38"/>
      <c r="C2" s="37" t="s">
        <v>138</v>
      </c>
      <c r="D2" s="37"/>
      <c r="E2" s="37"/>
      <c r="F2" s="38"/>
      <c r="G2" s="38"/>
      <c r="H2" s="42"/>
      <c r="I2" s="41"/>
      <c r="J2" s="39" t="str">
        <f>"FY"&amp;C4</f>
        <v>FY2021-22</v>
      </c>
      <c r="K2" s="41"/>
      <c r="L2" s="44"/>
      <c r="M2" s="41"/>
      <c r="N2" s="39" t="str">
        <f>"FY"&amp;$C$4</f>
        <v>FY2021-22</v>
      </c>
      <c r="O2" s="41"/>
      <c r="P2" s="39"/>
      <c r="Q2" s="41"/>
      <c r="R2" s="41"/>
      <c r="S2" s="41"/>
      <c r="T2" s="39" t="str">
        <f>"FY"&amp;$C$4</f>
        <v>FY2021-22</v>
      </c>
      <c r="U2" s="41"/>
      <c r="V2" s="39"/>
      <c r="W2" s="41"/>
      <c r="X2" s="28"/>
    </row>
    <row r="3" spans="1:25" ht="15.75" x14ac:dyDescent="0.25">
      <c r="A3" s="29" t="s">
        <v>1</v>
      </c>
      <c r="B3" s="41"/>
      <c r="C3" s="39">
        <v>5196</v>
      </c>
      <c r="D3" s="39"/>
      <c r="E3" s="39"/>
      <c r="F3" s="29"/>
      <c r="G3" s="18"/>
      <c r="H3" s="4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5" ht="15.75" x14ac:dyDescent="0.25">
      <c r="A4" s="29" t="s">
        <v>2</v>
      </c>
      <c r="B4" s="41"/>
      <c r="C4" s="39" t="s">
        <v>618</v>
      </c>
      <c r="D4" s="39"/>
      <c r="E4" s="39"/>
      <c r="F4" s="18"/>
      <c r="G4" s="18"/>
      <c r="H4" s="4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5" ht="15.75" x14ac:dyDescent="0.25">
      <c r="A5" s="29" t="s">
        <v>374</v>
      </c>
      <c r="B5" s="41"/>
      <c r="C5" s="292" t="s">
        <v>958</v>
      </c>
      <c r="D5" s="29"/>
      <c r="E5" s="29"/>
      <c r="F5" s="18"/>
      <c r="G5" s="18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0"/>
    </row>
    <row r="6" spans="1:25" ht="15.75" x14ac:dyDescent="0.25">
      <c r="A6" s="29"/>
      <c r="B6" s="41"/>
      <c r="C6" s="54"/>
      <c r="D6" s="39"/>
      <c r="E6" s="39"/>
      <c r="F6" s="18"/>
      <c r="G6" s="18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0"/>
    </row>
    <row r="7" spans="1:25" ht="15.75" thickBot="1" x14ac:dyDescent="0.3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0"/>
    </row>
    <row r="8" spans="1:25" ht="30.75" thickBot="1" x14ac:dyDescent="0.3">
      <c r="A8" s="11" t="s">
        <v>130</v>
      </c>
      <c r="B8" s="12" t="s">
        <v>124</v>
      </c>
      <c r="C8" s="12" t="s">
        <v>14</v>
      </c>
      <c r="D8" s="143" t="s">
        <v>799</v>
      </c>
      <c r="E8" s="43" t="s">
        <v>132</v>
      </c>
      <c r="F8" s="12" t="s">
        <v>15</v>
      </c>
      <c r="G8" s="22" t="s">
        <v>16</v>
      </c>
      <c r="H8" s="23" t="s">
        <v>408</v>
      </c>
      <c r="I8" s="24" t="s">
        <v>409</v>
      </c>
      <c r="J8" s="23" t="s">
        <v>410</v>
      </c>
      <c r="K8" s="24" t="s">
        <v>411</v>
      </c>
      <c r="L8" s="23" t="s">
        <v>412</v>
      </c>
      <c r="M8" s="24" t="s">
        <v>416</v>
      </c>
      <c r="N8" s="24" t="s">
        <v>606</v>
      </c>
      <c r="O8" s="24" t="s">
        <v>607</v>
      </c>
      <c r="P8" s="24" t="s">
        <v>608</v>
      </c>
      <c r="Q8" s="24" t="s">
        <v>609</v>
      </c>
      <c r="R8" s="24" t="s">
        <v>610</v>
      </c>
      <c r="S8" s="24" t="s">
        <v>611</v>
      </c>
      <c r="T8" s="23" t="s">
        <v>612</v>
      </c>
      <c r="U8" s="24" t="s">
        <v>613</v>
      </c>
      <c r="V8" s="24" t="s">
        <v>614</v>
      </c>
      <c r="W8" s="12" t="s">
        <v>144</v>
      </c>
      <c r="X8" s="12" t="s">
        <v>145</v>
      </c>
    </row>
    <row r="9" spans="1:25" s="384" customFormat="1" ht="15.75" thickBot="1" x14ac:dyDescent="0.3">
      <c r="A9" s="584">
        <v>10</v>
      </c>
      <c r="B9" s="585" t="s">
        <v>319</v>
      </c>
      <c r="C9" s="586">
        <v>26435</v>
      </c>
      <c r="D9" s="587">
        <v>0</v>
      </c>
      <c r="E9" s="588">
        <f t="shared" ref="E9:E21" si="0">SUM(C9+D9)</f>
        <v>26435</v>
      </c>
      <c r="F9" s="589">
        <f t="shared" ref="F9:F21" si="1">SUM(H9:V9)</f>
        <v>26435</v>
      </c>
      <c r="G9" s="589">
        <f t="shared" ref="G9:G21" si="2">E9-F9</f>
        <v>0</v>
      </c>
      <c r="H9" s="590"/>
      <c r="I9" s="590"/>
      <c r="J9" s="590">
        <v>467.9</v>
      </c>
      <c r="K9" s="590">
        <v>233.95</v>
      </c>
      <c r="L9" s="383">
        <v>556.45000000000005</v>
      </c>
      <c r="M9" s="590">
        <v>10376.16</v>
      </c>
      <c r="N9" s="383">
        <v>233.95</v>
      </c>
      <c r="O9" s="591">
        <v>233.95</v>
      </c>
      <c r="P9" s="590"/>
      <c r="Q9" s="590">
        <f>-233.95+7291.7+5029.98+233.95</f>
        <v>12321.68</v>
      </c>
      <c r="R9" s="590">
        <v>1977.02</v>
      </c>
      <c r="S9" s="384">
        <v>33.94</v>
      </c>
      <c r="T9" s="590"/>
      <c r="U9" s="590"/>
      <c r="V9" s="590"/>
      <c r="W9" s="590"/>
      <c r="X9" s="387"/>
      <c r="Y9" s="387"/>
    </row>
    <row r="10" spans="1:25" s="384" customFormat="1" ht="15.75" thickBot="1" x14ac:dyDescent="0.3">
      <c r="A10" s="584">
        <v>20</v>
      </c>
      <c r="B10" s="150" t="s">
        <v>320</v>
      </c>
      <c r="C10" s="586">
        <v>63444</v>
      </c>
      <c r="D10" s="587">
        <v>1855</v>
      </c>
      <c r="E10" s="588">
        <f t="shared" si="0"/>
        <v>65299</v>
      </c>
      <c r="F10" s="589">
        <f t="shared" si="1"/>
        <v>64708.80000000001</v>
      </c>
      <c r="G10" s="589">
        <f t="shared" si="2"/>
        <v>590.19999999998981</v>
      </c>
      <c r="H10" s="590"/>
      <c r="I10" s="590"/>
      <c r="J10" s="590">
        <v>7542.65</v>
      </c>
      <c r="K10" s="590"/>
      <c r="L10" s="383">
        <v>10187.85</v>
      </c>
      <c r="M10" s="590">
        <v>4071.5</v>
      </c>
      <c r="N10" s="383">
        <v>9522.02</v>
      </c>
      <c r="O10" s="590">
        <v>7181.5</v>
      </c>
      <c r="P10" s="382">
        <v>5027.0200000000004</v>
      </c>
      <c r="Q10" s="590"/>
      <c r="R10" s="382">
        <f>7240.54+6667.85</f>
        <v>13908.39</v>
      </c>
      <c r="S10" s="387">
        <v>7267.87</v>
      </c>
      <c r="T10" s="590"/>
      <c r="U10" s="590"/>
      <c r="V10" s="590"/>
      <c r="W10" s="590"/>
      <c r="X10" s="387"/>
      <c r="Y10" s="387"/>
    </row>
    <row r="11" spans="1:25" s="384" customFormat="1" ht="15.75" thickBot="1" x14ac:dyDescent="0.3">
      <c r="A11" s="584">
        <v>70</v>
      </c>
      <c r="B11" s="150" t="s">
        <v>321</v>
      </c>
      <c r="C11" s="586">
        <v>52817</v>
      </c>
      <c r="D11" s="587">
        <v>1547</v>
      </c>
      <c r="E11" s="588">
        <f t="shared" si="0"/>
        <v>54364</v>
      </c>
      <c r="F11" s="589">
        <f t="shared" si="1"/>
        <v>44688.91</v>
      </c>
      <c r="G11" s="589">
        <f t="shared" si="2"/>
        <v>9675.0899999999965</v>
      </c>
      <c r="H11" s="590"/>
      <c r="I11" s="590"/>
      <c r="J11" s="590"/>
      <c r="K11" s="590"/>
      <c r="L11" s="383">
        <v>3351.58</v>
      </c>
      <c r="M11" s="590">
        <v>4594.29</v>
      </c>
      <c r="N11" s="590"/>
      <c r="O11" s="590"/>
      <c r="P11" s="590">
        <v>4005.33</v>
      </c>
      <c r="Q11" s="590">
        <v>8785.33</v>
      </c>
      <c r="R11" s="590">
        <f>3813.67+8002.92</f>
        <v>11816.59</v>
      </c>
      <c r="S11" s="590">
        <v>12135.79</v>
      </c>
      <c r="T11" s="590"/>
      <c r="U11" s="590"/>
      <c r="V11" s="590"/>
      <c r="W11" s="590"/>
      <c r="X11" s="387"/>
      <c r="Y11" s="387"/>
    </row>
    <row r="12" spans="1:25" s="384" customFormat="1" ht="15.75" thickBot="1" x14ac:dyDescent="0.3">
      <c r="A12" s="584">
        <v>120</v>
      </c>
      <c r="B12" s="150" t="s">
        <v>322</v>
      </c>
      <c r="C12" s="586">
        <v>63444</v>
      </c>
      <c r="D12" s="587">
        <v>18749</v>
      </c>
      <c r="E12" s="588">
        <f t="shared" si="0"/>
        <v>82193</v>
      </c>
      <c r="F12" s="589">
        <f t="shared" si="1"/>
        <v>69439.679999999993</v>
      </c>
      <c r="G12" s="589">
        <f t="shared" si="2"/>
        <v>12753.320000000007</v>
      </c>
      <c r="H12" s="590"/>
      <c r="I12" s="590"/>
      <c r="J12" s="590"/>
      <c r="K12" s="590"/>
      <c r="L12" s="590"/>
      <c r="M12" s="590"/>
      <c r="N12" s="590"/>
      <c r="O12" s="590"/>
      <c r="P12" s="590">
        <v>192.48</v>
      </c>
      <c r="Q12" s="590"/>
      <c r="R12" s="590">
        <v>8202.2999999999993</v>
      </c>
      <c r="S12" s="590">
        <v>40836.47</v>
      </c>
      <c r="T12" s="590">
        <v>19362.43</v>
      </c>
      <c r="U12" s="590">
        <v>846</v>
      </c>
      <c r="V12" s="590"/>
      <c r="W12" s="590"/>
      <c r="X12" s="387"/>
      <c r="Y12" s="387"/>
    </row>
    <row r="13" spans="1:25" s="384" customFormat="1" ht="15.75" thickBot="1" x14ac:dyDescent="0.3">
      <c r="A13" s="584">
        <v>123</v>
      </c>
      <c r="B13" s="150" t="s">
        <v>323</v>
      </c>
      <c r="C13" s="586">
        <v>95166</v>
      </c>
      <c r="D13" s="587">
        <v>1101</v>
      </c>
      <c r="E13" s="588">
        <f t="shared" si="0"/>
        <v>96267</v>
      </c>
      <c r="F13" s="589">
        <f t="shared" si="1"/>
        <v>69660.95</v>
      </c>
      <c r="G13" s="589">
        <f t="shared" si="2"/>
        <v>26606.050000000003</v>
      </c>
      <c r="H13" s="590"/>
      <c r="I13" s="590"/>
      <c r="J13" s="590"/>
      <c r="K13" s="590"/>
      <c r="L13" s="383">
        <v>15332.52</v>
      </c>
      <c r="M13" s="590"/>
      <c r="N13" s="383">
        <v>2685.84</v>
      </c>
      <c r="O13" s="590">
        <v>5700.13</v>
      </c>
      <c r="P13" s="590">
        <v>8041.46</v>
      </c>
      <c r="Q13" s="590">
        <v>8945.4699999999993</v>
      </c>
      <c r="R13" s="590"/>
      <c r="S13" s="590">
        <f>19877.12+9078.41</f>
        <v>28955.53</v>
      </c>
      <c r="T13" s="590"/>
      <c r="U13" s="590"/>
      <c r="V13" s="590"/>
      <c r="W13" s="590"/>
      <c r="X13" s="387"/>
      <c r="Y13" s="387"/>
    </row>
    <row r="14" spans="1:25" s="384" customFormat="1" ht="15.75" thickBot="1" x14ac:dyDescent="0.3">
      <c r="A14" s="584">
        <v>470</v>
      </c>
      <c r="B14" s="150" t="s">
        <v>324</v>
      </c>
      <c r="C14" s="586">
        <v>63243</v>
      </c>
      <c r="D14" s="587">
        <v>3331</v>
      </c>
      <c r="E14" s="588">
        <f t="shared" si="0"/>
        <v>66574</v>
      </c>
      <c r="F14" s="589">
        <f t="shared" si="1"/>
        <v>58416.45</v>
      </c>
      <c r="G14" s="589">
        <f t="shared" si="2"/>
        <v>8157.5500000000029</v>
      </c>
      <c r="H14" s="590"/>
      <c r="I14" s="590"/>
      <c r="J14" s="590"/>
      <c r="K14" s="590">
        <v>7300.54</v>
      </c>
      <c r="L14" s="590"/>
      <c r="M14" s="590"/>
      <c r="N14" s="590"/>
      <c r="O14" s="590">
        <v>10948.47</v>
      </c>
      <c r="P14" s="590"/>
      <c r="Q14" s="590">
        <v>21853.759999999998</v>
      </c>
      <c r="R14" s="590"/>
      <c r="S14" s="387">
        <v>18313.68</v>
      </c>
      <c r="T14" s="590"/>
      <c r="U14" s="590"/>
      <c r="V14" s="590"/>
      <c r="W14" s="590"/>
      <c r="X14" s="590"/>
      <c r="Y14" s="387"/>
    </row>
    <row r="15" spans="1:25" s="384" customFormat="1" ht="15.75" thickBot="1" x14ac:dyDescent="0.3">
      <c r="A15" s="584">
        <v>1000</v>
      </c>
      <c r="B15" s="150" t="s">
        <v>325</v>
      </c>
      <c r="C15" s="586">
        <v>63444</v>
      </c>
      <c r="D15" s="587">
        <v>0</v>
      </c>
      <c r="E15" s="588">
        <f t="shared" si="0"/>
        <v>63444</v>
      </c>
      <c r="F15" s="589">
        <f t="shared" si="1"/>
        <v>63444</v>
      </c>
      <c r="G15" s="589">
        <f t="shared" si="2"/>
        <v>0</v>
      </c>
      <c r="H15" s="590"/>
      <c r="I15" s="590"/>
      <c r="J15" s="590"/>
      <c r="K15" s="590"/>
      <c r="L15" s="590">
        <v>23776</v>
      </c>
      <c r="M15" s="590"/>
      <c r="N15" s="383">
        <v>6161</v>
      </c>
      <c r="O15" s="590">
        <v>6166</v>
      </c>
      <c r="P15" s="590">
        <f>6160+6095</f>
        <v>12255</v>
      </c>
      <c r="Q15" s="590">
        <v>6164</v>
      </c>
      <c r="R15" s="590">
        <v>5719</v>
      </c>
      <c r="S15" s="590">
        <v>3203</v>
      </c>
      <c r="T15" s="590"/>
      <c r="U15" s="590"/>
      <c r="V15" s="590"/>
      <c r="W15" s="590"/>
      <c r="X15" s="590"/>
      <c r="Y15" s="387"/>
    </row>
    <row r="16" spans="1:25" s="384" customFormat="1" ht="15.75" thickBot="1" x14ac:dyDescent="0.3">
      <c r="A16" s="584">
        <v>1510</v>
      </c>
      <c r="B16" s="150" t="s">
        <v>326</v>
      </c>
      <c r="C16" s="586">
        <v>27440</v>
      </c>
      <c r="D16" s="587">
        <v>6367</v>
      </c>
      <c r="E16" s="588">
        <f t="shared" si="0"/>
        <v>33807</v>
      </c>
      <c r="F16" s="589">
        <f t="shared" si="1"/>
        <v>29637</v>
      </c>
      <c r="G16" s="589">
        <f t="shared" si="2"/>
        <v>4170</v>
      </c>
      <c r="H16" s="590"/>
      <c r="I16" s="590"/>
      <c r="J16" s="590"/>
      <c r="K16" s="590"/>
      <c r="L16" s="590"/>
      <c r="M16" s="590"/>
      <c r="N16" s="383">
        <v>14300</v>
      </c>
      <c r="O16" s="590"/>
      <c r="P16" s="590">
        <v>2599.21</v>
      </c>
      <c r="Q16" s="590"/>
      <c r="R16" s="590">
        <v>10540.79</v>
      </c>
      <c r="S16" s="590">
        <v>2197</v>
      </c>
      <c r="T16" s="590"/>
      <c r="U16" s="590"/>
      <c r="V16" s="590"/>
      <c r="W16" s="590"/>
      <c r="X16" s="387"/>
      <c r="Y16" s="387"/>
    </row>
    <row r="17" spans="1:25" s="384" customFormat="1" ht="15.75" thickBot="1" x14ac:dyDescent="0.3">
      <c r="A17" s="584">
        <v>1560</v>
      </c>
      <c r="B17" s="150" t="s">
        <v>327</v>
      </c>
      <c r="C17" s="586">
        <v>33562</v>
      </c>
      <c r="D17" s="587">
        <v>4054.97</v>
      </c>
      <c r="E17" s="588">
        <f t="shared" si="0"/>
        <v>37616.97</v>
      </c>
      <c r="F17" s="589">
        <f t="shared" si="1"/>
        <v>17785.34</v>
      </c>
      <c r="G17" s="589">
        <f t="shared" si="2"/>
        <v>19831.63</v>
      </c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>
        <v>17785.34</v>
      </c>
      <c r="T17" s="590"/>
      <c r="U17" s="591"/>
      <c r="V17" s="590"/>
      <c r="W17" s="590"/>
      <c r="X17" s="387"/>
      <c r="Y17" s="387"/>
    </row>
    <row r="18" spans="1:25" s="384" customFormat="1" ht="15.75" thickBot="1" x14ac:dyDescent="0.3">
      <c r="A18" s="584">
        <v>2000</v>
      </c>
      <c r="B18" s="150" t="s">
        <v>328</v>
      </c>
      <c r="C18" s="586">
        <v>47583</v>
      </c>
      <c r="D18" s="587">
        <v>13432</v>
      </c>
      <c r="E18" s="588">
        <f t="shared" si="0"/>
        <v>61015</v>
      </c>
      <c r="F18" s="589">
        <f t="shared" si="1"/>
        <v>26918.33</v>
      </c>
      <c r="G18" s="589">
        <f t="shared" si="2"/>
        <v>34096.67</v>
      </c>
      <c r="H18" s="590"/>
      <c r="I18" s="590"/>
      <c r="J18" s="590"/>
      <c r="K18" s="590"/>
      <c r="L18" s="590"/>
      <c r="M18" s="590">
        <v>1784.82</v>
      </c>
      <c r="N18" s="590"/>
      <c r="O18" s="590">
        <v>7861.51</v>
      </c>
      <c r="P18" s="590">
        <v>3900.73</v>
      </c>
      <c r="Q18" s="590">
        <v>3900.73</v>
      </c>
      <c r="R18" s="590">
        <v>4043.23</v>
      </c>
      <c r="S18" s="590">
        <v>5427.31</v>
      </c>
      <c r="T18" s="590"/>
      <c r="U18" s="590"/>
      <c r="V18" s="590"/>
      <c r="W18" s="590"/>
      <c r="X18" s="387"/>
      <c r="Y18" s="387"/>
    </row>
    <row r="19" spans="1:25" s="384" customFormat="1" ht="15" customHeight="1" thickBot="1" x14ac:dyDescent="0.3">
      <c r="A19" s="584">
        <v>3120</v>
      </c>
      <c r="B19" s="150" t="s">
        <v>329</v>
      </c>
      <c r="C19" s="586">
        <v>57283</v>
      </c>
      <c r="D19" s="587">
        <v>13334</v>
      </c>
      <c r="E19" s="588">
        <f t="shared" si="0"/>
        <v>70617</v>
      </c>
      <c r="F19" s="589">
        <f t="shared" si="1"/>
        <v>57789.840000000004</v>
      </c>
      <c r="G19" s="589">
        <f t="shared" si="2"/>
        <v>12827.159999999996</v>
      </c>
      <c r="H19" s="590"/>
      <c r="I19" s="590"/>
      <c r="J19" s="590"/>
      <c r="K19" s="590"/>
      <c r="L19" s="383">
        <v>21153.74</v>
      </c>
      <c r="M19" s="590">
        <v>5113.43</v>
      </c>
      <c r="N19" s="383">
        <v>5019.42</v>
      </c>
      <c r="O19" s="590">
        <v>5074.49</v>
      </c>
      <c r="P19" s="590">
        <v>4470.79</v>
      </c>
      <c r="Q19" s="590">
        <v>4150.54</v>
      </c>
      <c r="R19" s="590">
        <v>6716.57</v>
      </c>
      <c r="S19" s="590">
        <v>6090.86</v>
      </c>
      <c r="T19" s="590"/>
      <c r="U19" s="590"/>
      <c r="V19" s="590"/>
      <c r="W19" s="590"/>
      <c r="X19" s="590"/>
      <c r="Y19" s="387"/>
    </row>
    <row r="20" spans="1:25" s="384" customFormat="1" ht="15.75" thickBot="1" x14ac:dyDescent="0.3">
      <c r="A20" s="584">
        <v>9035</v>
      </c>
      <c r="B20" s="150" t="s">
        <v>330</v>
      </c>
      <c r="C20" s="586">
        <v>68731</v>
      </c>
      <c r="D20" s="587">
        <v>0</v>
      </c>
      <c r="E20" s="588">
        <f t="shared" si="0"/>
        <v>68731</v>
      </c>
      <c r="F20" s="589">
        <f t="shared" si="1"/>
        <v>68731</v>
      </c>
      <c r="G20" s="589">
        <f t="shared" si="2"/>
        <v>0</v>
      </c>
      <c r="H20" s="590"/>
      <c r="I20" s="590"/>
      <c r="J20" s="590">
        <f>4879+4483</f>
        <v>9362</v>
      </c>
      <c r="K20" s="590">
        <v>4652</v>
      </c>
      <c r="L20" s="383">
        <v>9386</v>
      </c>
      <c r="M20" s="590">
        <v>5766</v>
      </c>
      <c r="N20" s="383"/>
      <c r="O20" s="590">
        <f>4382+1066.63</f>
        <v>5448.63</v>
      </c>
      <c r="P20" s="590">
        <f>8572.37+5131</f>
        <v>13703.37</v>
      </c>
      <c r="Q20" s="590">
        <v>5510</v>
      </c>
      <c r="R20" s="590">
        <v>4446</v>
      </c>
      <c r="S20" s="590">
        <v>4438</v>
      </c>
      <c r="T20" s="590">
        <v>6019</v>
      </c>
      <c r="U20" s="590"/>
      <c r="V20" s="590"/>
      <c r="W20" s="590"/>
      <c r="X20" s="387"/>
      <c r="Y20" s="387"/>
    </row>
    <row r="21" spans="1:25" s="384" customFormat="1" ht="15.75" thickBot="1" x14ac:dyDescent="0.3">
      <c r="A21" s="584">
        <v>9055</v>
      </c>
      <c r="B21" s="150" t="s">
        <v>331</v>
      </c>
      <c r="C21" s="586">
        <v>54985</v>
      </c>
      <c r="D21" s="587">
        <v>4460</v>
      </c>
      <c r="E21" s="588">
        <f t="shared" si="0"/>
        <v>59445</v>
      </c>
      <c r="F21" s="589">
        <f t="shared" si="1"/>
        <v>55104.820000000007</v>
      </c>
      <c r="G21" s="589">
        <f t="shared" si="2"/>
        <v>4340.179999999993</v>
      </c>
      <c r="H21" s="590"/>
      <c r="I21" s="590"/>
      <c r="J21" s="590">
        <v>5257.8</v>
      </c>
      <c r="K21" s="590">
        <v>9001.99</v>
      </c>
      <c r="L21" s="590"/>
      <c r="M21" s="590">
        <v>5868.63</v>
      </c>
      <c r="N21" s="383">
        <v>4318.5600000000004</v>
      </c>
      <c r="O21" s="590">
        <v>2678.17</v>
      </c>
      <c r="P21" s="590">
        <v>3046.27</v>
      </c>
      <c r="Q21" s="590">
        <v>4255.38</v>
      </c>
      <c r="R21" s="590">
        <v>6638.37</v>
      </c>
      <c r="S21" s="590"/>
      <c r="T21" s="590">
        <v>5314.4</v>
      </c>
      <c r="U21" s="590">
        <f>8655.25+70</f>
        <v>8725.25</v>
      </c>
      <c r="V21" s="590"/>
      <c r="W21" s="590"/>
      <c r="X21" s="590"/>
      <c r="Y21" s="387"/>
    </row>
    <row r="22" spans="1:25" ht="15.75" thickBot="1" x14ac:dyDescent="0.3">
      <c r="A22" s="113"/>
      <c r="B22" s="93"/>
      <c r="C22" s="191"/>
      <c r="D22" s="190"/>
      <c r="E22" s="188"/>
      <c r="F22" s="190"/>
      <c r="G22" s="190"/>
      <c r="H22" s="176"/>
      <c r="I22" s="176"/>
      <c r="J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6"/>
      <c r="Y22" s="6"/>
    </row>
    <row r="23" spans="1:25" ht="15.75" thickBot="1" x14ac:dyDescent="0.3">
      <c r="A23" s="113"/>
      <c r="B23" s="93"/>
      <c r="C23" s="191"/>
      <c r="D23" s="188"/>
      <c r="E23" s="188"/>
      <c r="F23" s="190"/>
      <c r="G23" s="190"/>
      <c r="H23" s="171"/>
      <c r="I23" s="171"/>
      <c r="J23" s="171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6"/>
      <c r="Y23" s="6"/>
    </row>
    <row r="24" spans="1:25" ht="15.75" thickBot="1" x14ac:dyDescent="0.3">
      <c r="A24" s="138"/>
      <c r="B24" s="139"/>
      <c r="C24" s="192"/>
      <c r="D24" s="193"/>
      <c r="E24" s="193"/>
      <c r="F24" s="194"/>
      <c r="G24" s="194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6"/>
    </row>
    <row r="25" spans="1:25" s="14" customFormat="1" ht="15.75" thickBot="1" x14ac:dyDescent="0.3">
      <c r="A25" s="91" t="s">
        <v>44</v>
      </c>
      <c r="B25" s="19"/>
      <c r="C25" s="173">
        <f>SUM(C9:C24)</f>
        <v>717577</v>
      </c>
      <c r="D25" s="173">
        <f t="shared" ref="D25:X25" si="3">SUM(D9:D24)</f>
        <v>68230.97</v>
      </c>
      <c r="E25" s="173">
        <f t="shared" si="3"/>
        <v>785807.97</v>
      </c>
      <c r="F25" s="173">
        <f t="shared" si="3"/>
        <v>652760.12000000011</v>
      </c>
      <c r="G25" s="173">
        <f t="shared" si="3"/>
        <v>133047.84999999998</v>
      </c>
      <c r="H25" s="173">
        <f t="shared" si="3"/>
        <v>0</v>
      </c>
      <c r="I25" s="173">
        <f t="shared" si="3"/>
        <v>0</v>
      </c>
      <c r="J25" s="173">
        <f t="shared" si="3"/>
        <v>22630.35</v>
      </c>
      <c r="K25" s="173">
        <f t="shared" si="3"/>
        <v>21188.48</v>
      </c>
      <c r="L25" s="173">
        <f t="shared" si="3"/>
        <v>83744.14</v>
      </c>
      <c r="M25" s="173">
        <f t="shared" si="3"/>
        <v>37574.83</v>
      </c>
      <c r="N25" s="173">
        <f t="shared" si="3"/>
        <v>42240.789999999994</v>
      </c>
      <c r="O25" s="173">
        <f t="shared" si="3"/>
        <v>51292.849999999991</v>
      </c>
      <c r="P25" s="173">
        <f t="shared" si="3"/>
        <v>57241.66</v>
      </c>
      <c r="Q25" s="173">
        <f t="shared" si="3"/>
        <v>75886.890000000014</v>
      </c>
      <c r="R25" s="173">
        <f t="shared" si="3"/>
        <v>74008.260000000009</v>
      </c>
      <c r="S25" s="173">
        <f t="shared" si="3"/>
        <v>146684.78999999998</v>
      </c>
      <c r="T25" s="173">
        <f t="shared" si="3"/>
        <v>30695.83</v>
      </c>
      <c r="U25" s="173">
        <f t="shared" si="3"/>
        <v>9571.25</v>
      </c>
      <c r="V25" s="173">
        <f t="shared" si="3"/>
        <v>0</v>
      </c>
      <c r="W25" s="173">
        <f t="shared" si="3"/>
        <v>0</v>
      </c>
      <c r="X25" s="173">
        <f t="shared" si="3"/>
        <v>0</v>
      </c>
      <c r="Y25" s="185"/>
    </row>
    <row r="26" spans="1:25" x14ac:dyDescent="0.25">
      <c r="A26" s="8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8"/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8"/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C31" s="16"/>
      <c r="D31" s="16"/>
      <c r="E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62"/>
    </row>
    <row r="32" spans="1:25" x14ac:dyDescent="0.25">
      <c r="C32" s="16"/>
      <c r="D32" s="16"/>
      <c r="E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3:24" x14ac:dyDescent="0.25">
      <c r="C33" s="16"/>
      <c r="D33" s="16"/>
      <c r="E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3:24" x14ac:dyDescent="0.25">
      <c r="C34" s="16"/>
      <c r="D34" s="16"/>
      <c r="E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3:24" x14ac:dyDescent="0.25">
      <c r="C35" s="16"/>
      <c r="D35" s="16"/>
      <c r="E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3:24" x14ac:dyDescent="0.25">
      <c r="C36" s="16"/>
      <c r="D36" s="16"/>
      <c r="E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3:24" x14ac:dyDescent="0.25">
      <c r="C37" s="16"/>
      <c r="D37" s="16"/>
      <c r="E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3:24" x14ac:dyDescent="0.25">
      <c r="C38" s="16"/>
      <c r="D38" s="16"/>
      <c r="E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3:24" x14ac:dyDescent="0.25">
      <c r="C39" s="16"/>
      <c r="D39" s="16"/>
      <c r="E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3:24" x14ac:dyDescent="0.25">
      <c r="C40" s="16"/>
      <c r="D40" s="16"/>
      <c r="E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3:24" x14ac:dyDescent="0.25">
      <c r="C41" s="16"/>
      <c r="D41" s="16"/>
      <c r="E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3:24" x14ac:dyDescent="0.25">
      <c r="C42" s="16"/>
      <c r="D42" s="16"/>
      <c r="E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3:24" x14ac:dyDescent="0.25">
      <c r="C43" s="16"/>
      <c r="D43" s="16"/>
      <c r="E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3:24" x14ac:dyDescent="0.25">
      <c r="C44" s="16"/>
      <c r="D44" s="16"/>
      <c r="E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3:24" x14ac:dyDescent="0.25">
      <c r="C45" s="16"/>
      <c r="D45" s="16"/>
      <c r="E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3:24" x14ac:dyDescent="0.25">
      <c r="C46" s="16"/>
      <c r="D46" s="16"/>
      <c r="E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3:24" x14ac:dyDescent="0.25">
      <c r="C47" s="16"/>
      <c r="D47" s="16"/>
      <c r="E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3:24" x14ac:dyDescent="0.25"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8:23" x14ac:dyDescent="0.25"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8:23" x14ac:dyDescent="0.25"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8:23" x14ac:dyDescent="0.25"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8:23" x14ac:dyDescent="0.25"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8:23" x14ac:dyDescent="0.25"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8:23" x14ac:dyDescent="0.25"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8:23" x14ac:dyDescent="0.25"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8:23" x14ac:dyDescent="0.25"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8:23" x14ac:dyDescent="0.25"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8:23" x14ac:dyDescent="0.25"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8:23" x14ac:dyDescent="0.25"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8:23" x14ac:dyDescent="0.25"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8:23" x14ac:dyDescent="0.25"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8:23" x14ac:dyDescent="0.25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8:23" x14ac:dyDescent="0.25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8:23" x14ac:dyDescent="0.25"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8:23" x14ac:dyDescent="0.25"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</sheetData>
  <sheetProtection algorithmName="SHA-512" hashValue="O3m/PmZTD7EO29c2XQKLve+IirwB0dSfk/tlOGFIrbyzBbbBQWJV5oIaS69z9mfrcJZEXLB6okxvJfY+aouJww==" saltValue="zBYizBjUU2tiMdnJqfk9AA==" spinCount="100000" sheet="1" objects="1" scenarios="1"/>
  <hyperlinks>
    <hyperlink ref="C5" r:id="rId1" xr:uid="{9E65C32E-146A-4F0A-A785-F28840C173A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97D3-867D-4716-ABF9-E11F1FB5D294}">
  <sheetPr codeName="Sheet13">
    <tabColor theme="2"/>
  </sheetPr>
  <dimension ref="A1:AR58"/>
  <sheetViews>
    <sheetView zoomScale="90" zoomScaleNormal="90" workbookViewId="0">
      <pane xSplit="9" ySplit="8" topLeftCell="J37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64" sqref="D64"/>
    </sheetView>
  </sheetViews>
  <sheetFormatPr defaultColWidth="0" defaultRowHeight="15" x14ac:dyDescent="0.25"/>
  <cols>
    <col min="1" max="1" width="8.5703125" style="2" customWidth="1"/>
    <col min="2" max="2" width="30.7109375" customWidth="1"/>
    <col min="3" max="3" width="9.7109375" style="2" customWidth="1"/>
    <col min="4" max="4" width="44.42578125" customWidth="1"/>
    <col min="5" max="5" width="14.140625" customWidth="1"/>
    <col min="6" max="7" width="20" hidden="1" customWidth="1"/>
    <col min="8" max="8" width="21.42578125" bestFit="1" customWidth="1"/>
    <col min="9" max="9" width="19.42578125" bestFit="1" customWidth="1"/>
    <col min="10" max="12" width="15.5703125" customWidth="1"/>
    <col min="13" max="13" width="19.5703125" bestFit="1" customWidth="1"/>
    <col min="14" max="14" width="21.42578125" bestFit="1" customWidth="1"/>
    <col min="15" max="15" width="15.5703125" customWidth="1"/>
    <col min="16" max="16" width="19.42578125" bestFit="1" customWidth="1"/>
    <col min="17" max="17" width="15.5703125" customWidth="1"/>
    <col min="18" max="18" width="19.42578125" customWidth="1"/>
    <col min="19" max="19" width="16.5703125" bestFit="1" customWidth="1"/>
    <col min="20" max="20" width="15.5703125" customWidth="1"/>
    <col min="21" max="21" width="18.5703125" customWidth="1"/>
    <col min="22" max="22" width="16.5703125" bestFit="1" customWidth="1"/>
    <col min="23" max="26" width="15.5703125" customWidth="1"/>
    <col min="27" max="28" width="21.42578125" customWidth="1"/>
    <col min="29" max="44" width="0" hidden="1" customWidth="1"/>
    <col min="45" max="16384" width="8.5703125" hidden="1"/>
  </cols>
  <sheetData>
    <row r="1" spans="1:29" ht="21" x14ac:dyDescent="0.35">
      <c r="A1" s="50" t="s">
        <v>0</v>
      </c>
      <c r="B1" s="41"/>
      <c r="C1" s="53" t="s">
        <v>862</v>
      </c>
      <c r="D1" s="29"/>
      <c r="E1" s="29"/>
      <c r="F1" s="29"/>
      <c r="G1" s="29"/>
      <c r="H1" s="29"/>
      <c r="I1" s="42"/>
      <c r="J1" s="41"/>
      <c r="K1" s="37"/>
      <c r="L1" s="53" t="str">
        <f>$C$1</f>
        <v>21st Century Cohort 8 ESSER I</v>
      </c>
      <c r="M1" s="41"/>
      <c r="N1" s="41"/>
      <c r="O1" s="37"/>
      <c r="P1" s="41"/>
      <c r="Q1" s="41"/>
      <c r="R1" s="53" t="str">
        <f>$C$1</f>
        <v>21st Century Cohort 8 ESSER I</v>
      </c>
      <c r="S1" s="37"/>
      <c r="T1" s="37"/>
      <c r="U1" s="41"/>
      <c r="V1" s="37"/>
      <c r="W1" s="41"/>
      <c r="X1" s="41"/>
      <c r="Y1" s="53" t="str">
        <f>$C$1</f>
        <v>21st Century Cohort 8 ESSER I</v>
      </c>
      <c r="Z1" s="41"/>
      <c r="AA1" s="28"/>
      <c r="AB1" s="28"/>
    </row>
    <row r="2" spans="1:29" s="3" customFormat="1" ht="21" x14ac:dyDescent="0.35">
      <c r="A2" s="28" t="s">
        <v>137</v>
      </c>
      <c r="B2" s="38"/>
      <c r="C2" s="50" t="s">
        <v>927</v>
      </c>
      <c r="D2" s="37"/>
      <c r="E2" s="37"/>
      <c r="F2" s="37"/>
      <c r="G2" s="37"/>
      <c r="H2" s="37"/>
      <c r="I2" s="15"/>
      <c r="J2" s="38"/>
      <c r="K2" s="38"/>
      <c r="L2" s="29" t="str">
        <f>"FY"&amp;$C$4</f>
        <v>FY2021-22</v>
      </c>
      <c r="M2" s="38"/>
      <c r="N2" s="38"/>
      <c r="O2" s="38"/>
      <c r="P2" s="38"/>
      <c r="Q2" s="38"/>
      <c r="R2" s="29" t="str">
        <f>"FY"&amp;$C$4</f>
        <v>FY2021-22</v>
      </c>
      <c r="S2" s="38"/>
      <c r="T2" s="38"/>
      <c r="U2" s="38"/>
      <c r="V2" s="38"/>
      <c r="W2" s="38"/>
      <c r="X2" s="38"/>
      <c r="Y2" s="29" t="str">
        <f>"FY"&amp;$C$4</f>
        <v>FY2021-22</v>
      </c>
      <c r="Z2" s="38"/>
      <c r="AA2" s="28"/>
      <c r="AB2" s="28"/>
    </row>
    <row r="3" spans="1:29" ht="15.75" x14ac:dyDescent="0.25">
      <c r="A3" s="51" t="s">
        <v>1</v>
      </c>
      <c r="B3" s="41"/>
      <c r="C3" s="54" t="s">
        <v>863</v>
      </c>
      <c r="D3" s="29"/>
      <c r="E3" s="29"/>
      <c r="F3" s="29"/>
      <c r="G3" s="29"/>
      <c r="H3" s="29"/>
      <c r="I3" s="42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</row>
    <row r="4" spans="1:29" ht="15.75" x14ac:dyDescent="0.25">
      <c r="A4" s="51" t="s">
        <v>2</v>
      </c>
      <c r="B4" s="41"/>
      <c r="C4" s="54" t="s">
        <v>618</v>
      </c>
      <c r="D4" s="29"/>
      <c r="E4" s="29"/>
      <c r="F4" s="29"/>
      <c r="G4" s="29"/>
      <c r="H4" s="29"/>
      <c r="I4" s="4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42"/>
    </row>
    <row r="5" spans="1:29" ht="15.75" x14ac:dyDescent="0.25">
      <c r="A5" s="51" t="s">
        <v>376</v>
      </c>
      <c r="B5" s="41"/>
      <c r="C5" s="292" t="s">
        <v>958</v>
      </c>
      <c r="D5" s="29"/>
      <c r="E5" s="29"/>
      <c r="F5" s="29"/>
      <c r="G5" s="29"/>
      <c r="H5" s="2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0"/>
      <c r="AB5" s="40"/>
    </row>
    <row r="6" spans="1:29" ht="15.75" x14ac:dyDescent="0.25">
      <c r="A6" s="51"/>
      <c r="B6" s="41"/>
      <c r="C6" s="29"/>
      <c r="D6" s="29"/>
      <c r="E6" s="29"/>
      <c r="F6" s="29"/>
      <c r="G6" s="29"/>
      <c r="H6" s="29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0"/>
      <c r="AB6" s="40"/>
    </row>
    <row r="7" spans="1:29" ht="24" thickBot="1" x14ac:dyDescent="0.4">
      <c r="A7" s="651"/>
      <c r="B7" s="652"/>
      <c r="C7" s="652"/>
      <c r="D7" s="652"/>
      <c r="E7" s="652"/>
      <c r="F7" s="652"/>
      <c r="G7" s="652"/>
      <c r="H7" s="653"/>
      <c r="I7" s="653"/>
      <c r="J7" s="40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0"/>
      <c r="AB7" s="40"/>
    </row>
    <row r="8" spans="1:29" ht="30.75" thickBot="1" x14ac:dyDescent="0.3">
      <c r="A8" s="353" t="s">
        <v>130</v>
      </c>
      <c r="B8" s="33" t="s">
        <v>124</v>
      </c>
      <c r="C8" s="353" t="s">
        <v>135</v>
      </c>
      <c r="D8" s="33" t="s">
        <v>41</v>
      </c>
      <c r="E8" s="144" t="s">
        <v>14</v>
      </c>
      <c r="F8" s="144" t="s">
        <v>417</v>
      </c>
      <c r="G8" s="144" t="s">
        <v>418</v>
      </c>
      <c r="H8" s="33" t="s">
        <v>15</v>
      </c>
      <c r="I8" s="145" t="s">
        <v>16</v>
      </c>
      <c r="J8" s="23" t="s">
        <v>408</v>
      </c>
      <c r="K8" s="24" t="s">
        <v>409</v>
      </c>
      <c r="L8" s="23" t="s">
        <v>410</v>
      </c>
      <c r="M8" s="24" t="s">
        <v>411</v>
      </c>
      <c r="N8" s="161" t="s">
        <v>412</v>
      </c>
      <c r="O8" s="162" t="s">
        <v>416</v>
      </c>
      <c r="P8" s="162" t="s">
        <v>606</v>
      </c>
      <c r="Q8" s="162" t="s">
        <v>607</v>
      </c>
      <c r="R8" s="162" t="s">
        <v>608</v>
      </c>
      <c r="S8" s="162" t="s">
        <v>609</v>
      </c>
      <c r="T8" s="24" t="s">
        <v>610</v>
      </c>
      <c r="U8" s="24" t="s">
        <v>611</v>
      </c>
      <c r="V8" s="23" t="s">
        <v>612</v>
      </c>
      <c r="W8" s="24" t="s">
        <v>613</v>
      </c>
      <c r="X8" s="24" t="s">
        <v>614</v>
      </c>
      <c r="Y8" s="24" t="s">
        <v>619</v>
      </c>
      <c r="Z8" s="23" t="s">
        <v>620</v>
      </c>
      <c r="AA8" s="12" t="s">
        <v>144</v>
      </c>
      <c r="AB8" s="12" t="s">
        <v>145</v>
      </c>
    </row>
    <row r="9" spans="1:29" s="527" customFormat="1" ht="12.75" x14ac:dyDescent="0.2">
      <c r="A9" s="516" t="s">
        <v>21</v>
      </c>
      <c r="B9" s="517" t="s">
        <v>76</v>
      </c>
      <c r="C9" s="516" t="s">
        <v>570</v>
      </c>
      <c r="D9" s="518" t="s">
        <v>807</v>
      </c>
      <c r="E9" s="519">
        <v>48325.26</v>
      </c>
      <c r="F9" s="520"/>
      <c r="G9" s="520"/>
      <c r="H9" s="521">
        <f t="shared" ref="H9:H54" si="0">SUM(J9:Z9)</f>
        <v>8423.23</v>
      </c>
      <c r="I9" s="521">
        <f t="shared" ref="I9:I54" si="1">E9-H9</f>
        <v>39902.03</v>
      </c>
      <c r="J9" s="522"/>
      <c r="K9" s="522"/>
      <c r="L9" s="522"/>
      <c r="M9" s="523"/>
      <c r="N9" s="522"/>
      <c r="O9" s="522"/>
      <c r="P9" s="522"/>
      <c r="Q9" s="522">
        <v>146.47999999999999</v>
      </c>
      <c r="R9" s="522">
        <v>381.14</v>
      </c>
      <c r="S9" s="522"/>
      <c r="T9" s="522">
        <v>3129.98</v>
      </c>
      <c r="U9" s="522">
        <f>4471.47</f>
        <v>4471.47</v>
      </c>
      <c r="V9" s="522">
        <v>294.16000000000003</v>
      </c>
      <c r="W9" s="522"/>
      <c r="X9" s="524"/>
      <c r="Y9" s="524"/>
      <c r="Z9" s="524"/>
      <c r="AA9" s="525"/>
      <c r="AB9" s="525"/>
      <c r="AC9" s="526"/>
    </row>
    <row r="10" spans="1:29" s="527" customFormat="1" ht="12.75" x14ac:dyDescent="0.2">
      <c r="A10" s="516" t="s">
        <v>21</v>
      </c>
      <c r="B10" s="517" t="s">
        <v>76</v>
      </c>
      <c r="C10" s="516" t="s">
        <v>675</v>
      </c>
      <c r="D10" s="518" t="s">
        <v>808</v>
      </c>
      <c r="E10" s="519">
        <v>48325.26</v>
      </c>
      <c r="F10" s="520"/>
      <c r="G10" s="520"/>
      <c r="H10" s="521">
        <f t="shared" si="0"/>
        <v>11455.180000000002</v>
      </c>
      <c r="I10" s="521">
        <f t="shared" si="1"/>
        <v>36870.080000000002</v>
      </c>
      <c r="J10" s="522"/>
      <c r="K10" s="522"/>
      <c r="L10" s="522"/>
      <c r="M10" s="522"/>
      <c r="N10" s="522"/>
      <c r="O10" s="522"/>
      <c r="P10" s="522"/>
      <c r="Q10" s="522">
        <v>146.47999999999999</v>
      </c>
      <c r="R10" s="522">
        <v>2832.14</v>
      </c>
      <c r="S10" s="522"/>
      <c r="T10" s="522">
        <v>3474.47</v>
      </c>
      <c r="U10" s="522">
        <f>4678.97</f>
        <v>4678.97</v>
      </c>
      <c r="V10" s="522">
        <v>323.12</v>
      </c>
      <c r="W10" s="522"/>
      <c r="X10" s="524"/>
      <c r="Y10" s="524"/>
      <c r="Z10" s="524"/>
      <c r="AA10" s="525"/>
      <c r="AB10" s="525"/>
      <c r="AC10" s="526"/>
    </row>
    <row r="11" spans="1:29" s="527" customFormat="1" ht="12.75" x14ac:dyDescent="0.2">
      <c r="A11" s="516" t="s">
        <v>21</v>
      </c>
      <c r="B11" s="517" t="s">
        <v>76</v>
      </c>
      <c r="C11" s="516" t="s">
        <v>676</v>
      </c>
      <c r="D11" s="518" t="s">
        <v>809</v>
      </c>
      <c r="E11" s="519">
        <v>48325.26</v>
      </c>
      <c r="F11" s="520"/>
      <c r="G11" s="520"/>
      <c r="H11" s="521">
        <f t="shared" si="0"/>
        <v>21586.309999999998</v>
      </c>
      <c r="I11" s="521">
        <f t="shared" si="1"/>
        <v>26738.950000000004</v>
      </c>
      <c r="J11" s="523"/>
      <c r="K11" s="523"/>
      <c r="L11" s="523"/>
      <c r="M11" s="523"/>
      <c r="N11" s="523">
        <v>1080.0999999999999</v>
      </c>
      <c r="O11" s="523"/>
      <c r="P11" s="523"/>
      <c r="Q11" s="523">
        <v>3085.39</v>
      </c>
      <c r="R11" s="523">
        <v>2108.34</v>
      </c>
      <c r="S11" s="523"/>
      <c r="T11" s="523">
        <v>9781.7099999999991</v>
      </c>
      <c r="U11" s="523">
        <f>3491.67</f>
        <v>3491.67</v>
      </c>
      <c r="V11" s="523">
        <v>2039.1</v>
      </c>
      <c r="W11" s="523"/>
      <c r="X11" s="528"/>
      <c r="Y11" s="528"/>
      <c r="Z11" s="528"/>
      <c r="AA11" s="525"/>
      <c r="AB11" s="525"/>
      <c r="AC11" s="526"/>
    </row>
    <row r="12" spans="1:29" s="527" customFormat="1" ht="12.75" x14ac:dyDescent="0.2">
      <c r="A12" s="516" t="s">
        <v>214</v>
      </c>
      <c r="B12" s="517" t="s">
        <v>225</v>
      </c>
      <c r="C12" s="516" t="s">
        <v>214</v>
      </c>
      <c r="D12" s="518" t="s">
        <v>810</v>
      </c>
      <c r="E12" s="529">
        <v>48325.26</v>
      </c>
      <c r="F12" s="520"/>
      <c r="G12" s="520"/>
      <c r="H12" s="521">
        <f t="shared" si="0"/>
        <v>30766</v>
      </c>
      <c r="I12" s="521">
        <f t="shared" si="1"/>
        <v>17559.260000000002</v>
      </c>
      <c r="J12" s="522"/>
      <c r="K12" s="522"/>
      <c r="L12" s="522"/>
      <c r="M12" s="522"/>
      <c r="N12" s="522"/>
      <c r="O12" s="522">
        <v>30766</v>
      </c>
      <c r="P12" s="522"/>
      <c r="Q12" s="522"/>
      <c r="R12" s="522"/>
      <c r="S12" s="522"/>
      <c r="T12" s="522"/>
      <c r="U12" s="522"/>
      <c r="V12" s="522"/>
      <c r="W12" s="522"/>
      <c r="X12" s="524"/>
      <c r="Y12" s="524"/>
      <c r="Z12" s="524"/>
      <c r="AA12" s="525"/>
      <c r="AB12" s="525"/>
      <c r="AC12" s="526"/>
    </row>
    <row r="13" spans="1:29" s="527" customFormat="1" ht="12.75" x14ac:dyDescent="0.2">
      <c r="A13" s="516" t="s">
        <v>70</v>
      </c>
      <c r="B13" s="517" t="s">
        <v>846</v>
      </c>
      <c r="C13" s="516" t="s">
        <v>70</v>
      </c>
      <c r="D13" s="516" t="s">
        <v>811</v>
      </c>
      <c r="E13" s="529">
        <v>48325.26</v>
      </c>
      <c r="F13" s="520"/>
      <c r="G13" s="520"/>
      <c r="H13" s="521">
        <f t="shared" si="0"/>
        <v>26793.870000000003</v>
      </c>
      <c r="I13" s="521">
        <f t="shared" si="1"/>
        <v>21531.39</v>
      </c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>
        <v>10550</v>
      </c>
      <c r="V13" s="522"/>
      <c r="W13" s="522">
        <v>16243.87</v>
      </c>
      <c r="X13" s="524"/>
      <c r="Y13" s="524"/>
      <c r="Z13" s="524"/>
      <c r="AA13" s="525"/>
      <c r="AB13" s="525"/>
      <c r="AC13" s="526"/>
    </row>
    <row r="14" spans="1:29" s="527" customFormat="1" ht="12.75" x14ac:dyDescent="0.2">
      <c r="A14" s="516" t="s">
        <v>5</v>
      </c>
      <c r="B14" s="517" t="s">
        <v>152</v>
      </c>
      <c r="C14" s="516" t="s">
        <v>233</v>
      </c>
      <c r="D14" s="516" t="s">
        <v>242</v>
      </c>
      <c r="E14" s="529">
        <v>48325.26</v>
      </c>
      <c r="F14" s="520"/>
      <c r="G14" s="520"/>
      <c r="H14" s="521">
        <f t="shared" si="0"/>
        <v>29683.269999999997</v>
      </c>
      <c r="I14" s="521">
        <f t="shared" si="1"/>
        <v>18641.990000000005</v>
      </c>
      <c r="J14" s="522"/>
      <c r="K14" s="522"/>
      <c r="L14" s="522">
        <v>4600.3599999999997</v>
      </c>
      <c r="M14" s="522"/>
      <c r="N14" s="522"/>
      <c r="O14" s="522"/>
      <c r="P14" s="522">
        <v>4057.32</v>
      </c>
      <c r="Q14" s="522">
        <v>7224.63</v>
      </c>
      <c r="R14" s="522">
        <f>2061.36+4600.36</f>
        <v>6661.7199999999993</v>
      </c>
      <c r="S14" s="522">
        <v>2724.74</v>
      </c>
      <c r="T14" s="522"/>
      <c r="U14" s="522">
        <v>4414.5</v>
      </c>
      <c r="V14" s="522"/>
      <c r="W14" s="522"/>
      <c r="X14" s="524"/>
      <c r="Y14" s="524"/>
      <c r="Z14" s="524"/>
      <c r="AA14" s="524"/>
      <c r="AB14" s="524"/>
      <c r="AC14" s="526"/>
    </row>
    <row r="15" spans="1:29" s="527" customFormat="1" x14ac:dyDescent="0.2">
      <c r="A15" s="516" t="s">
        <v>219</v>
      </c>
      <c r="B15" s="517" t="s">
        <v>847</v>
      </c>
      <c r="C15" s="516">
        <v>5992</v>
      </c>
      <c r="D15" s="518" t="s">
        <v>812</v>
      </c>
      <c r="E15" s="519">
        <v>48325.26</v>
      </c>
      <c r="F15" s="520"/>
      <c r="G15" s="520"/>
      <c r="H15" s="521">
        <f t="shared" si="0"/>
        <v>13102.08</v>
      </c>
      <c r="I15" s="521">
        <f t="shared" si="1"/>
        <v>35223.18</v>
      </c>
      <c r="J15" s="522"/>
      <c r="K15" s="522"/>
      <c r="L15" s="522"/>
      <c r="M15" s="522"/>
      <c r="N15" s="522"/>
      <c r="O15" s="522"/>
      <c r="P15" s="530"/>
      <c r="Q15" s="530"/>
      <c r="R15" s="530"/>
      <c r="S15" s="530">
        <v>5032.08</v>
      </c>
      <c r="T15" s="522"/>
      <c r="U15" s="522"/>
      <c r="V15" s="522">
        <v>8070</v>
      </c>
      <c r="W15" s="522"/>
      <c r="X15" s="524"/>
      <c r="Y15" s="524"/>
      <c r="Z15" s="524"/>
      <c r="AA15" s="525"/>
      <c r="AB15" s="525"/>
      <c r="AC15" s="526"/>
    </row>
    <row r="16" spans="1:29" s="527" customFormat="1" x14ac:dyDescent="0.25">
      <c r="A16" s="516" t="s">
        <v>219</v>
      </c>
      <c r="B16" s="517" t="s">
        <v>847</v>
      </c>
      <c r="C16" s="516">
        <v>8918</v>
      </c>
      <c r="D16" s="518" t="s">
        <v>813</v>
      </c>
      <c r="E16" s="519">
        <v>48325.26</v>
      </c>
      <c r="F16" s="520"/>
      <c r="G16" s="520"/>
      <c r="H16" s="521">
        <f t="shared" si="0"/>
        <v>5007.82</v>
      </c>
      <c r="I16" s="521">
        <f t="shared" si="1"/>
        <v>43317.440000000002</v>
      </c>
      <c r="J16" s="522"/>
      <c r="K16" s="522"/>
      <c r="L16" s="522"/>
      <c r="M16" s="522"/>
      <c r="N16" s="522"/>
      <c r="O16" s="522"/>
      <c r="P16" s="464"/>
      <c r="Q16" s="464"/>
      <c r="R16" s="464"/>
      <c r="S16" s="464">
        <v>3257.82</v>
      </c>
      <c r="T16" s="522"/>
      <c r="U16" s="522"/>
      <c r="V16" s="522">
        <v>1750</v>
      </c>
      <c r="W16" s="522"/>
      <c r="X16" s="524"/>
      <c r="Y16" s="524"/>
      <c r="Z16" s="524"/>
      <c r="AA16" s="525"/>
      <c r="AB16" s="525"/>
      <c r="AC16" s="526"/>
    </row>
    <row r="17" spans="1:29" s="527" customFormat="1" ht="12.75" x14ac:dyDescent="0.2">
      <c r="A17" s="516" t="s">
        <v>90</v>
      </c>
      <c r="B17" s="517" t="s">
        <v>848</v>
      </c>
      <c r="C17" s="516" t="s">
        <v>678</v>
      </c>
      <c r="D17" s="518" t="s">
        <v>814</v>
      </c>
      <c r="E17" s="519">
        <v>48325.26</v>
      </c>
      <c r="F17" s="520"/>
      <c r="G17" s="520"/>
      <c r="H17" s="521">
        <f t="shared" si="0"/>
        <v>6313.65</v>
      </c>
      <c r="I17" s="521">
        <f t="shared" si="1"/>
        <v>42011.61</v>
      </c>
      <c r="J17" s="522"/>
      <c r="K17" s="522"/>
      <c r="L17" s="522"/>
      <c r="M17" s="522"/>
      <c r="N17" s="522"/>
      <c r="O17" s="522"/>
      <c r="P17" s="522"/>
      <c r="Q17" s="522">
        <f>21.31+266.65</f>
        <v>287.95999999999998</v>
      </c>
      <c r="R17" s="522">
        <v>285.63</v>
      </c>
      <c r="S17" s="522"/>
      <c r="T17" s="522"/>
      <c r="U17" s="522">
        <v>107.5</v>
      </c>
      <c r="V17" s="522">
        <v>1149.3900000000001</v>
      </c>
      <c r="W17" s="522">
        <v>4483.17</v>
      </c>
      <c r="X17" s="524"/>
      <c r="Y17" s="524"/>
      <c r="Z17" s="524"/>
      <c r="AA17" s="525"/>
      <c r="AB17" s="525"/>
      <c r="AC17" s="526"/>
    </row>
    <row r="18" spans="1:29" s="527" customFormat="1" x14ac:dyDescent="0.25">
      <c r="A18" s="516" t="s">
        <v>90</v>
      </c>
      <c r="B18" s="517" t="s">
        <v>848</v>
      </c>
      <c r="C18" s="516" t="s">
        <v>680</v>
      </c>
      <c r="D18" s="518" t="s">
        <v>816</v>
      </c>
      <c r="E18" s="519">
        <v>48325.26</v>
      </c>
      <c r="F18" s="520"/>
      <c r="G18" s="520"/>
      <c r="H18" s="521">
        <f t="shared" si="0"/>
        <v>3500</v>
      </c>
      <c r="I18" s="521">
        <f t="shared" si="1"/>
        <v>44825.26</v>
      </c>
      <c r="J18" s="522"/>
      <c r="K18" s="522"/>
      <c r="L18" s="522"/>
      <c r="M18" s="522"/>
      <c r="N18" s="522"/>
      <c r="O18" s="522"/>
      <c r="P18" s="464"/>
      <c r="Q18" s="464"/>
      <c r="R18" s="464"/>
      <c r="S18" s="464">
        <v>1750</v>
      </c>
      <c r="T18" s="522"/>
      <c r="U18" s="522"/>
      <c r="V18" s="522">
        <v>1750</v>
      </c>
      <c r="W18" s="522"/>
      <c r="X18" s="524"/>
      <c r="Y18" s="524"/>
      <c r="Z18" s="524"/>
      <c r="AA18" s="531"/>
      <c r="AB18" s="531"/>
      <c r="AC18" s="526"/>
    </row>
    <row r="19" spans="1:29" s="527" customFormat="1" x14ac:dyDescent="0.25">
      <c r="A19" s="516" t="s">
        <v>90</v>
      </c>
      <c r="B19" s="517" t="s">
        <v>848</v>
      </c>
      <c r="C19" s="516" t="s">
        <v>679</v>
      </c>
      <c r="D19" s="518" t="s">
        <v>815</v>
      </c>
      <c r="E19" s="519">
        <v>48325.26</v>
      </c>
      <c r="F19" s="520"/>
      <c r="G19" s="520"/>
      <c r="H19" s="521">
        <f t="shared" si="0"/>
        <v>6733.15</v>
      </c>
      <c r="I19" s="521">
        <f t="shared" si="1"/>
        <v>41592.11</v>
      </c>
      <c r="J19" s="522"/>
      <c r="K19" s="522"/>
      <c r="L19" s="522"/>
      <c r="M19" s="522"/>
      <c r="N19" s="522"/>
      <c r="O19" s="522"/>
      <c r="P19" s="464"/>
      <c r="Q19" s="464"/>
      <c r="R19" s="464"/>
      <c r="S19" s="464">
        <v>4333.1499999999996</v>
      </c>
      <c r="T19" s="522"/>
      <c r="U19" s="522"/>
      <c r="V19" s="522">
        <v>2400</v>
      </c>
      <c r="W19" s="522"/>
      <c r="X19" s="524"/>
      <c r="Y19" s="524"/>
      <c r="Z19" s="524"/>
      <c r="AA19" s="525"/>
      <c r="AB19" s="525"/>
      <c r="AC19" s="532"/>
    </row>
    <row r="20" spans="1:29" s="527" customFormat="1" ht="12.75" x14ac:dyDescent="0.2">
      <c r="A20" s="516" t="s">
        <v>220</v>
      </c>
      <c r="B20" s="517" t="s">
        <v>849</v>
      </c>
      <c r="C20" s="516" t="s">
        <v>681</v>
      </c>
      <c r="D20" s="518" t="s">
        <v>817</v>
      </c>
      <c r="E20" s="519">
        <v>48325.26</v>
      </c>
      <c r="F20" s="520"/>
      <c r="G20" s="520"/>
      <c r="H20" s="521">
        <f t="shared" si="0"/>
        <v>34426.5</v>
      </c>
      <c r="I20" s="521">
        <f t="shared" si="1"/>
        <v>13898.760000000002</v>
      </c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>
        <v>34426.5</v>
      </c>
      <c r="V20" s="522"/>
      <c r="W20" s="522"/>
      <c r="X20" s="524"/>
      <c r="Y20" s="524"/>
      <c r="Z20" s="524"/>
      <c r="AA20" s="525"/>
      <c r="AB20" s="525"/>
      <c r="AC20" s="526"/>
    </row>
    <row r="21" spans="1:29" s="527" customFormat="1" ht="12.75" x14ac:dyDescent="0.2">
      <c r="A21" s="516" t="s">
        <v>220</v>
      </c>
      <c r="B21" s="517" t="s">
        <v>849</v>
      </c>
      <c r="C21" s="516" t="s">
        <v>682</v>
      </c>
      <c r="D21" s="518" t="s">
        <v>818</v>
      </c>
      <c r="E21" s="519">
        <v>48325.26</v>
      </c>
      <c r="F21" s="520"/>
      <c r="G21" s="520"/>
      <c r="H21" s="521">
        <f t="shared" si="0"/>
        <v>20744.84</v>
      </c>
      <c r="I21" s="521">
        <f t="shared" si="1"/>
        <v>27580.420000000002</v>
      </c>
      <c r="J21" s="522"/>
      <c r="K21" s="522"/>
      <c r="L21" s="522"/>
      <c r="M21" s="522">
        <v>2777.84</v>
      </c>
      <c r="N21" s="522"/>
      <c r="O21" s="522"/>
      <c r="P21" s="522"/>
      <c r="Q21" s="522"/>
      <c r="R21" s="522"/>
      <c r="S21" s="522"/>
      <c r="T21" s="522"/>
      <c r="U21" s="522">
        <v>17967</v>
      </c>
      <c r="V21" s="522"/>
      <c r="W21" s="522"/>
      <c r="X21" s="524"/>
      <c r="Y21" s="524"/>
      <c r="Z21" s="524"/>
      <c r="AA21" s="525"/>
      <c r="AB21" s="525"/>
      <c r="AC21" s="526"/>
    </row>
    <row r="22" spans="1:29" s="527" customFormat="1" ht="12.75" x14ac:dyDescent="0.2">
      <c r="A22" s="516" t="s">
        <v>963</v>
      </c>
      <c r="B22" s="517" t="s">
        <v>850</v>
      </c>
      <c r="C22" s="516" t="s">
        <v>683</v>
      </c>
      <c r="D22" s="518" t="s">
        <v>819</v>
      </c>
      <c r="E22" s="519">
        <v>48325.26</v>
      </c>
      <c r="F22" s="520"/>
      <c r="G22" s="520"/>
      <c r="H22" s="521">
        <f t="shared" si="0"/>
        <v>15872.51</v>
      </c>
      <c r="I22" s="521">
        <f t="shared" si="1"/>
        <v>32452.75</v>
      </c>
      <c r="J22" s="389"/>
      <c r="K22" s="389"/>
      <c r="L22" s="389"/>
      <c r="M22" s="389"/>
      <c r="N22" s="389"/>
      <c r="O22" s="389"/>
      <c r="P22" s="389">
        <v>15872.51</v>
      </c>
      <c r="Q22" s="389"/>
      <c r="R22" s="389"/>
      <c r="S22" s="389"/>
      <c r="T22" s="389"/>
      <c r="U22" s="389"/>
      <c r="V22" s="389"/>
      <c r="W22" s="389"/>
      <c r="X22" s="524"/>
      <c r="Y22" s="524"/>
      <c r="Z22" s="524"/>
      <c r="AA22" s="525"/>
      <c r="AB22" s="525"/>
      <c r="AC22" s="526"/>
    </row>
    <row r="23" spans="1:29" s="527" customFormat="1" ht="12.75" x14ac:dyDescent="0.2">
      <c r="A23" s="516" t="s">
        <v>52</v>
      </c>
      <c r="B23" s="517" t="s">
        <v>851</v>
      </c>
      <c r="C23" s="516" t="s">
        <v>880</v>
      </c>
      <c r="D23" s="518" t="s">
        <v>878</v>
      </c>
      <c r="E23" s="519">
        <v>48325.26</v>
      </c>
      <c r="F23" s="520"/>
      <c r="G23" s="520"/>
      <c r="H23" s="521">
        <f t="shared" si="0"/>
        <v>42036.14</v>
      </c>
      <c r="I23" s="521">
        <f t="shared" si="1"/>
        <v>6289.1200000000026</v>
      </c>
      <c r="J23" s="389"/>
      <c r="K23" s="389">
        <v>4399.26</v>
      </c>
      <c r="L23" s="389"/>
      <c r="M23" s="389"/>
      <c r="N23" s="389"/>
      <c r="O23" s="389"/>
      <c r="P23" s="389">
        <v>2469</v>
      </c>
      <c r="Q23" s="389"/>
      <c r="R23" s="389"/>
      <c r="S23" s="522">
        <v>15888</v>
      </c>
      <c r="T23" s="389">
        <v>12219</v>
      </c>
      <c r="U23" s="389">
        <v>1711</v>
      </c>
      <c r="V23" s="389">
        <f>1614.88+3735</f>
        <v>5349.88</v>
      </c>
      <c r="W23" s="389"/>
      <c r="X23" s="524"/>
      <c r="Y23" s="524"/>
      <c r="Z23" s="524"/>
      <c r="AA23" s="525"/>
      <c r="AB23" s="525"/>
      <c r="AC23" s="526"/>
    </row>
    <row r="24" spans="1:29" s="527" customFormat="1" ht="12.75" x14ac:dyDescent="0.2">
      <c r="A24" s="516" t="s">
        <v>52</v>
      </c>
      <c r="B24" s="517" t="s">
        <v>851</v>
      </c>
      <c r="C24" s="516" t="s">
        <v>493</v>
      </c>
      <c r="D24" s="518" t="s">
        <v>984</v>
      </c>
      <c r="E24" s="519">
        <v>48325.26</v>
      </c>
      <c r="F24" s="520"/>
      <c r="G24" s="520"/>
      <c r="H24" s="521">
        <f t="shared" si="0"/>
        <v>41214.81</v>
      </c>
      <c r="I24" s="521">
        <f t="shared" si="1"/>
        <v>7110.4500000000044</v>
      </c>
      <c r="J24" s="522"/>
      <c r="K24" s="522"/>
      <c r="L24" s="522"/>
      <c r="M24" s="522"/>
      <c r="N24" s="522"/>
      <c r="O24" s="522"/>
      <c r="P24" s="522">
        <v>2974</v>
      </c>
      <c r="Q24" s="522"/>
      <c r="R24" s="522">
        <v>25810</v>
      </c>
      <c r="S24" s="522"/>
      <c r="T24" s="522"/>
      <c r="U24" s="522">
        <v>3339</v>
      </c>
      <c r="V24" s="522">
        <v>1571.31</v>
      </c>
      <c r="W24" s="522">
        <v>7520.5</v>
      </c>
      <c r="X24" s="524"/>
      <c r="Y24" s="524"/>
      <c r="Z24" s="524"/>
      <c r="AA24" s="525"/>
      <c r="AB24" s="525"/>
      <c r="AC24" s="526"/>
    </row>
    <row r="25" spans="1:29" s="527" customFormat="1" ht="12.75" x14ac:dyDescent="0.2">
      <c r="A25" s="516" t="s">
        <v>52</v>
      </c>
      <c r="B25" s="517" t="s">
        <v>851</v>
      </c>
      <c r="C25" s="516" t="s">
        <v>573</v>
      </c>
      <c r="D25" s="518" t="s">
        <v>879</v>
      </c>
      <c r="E25" s="519">
        <v>48325.26</v>
      </c>
      <c r="F25" s="520"/>
      <c r="G25" s="520"/>
      <c r="H25" s="521">
        <f t="shared" si="0"/>
        <v>46990.409999999996</v>
      </c>
      <c r="I25" s="521">
        <f t="shared" si="1"/>
        <v>1334.8500000000058</v>
      </c>
      <c r="J25" s="522"/>
      <c r="K25" s="522"/>
      <c r="L25" s="522"/>
      <c r="M25" s="522"/>
      <c r="N25" s="522"/>
      <c r="O25" s="522"/>
      <c r="P25" s="522">
        <f>7441+4011</f>
        <v>11452</v>
      </c>
      <c r="Q25" s="522"/>
      <c r="R25" s="522">
        <f>9170+4006</f>
        <v>13176</v>
      </c>
      <c r="S25" s="522"/>
      <c r="T25" s="522"/>
      <c r="U25" s="522">
        <v>9543</v>
      </c>
      <c r="V25" s="522">
        <v>2770.2</v>
      </c>
      <c r="W25" s="522">
        <v>10049.209999999999</v>
      </c>
      <c r="X25" s="524"/>
      <c r="Y25" s="524"/>
      <c r="Z25" s="524"/>
      <c r="AA25" s="525"/>
      <c r="AB25" s="525"/>
      <c r="AC25" s="526"/>
    </row>
    <row r="26" spans="1:29" s="527" customFormat="1" ht="12.75" x14ac:dyDescent="0.2">
      <c r="A26" s="516" t="s">
        <v>52</v>
      </c>
      <c r="B26" s="517" t="s">
        <v>852</v>
      </c>
      <c r="C26" s="516" t="s">
        <v>248</v>
      </c>
      <c r="D26" s="516" t="s">
        <v>820</v>
      </c>
      <c r="E26" s="529">
        <v>48325.26</v>
      </c>
      <c r="F26" s="520"/>
      <c r="G26" s="520"/>
      <c r="H26" s="521">
        <f t="shared" si="0"/>
        <v>48325.26</v>
      </c>
      <c r="I26" s="521">
        <f t="shared" si="1"/>
        <v>0</v>
      </c>
      <c r="J26" s="522">
        <v>48325.26</v>
      </c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4"/>
      <c r="Y26" s="524"/>
      <c r="Z26" s="524"/>
      <c r="AA26" s="525"/>
      <c r="AB26" s="525"/>
      <c r="AC26" s="526"/>
    </row>
    <row r="27" spans="1:29" s="527" customFormat="1" ht="12.75" x14ac:dyDescent="0.2">
      <c r="A27" s="516">
        <v>8001</v>
      </c>
      <c r="B27" s="517" t="s">
        <v>853</v>
      </c>
      <c r="C27" s="516" t="s">
        <v>444</v>
      </c>
      <c r="D27" s="516" t="s">
        <v>243</v>
      </c>
      <c r="E27" s="529">
        <v>48325.26</v>
      </c>
      <c r="F27" s="520"/>
      <c r="G27" s="520"/>
      <c r="H27" s="521">
        <f t="shared" si="0"/>
        <v>48325.26</v>
      </c>
      <c r="I27" s="521">
        <f t="shared" si="1"/>
        <v>0</v>
      </c>
      <c r="J27" s="522">
        <v>48325.26</v>
      </c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4"/>
      <c r="Y27" s="524"/>
      <c r="Z27" s="524"/>
      <c r="AA27" s="525"/>
      <c r="AB27" s="525"/>
      <c r="AC27" s="526"/>
    </row>
    <row r="28" spans="1:29" s="527" customFormat="1" ht="12.75" x14ac:dyDescent="0.2">
      <c r="A28" s="516" t="s">
        <v>49</v>
      </c>
      <c r="B28" s="517" t="s">
        <v>854</v>
      </c>
      <c r="C28" s="516" t="s">
        <v>234</v>
      </c>
      <c r="D28" s="518" t="s">
        <v>821</v>
      </c>
      <c r="E28" s="519">
        <v>48325.27</v>
      </c>
      <c r="F28" s="520"/>
      <c r="G28" s="520"/>
      <c r="H28" s="521">
        <f t="shared" si="0"/>
        <v>46990.409999999996</v>
      </c>
      <c r="I28" s="521">
        <f t="shared" si="1"/>
        <v>1334.8600000000006</v>
      </c>
      <c r="J28" s="522"/>
      <c r="K28" s="522"/>
      <c r="L28" s="522"/>
      <c r="M28" s="522"/>
      <c r="N28" s="522"/>
      <c r="O28" s="522"/>
      <c r="P28" s="388">
        <f>7441+4011</f>
        <v>11452</v>
      </c>
      <c r="Q28" s="388">
        <v>9170</v>
      </c>
      <c r="R28" s="388">
        <v>4006</v>
      </c>
      <c r="S28" s="388"/>
      <c r="T28" s="522"/>
      <c r="U28" s="522">
        <v>9543</v>
      </c>
      <c r="V28" s="522">
        <v>2770.2</v>
      </c>
      <c r="W28" s="522">
        <v>10049.209999999999</v>
      </c>
      <c r="X28" s="524"/>
      <c r="Y28" s="524"/>
      <c r="Z28" s="524"/>
      <c r="AA28" s="525"/>
      <c r="AB28" s="525"/>
      <c r="AC28" s="526"/>
    </row>
    <row r="29" spans="1:29" s="527" customFormat="1" ht="12.75" x14ac:dyDescent="0.2">
      <c r="A29" s="516" t="s">
        <v>49</v>
      </c>
      <c r="B29" s="517" t="s">
        <v>854</v>
      </c>
      <c r="C29" s="516" t="s">
        <v>685</v>
      </c>
      <c r="D29" s="518" t="s">
        <v>822</v>
      </c>
      <c r="E29" s="519">
        <v>48325.27</v>
      </c>
      <c r="F29" s="520"/>
      <c r="G29" s="520"/>
      <c r="H29" s="521">
        <f t="shared" si="0"/>
        <v>16561.5</v>
      </c>
      <c r="I29" s="521">
        <f t="shared" si="1"/>
        <v>31763.769999999997</v>
      </c>
      <c r="J29" s="522"/>
      <c r="K29" s="522"/>
      <c r="L29" s="522"/>
      <c r="M29" s="522"/>
      <c r="N29" s="522">
        <f>300+432</f>
        <v>732</v>
      </c>
      <c r="O29" s="522"/>
      <c r="P29" s="388">
        <v>183.16</v>
      </c>
      <c r="Q29" s="533">
        <v>663.62</v>
      </c>
      <c r="R29" s="388"/>
      <c r="S29" s="388">
        <f>452.05+1200</f>
        <v>1652.05</v>
      </c>
      <c r="T29" s="522">
        <v>166</v>
      </c>
      <c r="U29" s="522"/>
      <c r="V29" s="522"/>
      <c r="W29" s="522">
        <v>13164.67</v>
      </c>
      <c r="X29" s="524"/>
      <c r="Y29" s="524"/>
      <c r="Z29" s="524"/>
      <c r="AA29" s="525"/>
      <c r="AB29" s="525"/>
      <c r="AC29" s="526"/>
    </row>
    <row r="30" spans="1:29" s="527" customFormat="1" ht="12.75" x14ac:dyDescent="0.2">
      <c r="A30" s="516" t="s">
        <v>49</v>
      </c>
      <c r="B30" s="517" t="s">
        <v>854</v>
      </c>
      <c r="C30" s="516" t="s">
        <v>686</v>
      </c>
      <c r="D30" s="518" t="s">
        <v>823</v>
      </c>
      <c r="E30" s="519">
        <v>48325.27</v>
      </c>
      <c r="F30" s="520"/>
      <c r="G30" s="520"/>
      <c r="H30" s="521">
        <f t="shared" si="0"/>
        <v>9085.25</v>
      </c>
      <c r="I30" s="521">
        <f t="shared" si="1"/>
        <v>39240.019999999997</v>
      </c>
      <c r="J30" s="522"/>
      <c r="K30" s="522"/>
      <c r="L30" s="522"/>
      <c r="M30" s="522"/>
      <c r="N30" s="522">
        <f>764+60.21</f>
        <v>824.21</v>
      </c>
      <c r="O30" s="522"/>
      <c r="P30" s="388">
        <v>211.63</v>
      </c>
      <c r="Q30" s="388">
        <f>809.99+2534.25</f>
        <v>3344.24</v>
      </c>
      <c r="R30" s="388">
        <v>182.67</v>
      </c>
      <c r="S30" s="388">
        <v>4068.69</v>
      </c>
      <c r="T30" s="522">
        <v>41.56</v>
      </c>
      <c r="U30" s="522"/>
      <c r="V30" s="522">
        <v>297.22000000000003</v>
      </c>
      <c r="W30" s="522">
        <f>115.03</f>
        <v>115.03</v>
      </c>
      <c r="X30" s="524"/>
      <c r="Y30" s="524"/>
      <c r="Z30" s="524"/>
      <c r="AA30" s="525"/>
      <c r="AB30" s="525"/>
      <c r="AC30" s="526"/>
    </row>
    <row r="31" spans="1:29" s="527" customFormat="1" ht="12.75" x14ac:dyDescent="0.2">
      <c r="A31" s="516" t="s">
        <v>49</v>
      </c>
      <c r="B31" s="517" t="s">
        <v>854</v>
      </c>
      <c r="C31" s="516" t="s">
        <v>687</v>
      </c>
      <c r="D31" s="518" t="s">
        <v>824</v>
      </c>
      <c r="E31" s="519">
        <v>48325.27</v>
      </c>
      <c r="F31" s="520"/>
      <c r="G31" s="520"/>
      <c r="H31" s="521">
        <f t="shared" si="0"/>
        <v>19734</v>
      </c>
      <c r="I31" s="521">
        <f t="shared" si="1"/>
        <v>28591.269999999997</v>
      </c>
      <c r="J31" s="522"/>
      <c r="K31" s="522"/>
      <c r="L31" s="522"/>
      <c r="M31" s="522">
        <v>2794</v>
      </c>
      <c r="N31" s="522">
        <v>979</v>
      </c>
      <c r="O31" s="522">
        <v>831</v>
      </c>
      <c r="P31" s="388">
        <v>1421</v>
      </c>
      <c r="Q31" s="388">
        <v>828</v>
      </c>
      <c r="R31" s="388">
        <v>865</v>
      </c>
      <c r="S31" s="388">
        <v>826</v>
      </c>
      <c r="T31" s="522">
        <v>9310</v>
      </c>
      <c r="U31" s="522">
        <f>826</f>
        <v>826</v>
      </c>
      <c r="V31" s="522">
        <v>1054</v>
      </c>
      <c r="W31" s="522"/>
      <c r="X31" s="524"/>
      <c r="Y31" s="524"/>
      <c r="Z31" s="524"/>
      <c r="AA31" s="525"/>
      <c r="AB31" s="525"/>
      <c r="AC31" s="526"/>
    </row>
    <row r="32" spans="1:29" s="527" customFormat="1" ht="12.75" x14ac:dyDescent="0.2">
      <c r="A32" s="516" t="s">
        <v>49</v>
      </c>
      <c r="B32" s="517" t="s">
        <v>855</v>
      </c>
      <c r="C32" s="516" t="s">
        <v>235</v>
      </c>
      <c r="D32" s="516" t="s">
        <v>825</v>
      </c>
      <c r="E32" s="529">
        <v>48325.26</v>
      </c>
      <c r="F32" s="520"/>
      <c r="G32" s="520"/>
      <c r="H32" s="521">
        <f t="shared" si="0"/>
        <v>0</v>
      </c>
      <c r="I32" s="521">
        <f t="shared" si="1"/>
        <v>48325.26</v>
      </c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4"/>
      <c r="Y32" s="524"/>
      <c r="Z32" s="524"/>
      <c r="AA32" s="525"/>
      <c r="AB32" s="525"/>
      <c r="AC32" s="526"/>
    </row>
    <row r="33" spans="1:42" s="527" customFormat="1" ht="12.75" x14ac:dyDescent="0.2">
      <c r="A33" s="516" t="s">
        <v>22</v>
      </c>
      <c r="B33" s="517" t="s">
        <v>856</v>
      </c>
      <c r="C33" s="516" t="s">
        <v>569</v>
      </c>
      <c r="D33" s="516" t="s">
        <v>826</v>
      </c>
      <c r="E33" s="529">
        <v>48325.26</v>
      </c>
      <c r="F33" s="520"/>
      <c r="G33" s="520"/>
      <c r="H33" s="521">
        <f t="shared" si="0"/>
        <v>48325.259999999995</v>
      </c>
      <c r="I33" s="521">
        <f t="shared" si="1"/>
        <v>0</v>
      </c>
      <c r="J33" s="522">
        <v>20635</v>
      </c>
      <c r="K33" s="522"/>
      <c r="L33" s="522"/>
      <c r="M33" s="522"/>
      <c r="N33" s="522"/>
      <c r="O33" s="522"/>
      <c r="P33" s="522"/>
      <c r="Q33" s="522"/>
      <c r="R33" s="522"/>
      <c r="S33" s="522">
        <v>27690.26</v>
      </c>
      <c r="T33" s="522"/>
      <c r="U33" s="522"/>
      <c r="V33" s="522"/>
      <c r="W33" s="522"/>
      <c r="X33" s="524"/>
      <c r="Y33" s="524"/>
      <c r="Z33" s="524"/>
      <c r="AA33" s="525"/>
      <c r="AB33" s="525"/>
      <c r="AC33" s="526"/>
    </row>
    <row r="34" spans="1:42" s="527" customFormat="1" ht="12.75" x14ac:dyDescent="0.2">
      <c r="A34" s="516" t="s">
        <v>211</v>
      </c>
      <c r="B34" s="534" t="s">
        <v>857</v>
      </c>
      <c r="C34" s="516" t="s">
        <v>211</v>
      </c>
      <c r="D34" s="518" t="s">
        <v>827</v>
      </c>
      <c r="E34" s="529">
        <v>48325.26</v>
      </c>
      <c r="F34" s="520"/>
      <c r="G34" s="520"/>
      <c r="H34" s="521">
        <f t="shared" si="0"/>
        <v>0</v>
      </c>
      <c r="I34" s="521">
        <f t="shared" si="1"/>
        <v>48325.26</v>
      </c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4"/>
      <c r="Y34" s="524"/>
      <c r="Z34" s="524"/>
      <c r="AA34" s="525"/>
      <c r="AB34" s="525"/>
      <c r="AC34" s="526"/>
    </row>
    <row r="35" spans="1:42" s="527" customFormat="1" ht="12.75" x14ac:dyDescent="0.2">
      <c r="A35" s="516" t="s">
        <v>216</v>
      </c>
      <c r="B35" s="517" t="s">
        <v>858</v>
      </c>
      <c r="C35" s="516" t="s">
        <v>691</v>
      </c>
      <c r="D35" s="516" t="s">
        <v>828</v>
      </c>
      <c r="E35" s="529">
        <v>48325.26</v>
      </c>
      <c r="F35" s="520"/>
      <c r="G35" s="520"/>
      <c r="H35" s="521">
        <f t="shared" si="0"/>
        <v>30463.510000000002</v>
      </c>
      <c r="I35" s="521">
        <f t="shared" si="1"/>
        <v>17861.75</v>
      </c>
      <c r="J35" s="522"/>
      <c r="K35" s="522"/>
      <c r="L35" s="522"/>
      <c r="M35" s="522">
        <v>8138.93</v>
      </c>
      <c r="N35" s="522">
        <v>6873.86</v>
      </c>
      <c r="O35" s="522"/>
      <c r="P35" s="522"/>
      <c r="Q35" s="522">
        <v>15450.72</v>
      </c>
      <c r="R35" s="522"/>
      <c r="S35" s="522"/>
      <c r="T35" s="522"/>
      <c r="U35" s="522"/>
      <c r="V35" s="522"/>
      <c r="W35" s="522"/>
      <c r="X35" s="524"/>
      <c r="Y35" s="524"/>
      <c r="Z35" s="524"/>
      <c r="AA35" s="525"/>
      <c r="AB35" s="525"/>
      <c r="AC35" s="526"/>
    </row>
    <row r="36" spans="1:42" s="527" customFormat="1" ht="12.75" x14ac:dyDescent="0.2">
      <c r="A36" s="516" t="s">
        <v>965</v>
      </c>
      <c r="B36" s="534" t="s">
        <v>859</v>
      </c>
      <c r="C36" s="516" t="s">
        <v>692</v>
      </c>
      <c r="D36" s="516" t="s">
        <v>829</v>
      </c>
      <c r="E36" s="529">
        <v>48325.26</v>
      </c>
      <c r="F36" s="520"/>
      <c r="G36" s="520"/>
      <c r="H36" s="521">
        <f t="shared" si="0"/>
        <v>48325.260000000009</v>
      </c>
      <c r="I36" s="521">
        <f t="shared" si="1"/>
        <v>0</v>
      </c>
      <c r="J36" s="522"/>
      <c r="K36" s="522"/>
      <c r="L36" s="522"/>
      <c r="M36" s="522"/>
      <c r="N36" s="522"/>
      <c r="O36" s="522"/>
      <c r="P36" s="522">
        <v>21805.79</v>
      </c>
      <c r="Q36" s="522"/>
      <c r="R36" s="522">
        <v>8975.83</v>
      </c>
      <c r="S36" s="522"/>
      <c r="T36" s="522">
        <v>5939.73</v>
      </c>
      <c r="U36" s="522">
        <v>11603.91</v>
      </c>
      <c r="V36" s="522"/>
      <c r="W36" s="522"/>
      <c r="X36" s="524"/>
      <c r="Y36" s="524"/>
      <c r="Z36" s="524"/>
      <c r="AA36" s="525"/>
      <c r="AB36" s="525"/>
      <c r="AC36" s="526"/>
    </row>
    <row r="37" spans="1:42" s="527" customFormat="1" ht="12.75" x14ac:dyDescent="0.2">
      <c r="A37" s="516" t="s">
        <v>212</v>
      </c>
      <c r="B37" s="534" t="s">
        <v>860</v>
      </c>
      <c r="C37" s="516" t="s">
        <v>236</v>
      </c>
      <c r="D37" s="516" t="s">
        <v>830</v>
      </c>
      <c r="E37" s="529">
        <v>48325.26</v>
      </c>
      <c r="F37" s="520"/>
      <c r="G37" s="520"/>
      <c r="H37" s="521">
        <f t="shared" si="0"/>
        <v>42706.06</v>
      </c>
      <c r="I37" s="521">
        <f t="shared" si="1"/>
        <v>5619.2000000000044</v>
      </c>
      <c r="J37" s="522"/>
      <c r="K37" s="522">
        <v>19137.939999999999</v>
      </c>
      <c r="L37" s="522"/>
      <c r="M37" s="522">
        <v>513.46</v>
      </c>
      <c r="N37" s="522"/>
      <c r="O37" s="522">
        <v>15484.83</v>
      </c>
      <c r="P37" s="522"/>
      <c r="Q37" s="522"/>
      <c r="R37" s="522"/>
      <c r="S37" s="522"/>
      <c r="T37" s="522"/>
      <c r="U37" s="522">
        <v>2497.83</v>
      </c>
      <c r="V37" s="522">
        <v>5072</v>
      </c>
      <c r="W37" s="522"/>
      <c r="X37" s="524"/>
      <c r="Y37" s="524"/>
      <c r="Z37" s="524"/>
      <c r="AA37" s="525"/>
      <c r="AB37" s="525"/>
      <c r="AC37" s="526"/>
    </row>
    <row r="38" spans="1:42" s="526" customFormat="1" ht="12.75" x14ac:dyDescent="0.2">
      <c r="A38" s="516" t="s">
        <v>28</v>
      </c>
      <c r="B38" s="517" t="s">
        <v>861</v>
      </c>
      <c r="C38" s="516" t="s">
        <v>237</v>
      </c>
      <c r="D38" s="516" t="s">
        <v>831</v>
      </c>
      <c r="E38" s="529">
        <v>48325.26</v>
      </c>
      <c r="F38" s="520"/>
      <c r="G38" s="520"/>
      <c r="H38" s="521">
        <f t="shared" si="0"/>
        <v>23153.390000000003</v>
      </c>
      <c r="I38" s="521">
        <f t="shared" si="1"/>
        <v>25171.87</v>
      </c>
      <c r="J38" s="522"/>
      <c r="K38" s="522"/>
      <c r="L38" s="522"/>
      <c r="M38" s="522"/>
      <c r="N38" s="522"/>
      <c r="O38" s="522"/>
      <c r="P38" s="522"/>
      <c r="Q38" s="522">
        <v>15137.2</v>
      </c>
      <c r="R38" s="522"/>
      <c r="S38" s="522">
        <v>458.78</v>
      </c>
      <c r="T38" s="535">
        <f>6483.27+1074.14</f>
        <v>7557.4100000000008</v>
      </c>
      <c r="U38" s="522"/>
      <c r="V38" s="522"/>
      <c r="W38" s="522"/>
      <c r="X38" s="524"/>
      <c r="Y38" s="524"/>
      <c r="Z38" s="524"/>
      <c r="AA38" s="525"/>
      <c r="AB38" s="525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</row>
    <row r="39" spans="1:42" s="526" customFormat="1" ht="12.75" x14ac:dyDescent="0.2">
      <c r="A39" s="516" t="s">
        <v>33</v>
      </c>
      <c r="B39" s="516" t="s">
        <v>154</v>
      </c>
      <c r="C39" s="516">
        <v>9486</v>
      </c>
      <c r="D39" s="516" t="s">
        <v>956</v>
      </c>
      <c r="E39" s="529">
        <v>48325.26</v>
      </c>
      <c r="F39" s="520"/>
      <c r="G39" s="520"/>
      <c r="H39" s="521">
        <f t="shared" si="0"/>
        <v>33178.800000000003</v>
      </c>
      <c r="I39" s="521">
        <f t="shared" si="1"/>
        <v>15146.46</v>
      </c>
      <c r="J39" s="522"/>
      <c r="K39" s="522"/>
      <c r="L39" s="522"/>
      <c r="M39" s="522"/>
      <c r="N39" s="522"/>
      <c r="O39" s="522">
        <f>9335.11+31.29</f>
        <v>9366.4000000000015</v>
      </c>
      <c r="P39" s="522"/>
      <c r="Q39" s="522">
        <f>1111.08</f>
        <v>1111.08</v>
      </c>
      <c r="R39" s="389">
        <v>3795.63</v>
      </c>
      <c r="S39" s="389">
        <f>1468.73+1819.04</f>
        <v>3287.77</v>
      </c>
      <c r="T39" s="535">
        <v>2842.79</v>
      </c>
      <c r="U39" s="522">
        <v>12775.13</v>
      </c>
      <c r="V39" s="522"/>
      <c r="W39" s="522"/>
      <c r="X39" s="524"/>
      <c r="Y39" s="524"/>
      <c r="Z39" s="524"/>
      <c r="AA39" s="525"/>
      <c r="AB39" s="525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</row>
    <row r="40" spans="1:42" s="526" customFormat="1" ht="12.75" x14ac:dyDescent="0.2">
      <c r="A40" s="516" t="s">
        <v>33</v>
      </c>
      <c r="B40" s="516" t="s">
        <v>154</v>
      </c>
      <c r="C40" s="516" t="s">
        <v>239</v>
      </c>
      <c r="D40" s="516" t="s">
        <v>832</v>
      </c>
      <c r="E40" s="529">
        <v>48325.26</v>
      </c>
      <c r="F40" s="536"/>
      <c r="G40" s="520"/>
      <c r="H40" s="521">
        <f t="shared" si="0"/>
        <v>0</v>
      </c>
      <c r="I40" s="521">
        <f t="shared" si="1"/>
        <v>48325.26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525"/>
      <c r="Y40" s="525"/>
      <c r="Z40" s="525"/>
      <c r="AA40" s="525"/>
      <c r="AB40" s="537"/>
    </row>
    <row r="41" spans="1:42" s="527" customFormat="1" ht="12.75" customHeight="1" x14ac:dyDescent="0.25">
      <c r="A41" s="516" t="s">
        <v>63</v>
      </c>
      <c r="B41" s="516" t="s">
        <v>626</v>
      </c>
      <c r="C41" s="516" t="s">
        <v>230</v>
      </c>
      <c r="D41" s="516" t="s">
        <v>833</v>
      </c>
      <c r="E41" s="529">
        <v>48325.26</v>
      </c>
      <c r="F41" s="538"/>
      <c r="G41" s="520"/>
      <c r="H41" s="521">
        <f t="shared" si="0"/>
        <v>48325.26</v>
      </c>
      <c r="I41" s="521">
        <f t="shared" si="1"/>
        <v>0</v>
      </c>
      <c r="J41" s="539"/>
      <c r="K41" s="539"/>
      <c r="L41" s="539"/>
      <c r="M41" s="539"/>
      <c r="N41" s="539"/>
      <c r="O41" s="539"/>
      <c r="P41" s="539"/>
      <c r="Q41" s="523"/>
      <c r="R41" s="523">
        <v>22878.43</v>
      </c>
      <c r="S41" s="523">
        <v>14038.09</v>
      </c>
      <c r="T41" s="523">
        <v>6046.25</v>
      </c>
      <c r="U41" s="523">
        <v>5362.49</v>
      </c>
      <c r="V41" s="539"/>
      <c r="W41" s="539"/>
      <c r="X41" s="540"/>
      <c r="Y41" s="540"/>
      <c r="Z41" s="540"/>
      <c r="AA41" s="540"/>
      <c r="AB41" s="540"/>
    </row>
    <row r="42" spans="1:42" s="526" customFormat="1" ht="12.75" x14ac:dyDescent="0.2">
      <c r="A42" s="516" t="s">
        <v>63</v>
      </c>
      <c r="B42" s="516" t="s">
        <v>626</v>
      </c>
      <c r="C42" s="516" t="s">
        <v>231</v>
      </c>
      <c r="D42" s="516" t="s">
        <v>834</v>
      </c>
      <c r="E42" s="529">
        <v>48325.26</v>
      </c>
      <c r="F42" s="536"/>
      <c r="G42" s="520"/>
      <c r="H42" s="521">
        <f t="shared" si="0"/>
        <v>24908.2</v>
      </c>
      <c r="I42" s="521">
        <f t="shared" si="1"/>
        <v>23417.06</v>
      </c>
      <c r="J42" s="389"/>
      <c r="K42" s="389"/>
      <c r="L42" s="541"/>
      <c r="M42" s="389"/>
      <c r="N42" s="389"/>
      <c r="O42" s="389"/>
      <c r="P42" s="389"/>
      <c r="Q42" s="389"/>
      <c r="R42" s="389">
        <v>10344.780000000001</v>
      </c>
      <c r="S42" s="389"/>
      <c r="T42" s="389">
        <v>941.8</v>
      </c>
      <c r="U42" s="389">
        <f>1547.06</f>
        <v>1547.06</v>
      </c>
      <c r="V42" s="389">
        <f>9089.44+2985.12</f>
        <v>12074.560000000001</v>
      </c>
      <c r="W42" s="389"/>
      <c r="X42" s="525"/>
      <c r="Y42" s="525"/>
      <c r="Z42" s="525"/>
      <c r="AA42" s="525"/>
      <c r="AB42" s="537"/>
    </row>
    <row r="43" spans="1:42" s="526" customFormat="1" ht="12.75" x14ac:dyDescent="0.2">
      <c r="A43" s="516">
        <v>2000</v>
      </c>
      <c r="B43" s="516" t="s">
        <v>81</v>
      </c>
      <c r="C43" s="516" t="s">
        <v>80</v>
      </c>
      <c r="D43" s="516" t="s">
        <v>835</v>
      </c>
      <c r="E43" s="529">
        <v>48325.26</v>
      </c>
      <c r="F43" s="536"/>
      <c r="G43" s="520"/>
      <c r="H43" s="521">
        <f t="shared" si="0"/>
        <v>39603.96</v>
      </c>
      <c r="I43" s="521">
        <f t="shared" si="1"/>
        <v>8721.3000000000029</v>
      </c>
      <c r="J43" s="389"/>
      <c r="K43" s="389"/>
      <c r="L43" s="389"/>
      <c r="M43" s="389"/>
      <c r="N43" s="389">
        <f>7190.89+5400.89</f>
        <v>12591.78</v>
      </c>
      <c r="O43" s="389">
        <v>3735.75</v>
      </c>
      <c r="P43" s="389"/>
      <c r="Q43" s="389">
        <v>8498.52</v>
      </c>
      <c r="R43" s="389">
        <v>1217.6199999999999</v>
      </c>
      <c r="S43" s="389">
        <v>4209.46</v>
      </c>
      <c r="T43" s="389">
        <v>3761.91</v>
      </c>
      <c r="U43" s="389">
        <v>5588.92</v>
      </c>
      <c r="V43" s="389"/>
      <c r="W43" s="389"/>
      <c r="X43" s="525"/>
      <c r="Y43" s="525"/>
      <c r="Z43" s="525"/>
      <c r="AA43" s="525"/>
      <c r="AB43" s="537"/>
    </row>
    <row r="44" spans="1:42" s="526" customFormat="1" ht="12.75" x14ac:dyDescent="0.2">
      <c r="A44" s="516" t="s">
        <v>218</v>
      </c>
      <c r="B44" s="516" t="s">
        <v>627</v>
      </c>
      <c r="C44" s="516" t="s">
        <v>694</v>
      </c>
      <c r="D44" s="516" t="s">
        <v>836</v>
      </c>
      <c r="E44" s="529">
        <v>48325.26</v>
      </c>
      <c r="F44" s="536"/>
      <c r="G44" s="520"/>
      <c r="H44" s="521">
        <f t="shared" si="0"/>
        <v>21844.850000000002</v>
      </c>
      <c r="I44" s="521">
        <f t="shared" si="1"/>
        <v>26480.41</v>
      </c>
      <c r="J44" s="389"/>
      <c r="K44" s="389"/>
      <c r="L44" s="389"/>
      <c r="M44" s="389"/>
      <c r="N44" s="389">
        <v>2845.54</v>
      </c>
      <c r="O44" s="389"/>
      <c r="P44" s="389">
        <v>1254.3599999999999</v>
      </c>
      <c r="Q44" s="389">
        <f>3695.7+979.06</f>
        <v>4674.76</v>
      </c>
      <c r="R44" s="389">
        <v>832.31</v>
      </c>
      <c r="S44" s="389">
        <v>3441.08</v>
      </c>
      <c r="T44" s="389"/>
      <c r="U44" s="389">
        <v>4406.8500000000004</v>
      </c>
      <c r="V44" s="389">
        <v>4389.95</v>
      </c>
      <c r="W44" s="389"/>
      <c r="X44" s="525"/>
      <c r="Y44" s="525"/>
      <c r="Z44" s="525"/>
      <c r="AA44" s="525"/>
      <c r="AB44" s="537"/>
    </row>
    <row r="45" spans="1:42" s="526" customFormat="1" ht="12.75" x14ac:dyDescent="0.2">
      <c r="A45" s="516" t="s">
        <v>218</v>
      </c>
      <c r="B45" s="516" t="s">
        <v>627</v>
      </c>
      <c r="C45" s="516" t="s">
        <v>695</v>
      </c>
      <c r="D45" s="516" t="s">
        <v>837</v>
      </c>
      <c r="E45" s="529">
        <v>48325.26</v>
      </c>
      <c r="F45" s="536"/>
      <c r="G45" s="520"/>
      <c r="H45" s="521">
        <f t="shared" si="0"/>
        <v>19121.969999999998</v>
      </c>
      <c r="I45" s="521">
        <f t="shared" si="1"/>
        <v>29203.290000000005</v>
      </c>
      <c r="J45" s="389"/>
      <c r="K45" s="389"/>
      <c r="L45" s="389"/>
      <c r="M45" s="389"/>
      <c r="N45" s="389">
        <v>2251.8000000000002</v>
      </c>
      <c r="O45" s="389"/>
      <c r="P45" s="389">
        <v>1150.56</v>
      </c>
      <c r="Q45" s="389">
        <v>3006.27</v>
      </c>
      <c r="R45" s="389">
        <f>1184.06+697.21</f>
        <v>1881.27</v>
      </c>
      <c r="S45" s="389">
        <v>1562.99</v>
      </c>
      <c r="T45" s="389"/>
      <c r="U45" s="389">
        <v>4680.3900000000003</v>
      </c>
      <c r="V45" s="389">
        <v>4588.6899999999996</v>
      </c>
      <c r="W45" s="389"/>
      <c r="X45" s="525"/>
      <c r="Y45" s="525"/>
      <c r="Z45" s="525"/>
      <c r="AA45" s="525"/>
      <c r="AB45" s="537"/>
    </row>
    <row r="46" spans="1:42" s="526" customFormat="1" ht="12.75" x14ac:dyDescent="0.2">
      <c r="A46" s="516" t="s">
        <v>966</v>
      </c>
      <c r="B46" s="516" t="s">
        <v>229</v>
      </c>
      <c r="C46" s="516" t="s">
        <v>86</v>
      </c>
      <c r="D46" s="518" t="s">
        <v>838</v>
      </c>
      <c r="E46" s="519">
        <v>48325.26</v>
      </c>
      <c r="F46" s="536"/>
      <c r="G46" s="520"/>
      <c r="H46" s="521">
        <f t="shared" si="0"/>
        <v>30558.29</v>
      </c>
      <c r="I46" s="521">
        <f t="shared" si="1"/>
        <v>17766.97</v>
      </c>
      <c r="J46" s="522"/>
      <c r="K46" s="522"/>
      <c r="L46" s="522"/>
      <c r="M46" s="522"/>
      <c r="N46" s="522"/>
      <c r="O46" s="522"/>
      <c r="P46" s="522">
        <v>2200.6799999999998</v>
      </c>
      <c r="Q46" s="522">
        <v>1924.86</v>
      </c>
      <c r="R46" s="522">
        <f>2124.82+2068.39+2068.39</f>
        <v>6261.6</v>
      </c>
      <c r="S46" s="522">
        <v>2238.25</v>
      </c>
      <c r="T46" s="522">
        <v>5910.34</v>
      </c>
      <c r="U46" s="522">
        <f>2428.43</f>
        <v>2428.4299999999998</v>
      </c>
      <c r="V46" s="522">
        <v>5716.1</v>
      </c>
      <c r="W46" s="522">
        <v>3878.03</v>
      </c>
      <c r="X46" s="525"/>
      <c r="Y46" s="525"/>
      <c r="Z46" s="525"/>
      <c r="AA46" s="525"/>
      <c r="AB46" s="537"/>
    </row>
    <row r="47" spans="1:42" s="526" customFormat="1" ht="12.75" x14ac:dyDescent="0.2">
      <c r="A47" s="516" t="s">
        <v>966</v>
      </c>
      <c r="B47" s="516" t="s">
        <v>229</v>
      </c>
      <c r="C47" s="516" t="s">
        <v>697</v>
      </c>
      <c r="D47" s="518" t="s">
        <v>839</v>
      </c>
      <c r="E47" s="519">
        <v>48325.26</v>
      </c>
      <c r="F47" s="536"/>
      <c r="G47" s="520"/>
      <c r="H47" s="521">
        <f t="shared" si="0"/>
        <v>30256.970000000005</v>
      </c>
      <c r="I47" s="521">
        <f t="shared" si="1"/>
        <v>18068.289999999997</v>
      </c>
      <c r="J47" s="522"/>
      <c r="K47" s="522"/>
      <c r="L47" s="522"/>
      <c r="M47" s="522"/>
      <c r="N47" s="522"/>
      <c r="O47" s="542"/>
      <c r="P47" s="542">
        <v>2119.5300000000002</v>
      </c>
      <c r="Q47" s="542">
        <v>2016.17</v>
      </c>
      <c r="R47" s="522">
        <f>2028.41+2052.61+2052.61</f>
        <v>6133.630000000001</v>
      </c>
      <c r="S47" s="522">
        <v>2221.2600000000002</v>
      </c>
      <c r="T47" s="522">
        <v>6036.19</v>
      </c>
      <c r="U47" s="522">
        <f>2372.66</f>
        <v>2372.66</v>
      </c>
      <c r="V47" s="522">
        <v>5622.33</v>
      </c>
      <c r="W47" s="522">
        <v>3735.2</v>
      </c>
      <c r="X47" s="525"/>
      <c r="Y47" s="525"/>
      <c r="Z47" s="525"/>
      <c r="AA47" s="525"/>
      <c r="AB47" s="537"/>
    </row>
    <row r="48" spans="1:42" s="526" customFormat="1" ht="12.75" x14ac:dyDescent="0.2">
      <c r="A48" s="516" t="s">
        <v>966</v>
      </c>
      <c r="B48" s="516" t="s">
        <v>229</v>
      </c>
      <c r="C48" s="516" t="s">
        <v>698</v>
      </c>
      <c r="D48" s="518" t="s">
        <v>840</v>
      </c>
      <c r="E48" s="519">
        <v>48325.26</v>
      </c>
      <c r="F48" s="536"/>
      <c r="G48" s="520"/>
      <c r="H48" s="521">
        <f t="shared" si="0"/>
        <v>48325.259999999995</v>
      </c>
      <c r="I48" s="521">
        <f t="shared" si="1"/>
        <v>0</v>
      </c>
      <c r="J48" s="389"/>
      <c r="K48" s="541"/>
      <c r="L48" s="541">
        <v>3958.91</v>
      </c>
      <c r="M48" s="541">
        <v>29825.31</v>
      </c>
      <c r="N48" s="541"/>
      <c r="O48" s="389">
        <v>11700.7</v>
      </c>
      <c r="P48" s="541">
        <v>2840.34</v>
      </c>
      <c r="Q48" s="389"/>
      <c r="R48" s="389"/>
      <c r="S48" s="389"/>
      <c r="T48" s="389"/>
      <c r="U48" s="389"/>
      <c r="V48" s="389"/>
      <c r="W48" s="389"/>
      <c r="X48" s="525"/>
      <c r="Y48" s="525"/>
      <c r="Z48" s="525"/>
      <c r="AA48" s="525"/>
      <c r="AB48" s="537"/>
    </row>
    <row r="49" spans="1:28" s="526" customFormat="1" ht="12.75" x14ac:dyDescent="0.2">
      <c r="A49" s="516" t="s">
        <v>966</v>
      </c>
      <c r="B49" s="516" t="s">
        <v>229</v>
      </c>
      <c r="C49" s="516">
        <v>7467</v>
      </c>
      <c r="D49" s="518" t="s">
        <v>809</v>
      </c>
      <c r="E49" s="519">
        <v>48325.26</v>
      </c>
      <c r="F49" s="536"/>
      <c r="G49" s="520"/>
      <c r="H49" s="521">
        <f t="shared" si="0"/>
        <v>48325.259999999995</v>
      </c>
      <c r="I49" s="521">
        <f t="shared" si="1"/>
        <v>0</v>
      </c>
      <c r="J49" s="389"/>
      <c r="K49" s="541"/>
      <c r="L49" s="541">
        <v>4709.46</v>
      </c>
      <c r="M49" s="541">
        <v>28005.54</v>
      </c>
      <c r="N49" s="541"/>
      <c r="O49" s="389">
        <v>15421.45</v>
      </c>
      <c r="P49" s="389">
        <v>188.81</v>
      </c>
      <c r="Q49" s="389"/>
      <c r="R49" s="389"/>
      <c r="S49" s="389"/>
      <c r="T49" s="389"/>
      <c r="U49" s="389"/>
      <c r="V49" s="389"/>
      <c r="W49" s="389"/>
      <c r="X49" s="525"/>
      <c r="Y49" s="525"/>
      <c r="Z49" s="525"/>
      <c r="AA49" s="525"/>
    </row>
    <row r="50" spans="1:28" s="526" customFormat="1" ht="12.75" x14ac:dyDescent="0.2">
      <c r="A50" s="516" t="s">
        <v>215</v>
      </c>
      <c r="B50" s="516" t="s">
        <v>226</v>
      </c>
      <c r="C50" s="516" t="s">
        <v>699</v>
      </c>
      <c r="D50" s="518" t="s">
        <v>841</v>
      </c>
      <c r="E50" s="519">
        <v>48325.26</v>
      </c>
      <c r="F50" s="536"/>
      <c r="G50" s="520"/>
      <c r="H50" s="521">
        <f t="shared" si="0"/>
        <v>48325.259999999995</v>
      </c>
      <c r="I50" s="521">
        <f t="shared" si="1"/>
        <v>0</v>
      </c>
      <c r="J50" s="389"/>
      <c r="K50" s="389"/>
      <c r="L50" s="541">
        <v>2408.23</v>
      </c>
      <c r="M50" s="389">
        <v>26490.48</v>
      </c>
      <c r="N50" s="389"/>
      <c r="O50" s="389">
        <v>14931.99</v>
      </c>
      <c r="P50" s="389">
        <v>4494.5600000000004</v>
      </c>
      <c r="Q50" s="389"/>
      <c r="R50" s="389"/>
      <c r="S50" s="389"/>
      <c r="T50" s="389"/>
      <c r="U50" s="389"/>
      <c r="V50" s="389"/>
      <c r="W50" s="389"/>
      <c r="X50" s="525"/>
      <c r="Y50" s="525"/>
      <c r="Z50" s="525"/>
      <c r="AA50" s="525"/>
    </row>
    <row r="51" spans="1:28" s="526" customFormat="1" ht="12.75" x14ac:dyDescent="0.2">
      <c r="A51" s="516" t="s">
        <v>215</v>
      </c>
      <c r="B51" s="516" t="s">
        <v>226</v>
      </c>
      <c r="C51" s="516" t="s">
        <v>700</v>
      </c>
      <c r="D51" s="518" t="s">
        <v>842</v>
      </c>
      <c r="E51" s="519">
        <v>48325.26</v>
      </c>
      <c r="F51" s="536"/>
      <c r="G51" s="520"/>
      <c r="H51" s="521">
        <f t="shared" si="0"/>
        <v>48325.26</v>
      </c>
      <c r="I51" s="521">
        <f t="shared" si="1"/>
        <v>0</v>
      </c>
      <c r="J51" s="389"/>
      <c r="K51" s="389"/>
      <c r="L51" s="541">
        <v>1809.45</v>
      </c>
      <c r="M51" s="389">
        <v>22263.360000000001</v>
      </c>
      <c r="N51" s="389"/>
      <c r="O51" s="389">
        <v>15766.59</v>
      </c>
      <c r="P51" s="389">
        <v>8485.86</v>
      </c>
      <c r="Q51" s="389"/>
      <c r="R51" s="389"/>
      <c r="S51" s="389"/>
      <c r="T51" s="389"/>
      <c r="U51" s="389"/>
      <c r="V51" s="389"/>
      <c r="W51" s="389"/>
      <c r="X51" s="525"/>
      <c r="Y51" s="525"/>
      <c r="Z51" s="525"/>
      <c r="AA51" s="525"/>
    </row>
    <row r="52" spans="1:28" s="526" customFormat="1" ht="12.75" x14ac:dyDescent="0.2">
      <c r="A52" s="516" t="s">
        <v>967</v>
      </c>
      <c r="B52" s="516" t="s">
        <v>23</v>
      </c>
      <c r="C52" s="516" t="s">
        <v>702</v>
      </c>
      <c r="D52" s="518" t="s">
        <v>844</v>
      </c>
      <c r="E52" s="519">
        <v>48325.26</v>
      </c>
      <c r="F52" s="536"/>
      <c r="G52" s="520"/>
      <c r="H52" s="521">
        <f t="shared" si="0"/>
        <v>1384</v>
      </c>
      <c r="I52" s="521">
        <f t="shared" si="1"/>
        <v>46941.26</v>
      </c>
      <c r="J52" s="389"/>
      <c r="K52" s="389"/>
      <c r="L52" s="389"/>
      <c r="M52" s="389"/>
      <c r="N52" s="389">
        <v>1016</v>
      </c>
      <c r="O52" s="389"/>
      <c r="P52" s="389"/>
      <c r="Q52" s="389"/>
      <c r="R52" s="389"/>
      <c r="S52" s="389"/>
      <c r="T52" s="389"/>
      <c r="U52" s="389">
        <v>368</v>
      </c>
      <c r="V52" s="389"/>
      <c r="W52" s="389"/>
      <c r="X52" s="525"/>
      <c r="Y52" s="525"/>
      <c r="Z52" s="525"/>
      <c r="AA52" s="525"/>
    </row>
    <row r="53" spans="1:28" s="526" customFormat="1" ht="12.75" x14ac:dyDescent="0.2">
      <c r="A53" s="516" t="s">
        <v>967</v>
      </c>
      <c r="B53" s="516" t="s">
        <v>23</v>
      </c>
      <c r="C53" s="516">
        <v>5834</v>
      </c>
      <c r="D53" s="518" t="s">
        <v>845</v>
      </c>
      <c r="E53" s="519">
        <v>48325.26</v>
      </c>
      <c r="F53" s="536"/>
      <c r="G53" s="520"/>
      <c r="H53" s="521">
        <f t="shared" si="0"/>
        <v>1492</v>
      </c>
      <c r="I53" s="521">
        <f t="shared" si="1"/>
        <v>46833.26</v>
      </c>
      <c r="J53" s="389"/>
      <c r="K53" s="389"/>
      <c r="L53" s="389"/>
      <c r="M53" s="389"/>
      <c r="N53" s="389">
        <v>228</v>
      </c>
      <c r="O53" s="389"/>
      <c r="P53" s="389"/>
      <c r="Q53" s="389"/>
      <c r="R53" s="389"/>
      <c r="S53" s="389"/>
      <c r="T53" s="389"/>
      <c r="U53" s="389">
        <v>1264</v>
      </c>
      <c r="V53" s="389"/>
      <c r="W53" s="389"/>
      <c r="X53" s="525"/>
      <c r="Y53" s="525"/>
      <c r="Z53" s="525"/>
      <c r="AA53" s="525"/>
    </row>
    <row r="54" spans="1:28" s="526" customFormat="1" ht="12.75" x14ac:dyDescent="0.2">
      <c r="A54" s="516" t="s">
        <v>968</v>
      </c>
      <c r="B54" s="516" t="s">
        <v>23</v>
      </c>
      <c r="C54" s="516" t="s">
        <v>701</v>
      </c>
      <c r="D54" s="516" t="s">
        <v>843</v>
      </c>
      <c r="E54" s="529">
        <v>48325.26</v>
      </c>
      <c r="F54" s="536"/>
      <c r="G54" s="520"/>
      <c r="H54" s="521">
        <f t="shared" si="0"/>
        <v>1687</v>
      </c>
      <c r="I54" s="521">
        <f t="shared" si="1"/>
        <v>46638.26</v>
      </c>
      <c r="J54" s="389"/>
      <c r="K54" s="389"/>
      <c r="L54" s="389"/>
      <c r="M54" s="389"/>
      <c r="N54" s="389">
        <v>1022</v>
      </c>
      <c r="O54" s="389"/>
      <c r="P54" s="389"/>
      <c r="Q54" s="389"/>
      <c r="R54" s="389"/>
      <c r="S54" s="389"/>
      <c r="T54" s="389"/>
      <c r="U54" s="389">
        <v>665</v>
      </c>
      <c r="V54" s="389"/>
      <c r="W54" s="389"/>
      <c r="X54" s="525"/>
      <c r="Y54" s="525"/>
      <c r="Z54" s="525"/>
      <c r="AA54" s="525"/>
    </row>
    <row r="55" spans="1:28" x14ac:dyDescent="0.25">
      <c r="E55" s="16"/>
      <c r="F55" s="16"/>
      <c r="G55" s="16"/>
      <c r="H55" s="16"/>
      <c r="I55" s="16"/>
    </row>
    <row r="56" spans="1:28" ht="15.75" thickBot="1" x14ac:dyDescent="0.3">
      <c r="H56" s="16"/>
      <c r="I56" s="16"/>
    </row>
    <row r="57" spans="1:28" s="14" customFormat="1" ht="15.75" thickBot="1" x14ac:dyDescent="0.3">
      <c r="A57" s="376"/>
      <c r="B57" s="377"/>
      <c r="C57" s="378"/>
      <c r="D57" s="377"/>
      <c r="E57" s="379">
        <f>SUM(E9:E56)</f>
        <v>2222961.9999999995</v>
      </c>
      <c r="F57" s="379">
        <f t="shared" ref="F57:AB57" si="2">SUM(F9:F56)</f>
        <v>0</v>
      </c>
      <c r="G57" s="379">
        <f t="shared" si="2"/>
        <v>0</v>
      </c>
      <c r="H57" s="379">
        <f t="shared" si="2"/>
        <v>1192307.27</v>
      </c>
      <c r="I57" s="379">
        <f t="shared" si="2"/>
        <v>1030654.7300000002</v>
      </c>
      <c r="J57" s="379">
        <f t="shared" si="2"/>
        <v>117285.52</v>
      </c>
      <c r="K57" s="379">
        <f t="shared" si="2"/>
        <v>23537.199999999997</v>
      </c>
      <c r="L57" s="379">
        <f t="shared" si="2"/>
        <v>17486.41</v>
      </c>
      <c r="M57" s="379">
        <f t="shared" si="2"/>
        <v>120808.92</v>
      </c>
      <c r="N57" s="379">
        <f t="shared" si="2"/>
        <v>30444.29</v>
      </c>
      <c r="O57" s="379">
        <f t="shared" si="2"/>
        <v>118004.71</v>
      </c>
      <c r="P57" s="379">
        <f t="shared" si="2"/>
        <v>94633.109999999986</v>
      </c>
      <c r="Q57" s="379">
        <f t="shared" si="2"/>
        <v>76716.38</v>
      </c>
      <c r="R57" s="379">
        <f t="shared" si="2"/>
        <v>118629.74</v>
      </c>
      <c r="S57" s="379">
        <f t="shared" si="2"/>
        <v>98680.470000000016</v>
      </c>
      <c r="T57" s="379">
        <f t="shared" si="2"/>
        <v>77159.14</v>
      </c>
      <c r="U57" s="379">
        <f t="shared" si="2"/>
        <v>160630.28000000003</v>
      </c>
      <c r="V57" s="379">
        <f t="shared" si="2"/>
        <v>69052.209999999992</v>
      </c>
      <c r="W57" s="379">
        <f t="shared" si="2"/>
        <v>69238.89</v>
      </c>
      <c r="X57" s="379">
        <f t="shared" si="2"/>
        <v>0</v>
      </c>
      <c r="Y57" s="379">
        <f t="shared" si="2"/>
        <v>0</v>
      </c>
      <c r="Z57" s="379">
        <f t="shared" si="2"/>
        <v>0</v>
      </c>
      <c r="AA57" s="379">
        <f t="shared" si="2"/>
        <v>0</v>
      </c>
      <c r="AB57" s="380">
        <f t="shared" si="2"/>
        <v>0</v>
      </c>
    </row>
    <row r="58" spans="1:28" x14ac:dyDescent="0.25">
      <c r="H58" s="16"/>
      <c r="I58" s="16"/>
    </row>
  </sheetData>
  <sheetProtection algorithmName="SHA-512" hashValue="H39f7CoAEL7jIGkcGYYNsvOYqaitCe1KQfyaDysFYqudy8+gDikcCVf0vb+GPw+hsB1EXsa6N87T3wkf+i/SkA==" saltValue="KmofSv4IqE/aCyRmpqXLJw==" spinCount="100000" sheet="1" objects="1" scenarios="1"/>
  <autoFilter ref="A8:AP38" xr:uid="{00000000-0009-0000-0000-000001000000}">
    <sortState xmlns:xlrd2="http://schemas.microsoft.com/office/spreadsheetml/2017/richdata2" ref="A9:AO38">
      <sortCondition ref="A8"/>
    </sortState>
  </autoFilter>
  <mergeCells count="1">
    <mergeCell ref="A7:I7"/>
  </mergeCells>
  <hyperlinks>
    <hyperlink ref="C5" r:id="rId1" xr:uid="{E18DA8BB-9962-4032-9F15-3BAA1F96D3BA}"/>
  </hyperlinks>
  <pageMargins left="0.7" right="0.7" top="0.75" bottom="0.75" header="0.3" footer="0.3"/>
  <pageSetup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4">
    <tabColor theme="2"/>
  </sheetPr>
  <dimension ref="A1:M49"/>
  <sheetViews>
    <sheetView topLeftCell="B1" workbookViewId="0">
      <pane xSplit="6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I24" sqref="I24"/>
    </sheetView>
  </sheetViews>
  <sheetFormatPr defaultColWidth="8.5703125" defaultRowHeight="15" x14ac:dyDescent="0.25"/>
  <cols>
    <col min="1" max="1" width="8.5703125" style="2"/>
    <col min="2" max="2" width="31.5703125" customWidth="1"/>
    <col min="3" max="6" width="14.5703125" customWidth="1"/>
    <col min="7" max="7" width="18.5703125" customWidth="1"/>
    <col min="8" max="10" width="15.5703125" customWidth="1"/>
    <col min="11" max="11" width="13.42578125" customWidth="1"/>
    <col min="12" max="13" width="21.42578125" customWidth="1"/>
  </cols>
  <sheetData>
    <row r="1" spans="1:13" ht="21" x14ac:dyDescent="0.35">
      <c r="A1" s="50" t="s">
        <v>0</v>
      </c>
      <c r="B1" s="41"/>
      <c r="C1" s="28" t="s">
        <v>127</v>
      </c>
      <c r="D1" s="28"/>
      <c r="E1" s="28"/>
      <c r="F1" s="29"/>
      <c r="G1" s="42"/>
      <c r="H1" s="37"/>
      <c r="I1" s="37"/>
      <c r="J1" s="41"/>
      <c r="K1" s="41"/>
      <c r="L1" s="28"/>
      <c r="M1" s="28"/>
    </row>
    <row r="2" spans="1:13" ht="21" x14ac:dyDescent="0.35">
      <c r="A2" s="28" t="s">
        <v>137</v>
      </c>
      <c r="B2" s="41"/>
      <c r="C2" s="28" t="s">
        <v>139</v>
      </c>
      <c r="D2" s="28"/>
      <c r="E2" s="28"/>
      <c r="F2" s="29"/>
      <c r="G2" s="42"/>
      <c r="H2" s="37"/>
      <c r="I2" s="37"/>
      <c r="J2" s="41"/>
      <c r="K2" s="41"/>
      <c r="L2" s="28"/>
      <c r="M2" s="28"/>
    </row>
    <row r="3" spans="1:13" ht="15.75" x14ac:dyDescent="0.25">
      <c r="A3" s="51" t="s">
        <v>1</v>
      </c>
      <c r="B3" s="41"/>
      <c r="C3" s="79" t="s">
        <v>128</v>
      </c>
      <c r="D3" s="79"/>
      <c r="E3" s="79"/>
      <c r="F3" s="29"/>
      <c r="G3" s="42"/>
      <c r="H3" s="41"/>
      <c r="I3" s="41"/>
      <c r="J3" s="41"/>
      <c r="K3" s="41"/>
      <c r="L3" s="42"/>
      <c r="M3" s="42"/>
    </row>
    <row r="4" spans="1:13" ht="15.75" x14ac:dyDescent="0.25">
      <c r="A4" s="51" t="s">
        <v>2</v>
      </c>
      <c r="B4" s="41"/>
      <c r="C4" s="29" t="s">
        <v>149</v>
      </c>
      <c r="D4" s="29"/>
      <c r="E4" s="29"/>
      <c r="F4" s="29"/>
      <c r="G4" s="42"/>
      <c r="H4" s="41"/>
      <c r="I4" s="41"/>
      <c r="J4" s="41"/>
      <c r="K4" s="41"/>
      <c r="L4" s="42"/>
      <c r="M4" s="42"/>
    </row>
    <row r="5" spans="1:13" ht="15.75" x14ac:dyDescent="0.25">
      <c r="A5" s="51" t="s">
        <v>17</v>
      </c>
      <c r="B5" s="41"/>
      <c r="C5" s="29" t="s">
        <v>195</v>
      </c>
      <c r="D5" s="29"/>
      <c r="E5" s="29"/>
      <c r="F5" s="29"/>
      <c r="G5" s="40"/>
      <c r="H5" s="41"/>
      <c r="I5" s="41"/>
      <c r="J5" s="41"/>
      <c r="K5" s="41"/>
      <c r="L5" s="40"/>
      <c r="M5" s="40"/>
    </row>
    <row r="6" spans="1:13" ht="15.75" x14ac:dyDescent="0.25">
      <c r="A6" s="51" t="s">
        <v>18</v>
      </c>
      <c r="B6" s="41"/>
      <c r="C6" s="29" t="s">
        <v>31</v>
      </c>
      <c r="D6" s="29"/>
      <c r="E6" s="29"/>
      <c r="F6" s="29"/>
      <c r="G6" s="40"/>
      <c r="H6" s="41"/>
      <c r="I6" s="41"/>
      <c r="J6" s="41"/>
      <c r="K6" s="41"/>
      <c r="L6" s="40"/>
      <c r="M6" s="40"/>
    </row>
    <row r="7" spans="1:13" ht="16.5" thickBot="1" x14ac:dyDescent="0.3">
      <c r="A7" s="51"/>
      <c r="B7" s="41"/>
      <c r="C7" s="29"/>
      <c r="D7" s="29"/>
      <c r="E7" s="29"/>
      <c r="F7" s="29"/>
      <c r="G7" s="40"/>
      <c r="H7" s="41"/>
      <c r="I7" s="41"/>
      <c r="J7" s="41"/>
      <c r="K7" s="41"/>
      <c r="L7" s="40"/>
      <c r="M7" s="40"/>
    </row>
    <row r="8" spans="1:13" ht="30.75" thickBot="1" x14ac:dyDescent="0.3">
      <c r="A8" s="11" t="s">
        <v>130</v>
      </c>
      <c r="B8" s="12" t="s">
        <v>124</v>
      </c>
      <c r="C8" s="13" t="s">
        <v>14</v>
      </c>
      <c r="D8" s="43" t="s">
        <v>97</v>
      </c>
      <c r="E8" s="43" t="s">
        <v>132</v>
      </c>
      <c r="F8" s="12" t="s">
        <v>15</v>
      </c>
      <c r="G8" s="116" t="s">
        <v>16</v>
      </c>
      <c r="H8" s="12" t="s">
        <v>61</v>
      </c>
      <c r="I8" s="12" t="s">
        <v>62</v>
      </c>
      <c r="J8" s="12" t="s">
        <v>110</v>
      </c>
      <c r="K8" s="12" t="s">
        <v>111</v>
      </c>
      <c r="L8" s="12" t="s">
        <v>144</v>
      </c>
      <c r="M8" s="12" t="s">
        <v>145</v>
      </c>
    </row>
    <row r="9" spans="1:13" s="31" customFormat="1" ht="15.75" thickBot="1" x14ac:dyDescent="0.3">
      <c r="A9" s="73"/>
      <c r="B9" s="74"/>
      <c r="C9" s="132"/>
      <c r="D9" s="83">
        <v>0</v>
      </c>
      <c r="E9" s="83">
        <f>C9+D9</f>
        <v>0</v>
      </c>
      <c r="F9" s="68">
        <f>H9+I9+J9+K9</f>
        <v>0</v>
      </c>
      <c r="G9" s="97">
        <f>C9-F9</f>
        <v>0</v>
      </c>
      <c r="H9"/>
      <c r="I9"/>
      <c r="J9" s="117"/>
      <c r="K9" s="117"/>
      <c r="L9"/>
      <c r="M9"/>
    </row>
    <row r="10" spans="1:13" s="31" customFormat="1" ht="15.75" thickBot="1" x14ac:dyDescent="0.3">
      <c r="A10" s="73"/>
      <c r="B10" s="74"/>
      <c r="C10" s="132"/>
      <c r="D10" s="83">
        <v>0</v>
      </c>
      <c r="E10" s="83">
        <f>C10+D10</f>
        <v>0</v>
      </c>
      <c r="F10" s="68">
        <f>H10+I10+J10+K10</f>
        <v>0</v>
      </c>
      <c r="G10" s="97">
        <f>C10-F10</f>
        <v>0</v>
      </c>
      <c r="H10"/>
      <c r="I10"/>
      <c r="J10" s="117"/>
      <c r="K10" s="117"/>
      <c r="L10"/>
      <c r="M10"/>
    </row>
    <row r="11" spans="1:13" s="31" customFormat="1" ht="15.75" thickBot="1" x14ac:dyDescent="0.3">
      <c r="A11" s="73"/>
      <c r="B11" s="74"/>
      <c r="C11" s="132"/>
      <c r="D11" s="83">
        <v>0</v>
      </c>
      <c r="E11" s="83">
        <f>C11+D11</f>
        <v>0</v>
      </c>
      <c r="F11" s="68">
        <f>H11+I11+J11+K11</f>
        <v>0</v>
      </c>
      <c r="G11" s="97">
        <f>C11-F11</f>
        <v>0</v>
      </c>
      <c r="H11"/>
      <c r="I11"/>
      <c r="J11" s="117"/>
      <c r="K11" s="117"/>
      <c r="L11"/>
      <c r="M11"/>
    </row>
    <row r="12" spans="1:13" ht="15.75" thickBot="1" x14ac:dyDescent="0.3">
      <c r="A12" s="75"/>
      <c r="B12" s="49"/>
      <c r="C12" s="132"/>
      <c r="D12" s="68"/>
      <c r="E12" s="68"/>
      <c r="F12" s="68"/>
      <c r="G12" s="97"/>
    </row>
    <row r="13" spans="1:13" s="14" customFormat="1" ht="15.75" thickBot="1" x14ac:dyDescent="0.3">
      <c r="A13" s="78" t="s">
        <v>44</v>
      </c>
      <c r="B13" s="36"/>
      <c r="C13" s="72">
        <f>SUM(C9:C12)</f>
        <v>0</v>
      </c>
      <c r="D13" s="72">
        <v>0</v>
      </c>
      <c r="E13" s="72">
        <f>C13+D13</f>
        <v>0</v>
      </c>
      <c r="F13" s="72">
        <f>SUM(F9:F12)</f>
        <v>0</v>
      </c>
      <c r="G13" s="72">
        <f>SUM(G9:G12)</f>
        <v>0</v>
      </c>
      <c r="H13" s="72">
        <f>SUM(H9:H11)</f>
        <v>0</v>
      </c>
      <c r="I13" s="72">
        <f>SUM(I9:I11)</f>
        <v>0</v>
      </c>
      <c r="J13" s="72">
        <f>SUM(J9:J12)</f>
        <v>0</v>
      </c>
      <c r="K13" s="72">
        <f>SUM(K9:K12)</f>
        <v>0</v>
      </c>
      <c r="L13" s="72">
        <f>SUM(L9:L12)</f>
        <v>0</v>
      </c>
      <c r="M13" s="72">
        <f>SUM(M9:M12)</f>
        <v>0</v>
      </c>
    </row>
    <row r="14" spans="1:13" x14ac:dyDescent="0.25">
      <c r="C14" s="16"/>
      <c r="D14" s="16"/>
      <c r="E14" s="16"/>
      <c r="F14" s="16"/>
      <c r="G14" s="16"/>
      <c r="L14" s="62"/>
      <c r="M14" s="62"/>
    </row>
    <row r="15" spans="1:13" x14ac:dyDescent="0.25">
      <c r="C15" s="16"/>
      <c r="D15" s="16"/>
      <c r="E15" s="16"/>
      <c r="F15" s="16"/>
      <c r="G15" s="16"/>
      <c r="L15" s="62"/>
      <c r="M15" s="62"/>
    </row>
    <row r="16" spans="1:13" x14ac:dyDescent="0.25">
      <c r="C16" s="16"/>
      <c r="D16" s="16"/>
      <c r="E16" s="16"/>
      <c r="F16" s="16"/>
      <c r="G16" s="16"/>
    </row>
    <row r="17" spans="3:13" x14ac:dyDescent="0.25">
      <c r="C17" s="16"/>
      <c r="D17" s="16"/>
      <c r="E17" s="16"/>
      <c r="F17" s="16"/>
      <c r="G17" s="16"/>
    </row>
    <row r="18" spans="3:13" x14ac:dyDescent="0.25">
      <c r="C18" s="16"/>
      <c r="D18" s="16"/>
      <c r="E18" s="16"/>
      <c r="F18" s="16"/>
      <c r="G18" s="16"/>
    </row>
    <row r="19" spans="3:13" x14ac:dyDescent="0.25">
      <c r="C19" s="16"/>
      <c r="D19" s="16"/>
      <c r="E19" s="16"/>
      <c r="F19" s="16"/>
      <c r="G19" s="16"/>
      <c r="L19" s="62"/>
      <c r="M19" s="62"/>
    </row>
    <row r="20" spans="3:13" x14ac:dyDescent="0.25">
      <c r="C20" s="16"/>
      <c r="D20" s="16"/>
      <c r="E20" s="16"/>
      <c r="F20" s="16"/>
      <c r="G20" s="16"/>
    </row>
    <row r="21" spans="3:13" x14ac:dyDescent="0.25">
      <c r="C21" s="16"/>
      <c r="D21" s="16"/>
      <c r="E21" s="16"/>
      <c r="F21" s="16"/>
      <c r="G21" s="16"/>
      <c r="L21" s="62"/>
      <c r="M21" s="62"/>
    </row>
    <row r="22" spans="3:13" x14ac:dyDescent="0.25">
      <c r="C22" s="16"/>
      <c r="D22" s="16"/>
      <c r="E22" s="16"/>
      <c r="F22" s="16"/>
      <c r="G22" s="16"/>
    </row>
    <row r="23" spans="3:13" x14ac:dyDescent="0.25">
      <c r="C23" s="16"/>
      <c r="D23" s="16"/>
      <c r="E23" s="16"/>
      <c r="F23" s="16"/>
      <c r="G23" s="16"/>
    </row>
    <row r="24" spans="3:13" x14ac:dyDescent="0.25">
      <c r="C24" s="16"/>
      <c r="D24" s="16"/>
      <c r="E24" s="16"/>
      <c r="F24" s="16"/>
      <c r="G24" s="16"/>
    </row>
    <row r="25" spans="3:13" x14ac:dyDescent="0.25">
      <c r="C25" s="16"/>
      <c r="D25" s="16"/>
      <c r="E25" s="16"/>
      <c r="F25" s="16"/>
      <c r="G25" s="16"/>
      <c r="L25" s="62"/>
      <c r="M25" s="62"/>
    </row>
    <row r="26" spans="3:13" x14ac:dyDescent="0.25">
      <c r="C26" s="16"/>
      <c r="D26" s="16"/>
      <c r="E26" s="16"/>
      <c r="F26" s="16"/>
      <c r="G26" s="16"/>
      <c r="L26" s="62"/>
      <c r="M26" s="62"/>
    </row>
    <row r="27" spans="3:13" x14ac:dyDescent="0.25">
      <c r="C27" s="16"/>
      <c r="D27" s="16"/>
      <c r="E27" s="16"/>
      <c r="F27" s="16"/>
      <c r="G27" s="16"/>
    </row>
    <row r="28" spans="3:13" x14ac:dyDescent="0.25">
      <c r="C28" s="16"/>
      <c r="D28" s="16"/>
      <c r="E28" s="16"/>
      <c r="F28" s="16"/>
      <c r="G28" s="16"/>
    </row>
    <row r="29" spans="3:13" x14ac:dyDescent="0.25">
      <c r="C29" s="16"/>
      <c r="D29" s="16"/>
      <c r="E29" s="16"/>
      <c r="F29" s="16"/>
      <c r="G29" s="16"/>
    </row>
    <row r="30" spans="3:13" x14ac:dyDescent="0.25">
      <c r="C30" s="16"/>
      <c r="D30" s="16"/>
      <c r="E30" s="16"/>
      <c r="F30" s="16"/>
      <c r="G30" s="16"/>
    </row>
    <row r="31" spans="3:13" x14ac:dyDescent="0.25">
      <c r="C31" s="16"/>
      <c r="D31" s="16"/>
      <c r="E31" s="16"/>
      <c r="F31" s="16"/>
      <c r="G31" s="16"/>
    </row>
    <row r="32" spans="3:13" x14ac:dyDescent="0.25">
      <c r="C32" s="16"/>
      <c r="D32" s="16"/>
      <c r="E32" s="16"/>
      <c r="F32" s="16"/>
      <c r="G32" s="16"/>
      <c r="L32" s="62"/>
      <c r="M32" s="62"/>
    </row>
    <row r="33" spans="3:13" x14ac:dyDescent="0.25">
      <c r="C33" s="16"/>
      <c r="D33" s="16"/>
      <c r="E33" s="16"/>
      <c r="F33" s="16"/>
      <c r="G33" s="16"/>
    </row>
    <row r="34" spans="3:13" x14ac:dyDescent="0.25">
      <c r="C34" s="16"/>
      <c r="D34" s="16"/>
      <c r="E34" s="16"/>
      <c r="F34" s="16"/>
      <c r="G34" s="16"/>
    </row>
    <row r="35" spans="3:13" x14ac:dyDescent="0.25">
      <c r="C35" s="16"/>
      <c r="D35" s="16"/>
      <c r="E35" s="16"/>
      <c r="F35" s="16"/>
      <c r="G35" s="16"/>
    </row>
    <row r="36" spans="3:13" x14ac:dyDescent="0.25">
      <c r="F36" s="16"/>
      <c r="G36" s="16"/>
      <c r="L36" s="16"/>
      <c r="M36" s="16"/>
    </row>
    <row r="37" spans="3:13" x14ac:dyDescent="0.25">
      <c r="F37" s="16"/>
      <c r="G37" s="16"/>
      <c r="L37" s="16"/>
      <c r="M37" s="16"/>
    </row>
    <row r="38" spans="3:13" x14ac:dyDescent="0.25">
      <c r="F38" s="16"/>
      <c r="G38" s="16"/>
      <c r="L38" s="16"/>
      <c r="M38" s="16"/>
    </row>
    <row r="39" spans="3:13" x14ac:dyDescent="0.25">
      <c r="L39" s="16"/>
      <c r="M39" s="16"/>
    </row>
    <row r="40" spans="3:13" x14ac:dyDescent="0.25">
      <c r="L40" s="16"/>
      <c r="M40" s="16"/>
    </row>
    <row r="41" spans="3:13" x14ac:dyDescent="0.25">
      <c r="L41" s="16"/>
      <c r="M41" s="16"/>
    </row>
    <row r="42" spans="3:13" x14ac:dyDescent="0.25">
      <c r="L42" s="16"/>
      <c r="M42" s="16"/>
    </row>
    <row r="43" spans="3:13" x14ac:dyDescent="0.25">
      <c r="L43" s="16"/>
      <c r="M43" s="16"/>
    </row>
    <row r="44" spans="3:13" x14ac:dyDescent="0.25">
      <c r="L44" s="16"/>
      <c r="M44" s="16"/>
    </row>
    <row r="45" spans="3:13" x14ac:dyDescent="0.25">
      <c r="L45" s="16"/>
      <c r="M45" s="16"/>
    </row>
    <row r="46" spans="3:13" x14ac:dyDescent="0.25">
      <c r="L46" s="16"/>
      <c r="M46" s="16"/>
    </row>
    <row r="47" spans="3:13" x14ac:dyDescent="0.25">
      <c r="L47" s="16"/>
      <c r="M47" s="16"/>
    </row>
    <row r="48" spans="3:13" x14ac:dyDescent="0.25">
      <c r="L48" s="16"/>
      <c r="M48" s="16"/>
    </row>
    <row r="49" spans="12:13" x14ac:dyDescent="0.25">
      <c r="L49" s="16"/>
      <c r="M49" s="16"/>
    </row>
  </sheetData>
  <sheetProtection algorithmName="SHA-512" hashValue="Pqt8DozVMN68DiiO605oNhHNthG/O1yP0dt7C2zN+27qCF3xwhg13JfPfdHddxTrYtWX0m5Pjcje5rG9rFelbw==" saltValue="7TInhk3MRPBJWl7NS7VvdA==" spinCount="100000" sheet="1" objects="1" scenarios="1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8">
    <tabColor theme="2"/>
  </sheetPr>
  <dimension ref="A1:AI80"/>
  <sheetViews>
    <sheetView workbookViewId="0">
      <pane xSplit="7" ySplit="8" topLeftCell="H24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50" sqref="F50"/>
    </sheetView>
  </sheetViews>
  <sheetFormatPr defaultColWidth="9.42578125" defaultRowHeight="15" x14ac:dyDescent="0.25"/>
  <cols>
    <col min="2" max="2" width="32.42578125" customWidth="1"/>
    <col min="3" max="7" width="14.5703125" customWidth="1"/>
    <col min="8" max="31" width="12.5703125" customWidth="1"/>
    <col min="32" max="33" width="21.42578125" customWidth="1"/>
  </cols>
  <sheetData>
    <row r="1" spans="1:33" ht="21" x14ac:dyDescent="0.35">
      <c r="A1" s="28" t="s">
        <v>0</v>
      </c>
      <c r="B1" s="41"/>
      <c r="C1" s="37" t="s">
        <v>141</v>
      </c>
      <c r="D1" s="37"/>
      <c r="E1" s="37"/>
      <c r="F1" s="37"/>
      <c r="G1" s="37"/>
      <c r="H1" s="28"/>
      <c r="I1" s="38"/>
      <c r="J1" s="37"/>
      <c r="K1" s="41"/>
      <c r="L1" s="41"/>
      <c r="M1" s="41"/>
      <c r="N1" s="37" t="str">
        <f>$C$1</f>
        <v>Multi-Tiered System of Supports</v>
      </c>
      <c r="O1" s="41"/>
      <c r="P1" s="41"/>
      <c r="Q1" s="37"/>
      <c r="R1" s="41"/>
      <c r="S1" s="41"/>
      <c r="T1" s="37" t="str">
        <f>$C$1</f>
        <v>Multi-Tiered System of Supports</v>
      </c>
      <c r="U1" s="41"/>
      <c r="V1" s="41"/>
      <c r="W1" s="41"/>
      <c r="X1" s="41"/>
      <c r="Y1" s="41"/>
      <c r="Z1" s="41"/>
      <c r="AA1" s="37" t="str">
        <f>$C$1</f>
        <v>Multi-Tiered System of Supports</v>
      </c>
      <c r="AB1" s="41"/>
      <c r="AC1" s="41"/>
      <c r="AD1" s="41"/>
      <c r="AE1" s="41"/>
      <c r="AF1" s="28"/>
      <c r="AG1" s="28"/>
    </row>
    <row r="2" spans="1:33" ht="21" x14ac:dyDescent="0.35">
      <c r="A2" s="28" t="s">
        <v>137</v>
      </c>
      <c r="B2" s="41"/>
      <c r="C2" s="110" t="s">
        <v>140</v>
      </c>
      <c r="D2" s="110"/>
      <c r="E2" s="110"/>
      <c r="F2" s="37"/>
      <c r="G2" s="32"/>
      <c r="H2" s="29"/>
      <c r="I2" s="18"/>
      <c r="J2" s="29"/>
      <c r="K2" s="41"/>
      <c r="L2" s="41"/>
      <c r="M2" s="41"/>
      <c r="N2" s="29" t="str">
        <f>"FY"&amp;$C$4</f>
        <v>FY2019-20</v>
      </c>
      <c r="O2" s="41"/>
      <c r="P2" s="41"/>
      <c r="Q2" s="44"/>
      <c r="R2" s="41"/>
      <c r="S2" s="41"/>
      <c r="T2" s="29" t="str">
        <f>"FY"&amp;$C$4</f>
        <v>FY2019-20</v>
      </c>
      <c r="U2" s="41"/>
      <c r="V2" s="41"/>
      <c r="W2" s="41"/>
      <c r="X2" s="41"/>
      <c r="Y2" s="41"/>
      <c r="Z2" s="41"/>
      <c r="AA2" s="29" t="str">
        <f>"FY"&amp;$C$4</f>
        <v>FY2019-20</v>
      </c>
      <c r="AB2" s="41"/>
      <c r="AC2" s="41"/>
      <c r="AD2" s="41"/>
      <c r="AE2" s="41"/>
      <c r="AF2" s="28"/>
      <c r="AG2" s="28"/>
    </row>
    <row r="3" spans="1:33" ht="16.350000000000001" customHeight="1" x14ac:dyDescent="0.35">
      <c r="A3" s="29" t="s">
        <v>1</v>
      </c>
      <c r="B3" s="41"/>
      <c r="C3" s="39">
        <v>5323</v>
      </c>
      <c r="D3" s="39"/>
      <c r="E3" s="39"/>
      <c r="F3" s="37"/>
      <c r="G3" s="39"/>
      <c r="H3" s="29"/>
      <c r="I3" s="18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2"/>
    </row>
    <row r="4" spans="1:33" ht="16.350000000000001" customHeight="1" x14ac:dyDescent="0.35">
      <c r="A4" s="29" t="s">
        <v>2</v>
      </c>
      <c r="B4" s="41"/>
      <c r="C4" s="39" t="s">
        <v>311</v>
      </c>
      <c r="D4" s="39"/>
      <c r="E4" s="39"/>
      <c r="F4" s="37"/>
      <c r="G4" s="39"/>
      <c r="H4" s="29"/>
      <c r="I4" s="18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2"/>
    </row>
    <row r="5" spans="1:33" ht="16.350000000000001" customHeight="1" x14ac:dyDescent="0.35">
      <c r="A5" s="29" t="s">
        <v>17</v>
      </c>
      <c r="B5" s="41"/>
      <c r="C5" s="51" t="s">
        <v>315</v>
      </c>
      <c r="D5" s="29"/>
      <c r="E5" s="29"/>
      <c r="F5" s="37"/>
      <c r="G5" s="29"/>
      <c r="H5" s="18"/>
      <c r="I5" s="18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0"/>
      <c r="AG5" s="40"/>
    </row>
    <row r="6" spans="1:33" ht="16.350000000000001" customHeight="1" x14ac:dyDescent="0.35">
      <c r="A6" s="29" t="s">
        <v>18</v>
      </c>
      <c r="B6" s="41"/>
      <c r="C6" s="54" t="s">
        <v>316</v>
      </c>
      <c r="D6" s="29"/>
      <c r="E6" s="29"/>
      <c r="F6" s="37"/>
      <c r="G6" s="29"/>
      <c r="H6" s="18"/>
      <c r="I6" s="18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0"/>
      <c r="AG6" s="40"/>
    </row>
    <row r="7" spans="1:33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0"/>
      <c r="AG7" s="40"/>
    </row>
    <row r="8" spans="1:33" ht="34.5" customHeight="1" thickBot="1" x14ac:dyDescent="0.3">
      <c r="A8" s="43" t="s">
        <v>130</v>
      </c>
      <c r="B8" s="24" t="s">
        <v>42</v>
      </c>
      <c r="C8" s="24" t="s">
        <v>14</v>
      </c>
      <c r="D8" s="24" t="s">
        <v>97</v>
      </c>
      <c r="E8" s="43" t="s">
        <v>132</v>
      </c>
      <c r="F8" s="43" t="s">
        <v>15</v>
      </c>
      <c r="G8" s="48" t="s">
        <v>16</v>
      </c>
      <c r="H8" s="23" t="s">
        <v>118</v>
      </c>
      <c r="I8" s="24" t="s">
        <v>119</v>
      </c>
      <c r="J8" s="23" t="s">
        <v>120</v>
      </c>
      <c r="K8" s="24" t="s">
        <v>150</v>
      </c>
      <c r="L8" s="23" t="s">
        <v>151</v>
      </c>
      <c r="M8" s="24" t="s">
        <v>122</v>
      </c>
      <c r="N8" s="24" t="s">
        <v>196</v>
      </c>
      <c r="O8" s="24" t="s">
        <v>197</v>
      </c>
      <c r="P8" s="24" t="s">
        <v>198</v>
      </c>
      <c r="Q8" s="24" t="s">
        <v>199</v>
      </c>
      <c r="R8" s="24" t="s">
        <v>200</v>
      </c>
      <c r="S8" s="24" t="s">
        <v>312</v>
      </c>
      <c r="T8" s="23" t="s">
        <v>202</v>
      </c>
      <c r="U8" s="24" t="s">
        <v>203</v>
      </c>
      <c r="V8" s="24" t="s">
        <v>204</v>
      </c>
      <c r="W8" s="24" t="s">
        <v>313</v>
      </c>
      <c r="X8" s="23" t="s">
        <v>314</v>
      </c>
      <c r="Y8" s="24" t="s">
        <v>122</v>
      </c>
      <c r="Z8" s="12" t="s">
        <v>144</v>
      </c>
      <c r="AA8" s="162" t="s">
        <v>200</v>
      </c>
      <c r="AB8" s="162" t="s">
        <v>201</v>
      </c>
      <c r="AC8" s="162" t="s">
        <v>202</v>
      </c>
      <c r="AD8" s="162" t="s">
        <v>203</v>
      </c>
      <c r="AE8" s="162" t="s">
        <v>204</v>
      </c>
      <c r="AF8" s="162" t="s">
        <v>144</v>
      </c>
      <c r="AG8" s="162" t="s">
        <v>145</v>
      </c>
    </row>
    <row r="9" spans="1:33" ht="15.75" thickBot="1" x14ac:dyDescent="0.3">
      <c r="A9" s="73" t="s">
        <v>3</v>
      </c>
      <c r="B9" s="74" t="s">
        <v>77</v>
      </c>
      <c r="C9" s="83"/>
      <c r="D9" s="156"/>
      <c r="E9" s="83"/>
      <c r="F9" s="92"/>
      <c r="G9" s="164">
        <f t="shared" ref="G9:G41" si="0">E9-F9</f>
        <v>0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6"/>
      <c r="AG9" s="166"/>
    </row>
    <row r="10" spans="1:33" ht="15.75" thickBot="1" x14ac:dyDescent="0.3">
      <c r="A10" s="73" t="s">
        <v>235</v>
      </c>
      <c r="B10" s="74" t="s">
        <v>253</v>
      </c>
      <c r="C10" s="83"/>
      <c r="D10" s="156"/>
      <c r="E10" s="83"/>
      <c r="F10" s="92"/>
      <c r="G10" s="164">
        <f>E10-F10</f>
        <v>0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6"/>
      <c r="AG10" s="166"/>
    </row>
    <row r="11" spans="1:33" ht="15.75" thickBot="1" x14ac:dyDescent="0.3">
      <c r="A11" s="73" t="s">
        <v>4</v>
      </c>
      <c r="B11" s="74" t="s">
        <v>88</v>
      </c>
      <c r="C11" s="83"/>
      <c r="D11" s="156"/>
      <c r="E11" s="83"/>
      <c r="F11" s="92"/>
      <c r="G11" s="164">
        <f t="shared" si="0"/>
        <v>0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268">
        <v>1815.63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6"/>
      <c r="AG11" s="166"/>
    </row>
    <row r="12" spans="1:33" ht="30.75" thickBot="1" x14ac:dyDescent="0.3">
      <c r="A12" s="73" t="s">
        <v>249</v>
      </c>
      <c r="B12" s="74" t="s">
        <v>254</v>
      </c>
      <c r="C12" s="83"/>
      <c r="D12" s="156"/>
      <c r="E12" s="83"/>
      <c r="F12" s="92"/>
      <c r="G12" s="164">
        <f t="shared" si="0"/>
        <v>0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  <c r="AG12" s="166"/>
    </row>
    <row r="13" spans="1:33" ht="30.75" thickBot="1" x14ac:dyDescent="0.3">
      <c r="A13" s="73" t="s">
        <v>36</v>
      </c>
      <c r="B13" s="74" t="s">
        <v>255</v>
      </c>
      <c r="C13" s="83"/>
      <c r="D13" s="156"/>
      <c r="E13" s="83"/>
      <c r="F13" s="92"/>
      <c r="G13" s="164">
        <f t="shared" si="0"/>
        <v>0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66"/>
    </row>
    <row r="14" spans="1:33" ht="15.75" thickBot="1" x14ac:dyDescent="0.3">
      <c r="A14" s="73" t="s">
        <v>304</v>
      </c>
      <c r="B14" s="74" t="s">
        <v>305</v>
      </c>
      <c r="C14" s="83"/>
      <c r="D14" s="156"/>
      <c r="E14" s="83"/>
      <c r="F14" s="92"/>
      <c r="G14" s="164">
        <f t="shared" si="0"/>
        <v>0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6"/>
      <c r="AG14" s="166"/>
    </row>
    <row r="15" spans="1:33" ht="15.75" thickBot="1" x14ac:dyDescent="0.3">
      <c r="A15" s="73" t="s">
        <v>86</v>
      </c>
      <c r="B15" s="74" t="s">
        <v>87</v>
      </c>
      <c r="C15" s="83"/>
      <c r="D15" s="156"/>
      <c r="E15" s="83"/>
      <c r="F15" s="92"/>
      <c r="G15" s="164">
        <f t="shared" si="0"/>
        <v>0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3" ht="15.75" thickBot="1" x14ac:dyDescent="0.3">
      <c r="A16" s="73" t="s">
        <v>89</v>
      </c>
      <c r="B16" s="74" t="s">
        <v>107</v>
      </c>
      <c r="C16" s="83"/>
      <c r="D16" s="156"/>
      <c r="E16" s="83"/>
      <c r="F16" s="92"/>
      <c r="G16" s="164">
        <f t="shared" si="0"/>
        <v>0</v>
      </c>
      <c r="H16" s="165"/>
      <c r="I16" s="165"/>
      <c r="J16" s="165"/>
      <c r="K16" s="166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</row>
    <row r="17" spans="1:33" ht="15.75" thickBot="1" x14ac:dyDescent="0.3">
      <c r="A17" s="73" t="s">
        <v>71</v>
      </c>
      <c r="B17" s="74" t="s">
        <v>208</v>
      </c>
      <c r="C17" s="83"/>
      <c r="D17" s="156"/>
      <c r="E17" s="83"/>
      <c r="F17" s="92"/>
      <c r="G17" s="164">
        <f t="shared" si="0"/>
        <v>0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6"/>
      <c r="AG17" s="166"/>
    </row>
    <row r="18" spans="1:33" ht="30.75" thickBot="1" x14ac:dyDescent="0.3">
      <c r="A18" s="73" t="s">
        <v>100</v>
      </c>
      <c r="B18" s="74" t="s">
        <v>256</v>
      </c>
      <c r="C18" s="83"/>
      <c r="D18" s="156"/>
      <c r="E18" s="83"/>
      <c r="F18" s="92"/>
      <c r="G18" s="164">
        <f t="shared" si="0"/>
        <v>0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6"/>
      <c r="AG18" s="166"/>
    </row>
    <row r="19" spans="1:33" ht="30.75" thickBot="1" x14ac:dyDescent="0.3">
      <c r="A19" s="73" t="s">
        <v>101</v>
      </c>
      <c r="B19" s="74" t="s">
        <v>257</v>
      </c>
      <c r="C19" s="83"/>
      <c r="D19" s="156"/>
      <c r="E19" s="83"/>
      <c r="F19" s="92"/>
      <c r="G19" s="164">
        <f t="shared" si="0"/>
        <v>0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6"/>
      <c r="AG19" s="166"/>
    </row>
    <row r="20" spans="1:33" ht="15.75" thickBot="1" x14ac:dyDescent="0.3">
      <c r="A20" s="73" t="s">
        <v>99</v>
      </c>
      <c r="B20" s="74" t="s">
        <v>108</v>
      </c>
      <c r="C20" s="83"/>
      <c r="D20" s="156"/>
      <c r="E20" s="83"/>
      <c r="F20" s="92"/>
      <c r="G20" s="164">
        <f t="shared" si="0"/>
        <v>0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ht="30.75" thickBot="1" x14ac:dyDescent="0.3">
      <c r="A21" s="73" t="s">
        <v>50</v>
      </c>
      <c r="B21" s="74" t="s">
        <v>258</v>
      </c>
      <c r="C21" s="83"/>
      <c r="D21" s="156"/>
      <c r="E21" s="83"/>
      <c r="F21" s="92"/>
      <c r="G21" s="164">
        <f t="shared" si="0"/>
        <v>0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6"/>
      <c r="AG21" s="166"/>
    </row>
    <row r="22" spans="1:33" ht="15.75" thickBot="1" x14ac:dyDescent="0.3">
      <c r="A22" s="73" t="s">
        <v>38</v>
      </c>
      <c r="B22" s="74" t="s">
        <v>79</v>
      </c>
      <c r="C22" s="83"/>
      <c r="D22" s="156"/>
      <c r="E22" s="83"/>
      <c r="F22" s="92"/>
      <c r="G22" s="164">
        <f t="shared" si="0"/>
        <v>0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</row>
    <row r="23" spans="1:33" ht="30.75" thickBot="1" x14ac:dyDescent="0.3">
      <c r="A23" s="73" t="s">
        <v>213</v>
      </c>
      <c r="B23" s="74" t="s">
        <v>224</v>
      </c>
      <c r="C23" s="83"/>
      <c r="D23" s="156"/>
      <c r="E23" s="83"/>
      <c r="F23" s="92"/>
      <c r="G23" s="164">
        <f t="shared" si="0"/>
        <v>0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66"/>
    </row>
    <row r="24" spans="1:33" ht="30.75" thickBot="1" x14ac:dyDescent="0.3">
      <c r="A24" s="73" t="s">
        <v>80</v>
      </c>
      <c r="B24" s="74" t="s">
        <v>81</v>
      </c>
      <c r="C24" s="83"/>
      <c r="D24" s="156"/>
      <c r="E24" s="83"/>
      <c r="F24" s="92"/>
      <c r="G24" s="164">
        <f t="shared" si="0"/>
        <v>0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6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166"/>
    </row>
    <row r="25" spans="1:33" ht="15.75" thickBot="1" x14ac:dyDescent="0.3">
      <c r="A25" s="73" t="s">
        <v>282</v>
      </c>
      <c r="B25" s="74" t="s">
        <v>283</v>
      </c>
      <c r="C25" s="83"/>
      <c r="D25" s="156"/>
      <c r="E25" s="83"/>
      <c r="F25" s="92"/>
      <c r="G25" s="164">
        <f t="shared" si="0"/>
        <v>0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268">
        <v>3245.4</v>
      </c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6"/>
      <c r="AG25" s="166"/>
    </row>
    <row r="26" spans="1:33" ht="15.75" thickBot="1" x14ac:dyDescent="0.3">
      <c r="A26" s="73" t="s">
        <v>98</v>
      </c>
      <c r="B26" s="74" t="s">
        <v>259</v>
      </c>
      <c r="C26" s="92"/>
      <c r="D26" s="156"/>
      <c r="E26" s="83"/>
      <c r="F26" s="92"/>
      <c r="G26" s="164">
        <f t="shared" si="0"/>
        <v>0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268">
        <v>4940</v>
      </c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6"/>
      <c r="AG26" s="166"/>
    </row>
    <row r="27" spans="1:33" ht="15.75" thickBot="1" x14ac:dyDescent="0.3">
      <c r="A27" s="73" t="s">
        <v>96</v>
      </c>
      <c r="B27" s="74" t="s">
        <v>260</v>
      </c>
      <c r="C27" s="92"/>
      <c r="D27" s="156"/>
      <c r="E27" s="83"/>
      <c r="F27" s="92"/>
      <c r="G27" s="164">
        <f t="shared" si="0"/>
        <v>0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ht="15.75" thickBot="1" x14ac:dyDescent="0.3">
      <c r="A28" s="73" t="s">
        <v>102</v>
      </c>
      <c r="B28" s="74" t="s">
        <v>261</v>
      </c>
      <c r="C28" s="92"/>
      <c r="D28" s="156"/>
      <c r="E28" s="83"/>
      <c r="F28" s="92"/>
      <c r="G28" s="164">
        <f t="shared" si="0"/>
        <v>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</row>
    <row r="29" spans="1:33" ht="15.75" thickBot="1" x14ac:dyDescent="0.3">
      <c r="A29" s="73" t="s">
        <v>250</v>
      </c>
      <c r="B29" s="74" t="s">
        <v>262</v>
      </c>
      <c r="C29" s="92"/>
      <c r="D29" s="156"/>
      <c r="E29" s="83"/>
      <c r="F29" s="92"/>
      <c r="G29" s="164">
        <f t="shared" si="0"/>
        <v>0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66"/>
    </row>
    <row r="30" spans="1:33" ht="15.75" thickBot="1" x14ac:dyDescent="0.3">
      <c r="A30" s="73" t="s">
        <v>103</v>
      </c>
      <c r="B30" s="74" t="s">
        <v>263</v>
      </c>
      <c r="C30" s="92"/>
      <c r="D30" s="156"/>
      <c r="E30" s="83"/>
      <c r="F30" s="92"/>
      <c r="G30" s="164">
        <f t="shared" si="0"/>
        <v>0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6"/>
    </row>
    <row r="31" spans="1:33" ht="30.75" thickBot="1" x14ac:dyDescent="0.3">
      <c r="A31" s="73" t="s">
        <v>251</v>
      </c>
      <c r="B31" s="74" t="s">
        <v>264</v>
      </c>
      <c r="C31" s="92"/>
      <c r="D31" s="156"/>
      <c r="E31" s="83"/>
      <c r="F31" s="92"/>
      <c r="G31" s="164">
        <f t="shared" si="0"/>
        <v>0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6"/>
      <c r="AG31" s="166"/>
    </row>
    <row r="32" spans="1:33" ht="15.75" thickBot="1" x14ac:dyDescent="0.3">
      <c r="A32" s="73" t="s">
        <v>104</v>
      </c>
      <c r="B32" s="74" t="s">
        <v>265</v>
      </c>
      <c r="C32" s="92"/>
      <c r="D32" s="156"/>
      <c r="E32" s="83"/>
      <c r="F32" s="92"/>
      <c r="G32" s="164">
        <f t="shared" si="0"/>
        <v>0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6"/>
      <c r="AG32" s="166"/>
    </row>
    <row r="33" spans="1:35" ht="15.75" thickBot="1" x14ac:dyDescent="0.3">
      <c r="A33" s="84" t="s">
        <v>252</v>
      </c>
      <c r="B33" s="25" t="s">
        <v>266</v>
      </c>
      <c r="C33" s="92"/>
      <c r="D33" s="156"/>
      <c r="E33" s="92"/>
      <c r="F33" s="92"/>
      <c r="G33" s="164">
        <f t="shared" si="0"/>
        <v>0</v>
      </c>
      <c r="H33" s="167"/>
      <c r="I33" s="167"/>
      <c r="J33" s="165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5" s="14" customFormat="1" ht="15.75" thickBot="1" x14ac:dyDescent="0.3">
      <c r="A34" s="84" t="s">
        <v>105</v>
      </c>
      <c r="B34" s="25" t="s">
        <v>267</v>
      </c>
      <c r="C34" s="92"/>
      <c r="D34" s="156"/>
      <c r="E34" s="92"/>
      <c r="F34" s="92"/>
      <c r="G34" s="164">
        <f t="shared" si="0"/>
        <v>0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/>
      <c r="AI34"/>
    </row>
    <row r="35" spans="1:35" ht="15.75" thickBot="1" x14ac:dyDescent="0.3">
      <c r="A35" s="84" t="s">
        <v>27</v>
      </c>
      <c r="B35" s="25" t="s">
        <v>82</v>
      </c>
      <c r="C35" s="92"/>
      <c r="D35" s="156"/>
      <c r="E35" s="92"/>
      <c r="F35" s="92"/>
      <c r="G35" s="164">
        <f t="shared" si="0"/>
        <v>0</v>
      </c>
      <c r="H35" s="168"/>
      <c r="I35" s="168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5"/>
      <c r="AF35" s="165"/>
      <c r="AG35" s="165"/>
    </row>
    <row r="36" spans="1:35" ht="15.75" thickBot="1" x14ac:dyDescent="0.3">
      <c r="A36" s="84" t="s">
        <v>106</v>
      </c>
      <c r="B36" s="25" t="s">
        <v>109</v>
      </c>
      <c r="C36" s="92"/>
      <c r="D36" s="156"/>
      <c r="E36" s="92"/>
      <c r="F36" s="92"/>
      <c r="G36" s="164">
        <f t="shared" si="0"/>
        <v>0</v>
      </c>
      <c r="H36" s="166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5"/>
      <c r="AG36" s="165"/>
    </row>
    <row r="37" spans="1:35" ht="15.75" thickBot="1" x14ac:dyDescent="0.3">
      <c r="A37" s="84" t="s">
        <v>52</v>
      </c>
      <c r="B37" s="25" t="s">
        <v>156</v>
      </c>
      <c r="C37" s="92"/>
      <c r="D37" s="156"/>
      <c r="E37" s="92"/>
      <c r="F37" s="92"/>
      <c r="G37" s="164">
        <f t="shared" si="0"/>
        <v>0</v>
      </c>
      <c r="H37" s="166"/>
      <c r="I37" s="169"/>
      <c r="J37" s="169"/>
      <c r="K37" s="169"/>
      <c r="L37" s="169"/>
      <c r="M37" s="169"/>
      <c r="N37" s="169"/>
      <c r="O37" s="166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6"/>
      <c r="AG37" s="166"/>
    </row>
    <row r="38" spans="1:35" ht="15.75" thickBot="1" x14ac:dyDescent="0.3">
      <c r="A38" s="84" t="s">
        <v>64</v>
      </c>
      <c r="B38" s="25" t="s">
        <v>268</v>
      </c>
      <c r="C38" s="92"/>
      <c r="D38" s="156"/>
      <c r="E38" s="92"/>
      <c r="F38" s="92"/>
      <c r="G38" s="164">
        <f t="shared" si="0"/>
        <v>0</v>
      </c>
      <c r="H38" s="166"/>
      <c r="I38" s="166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6"/>
      <c r="AG38" s="166"/>
    </row>
    <row r="39" spans="1:35" ht="15.75" thickBot="1" x14ac:dyDescent="0.3">
      <c r="A39" s="84" t="s">
        <v>84</v>
      </c>
      <c r="B39" s="25" t="s">
        <v>244</v>
      </c>
      <c r="C39" s="92"/>
      <c r="D39" s="156"/>
      <c r="E39" s="92"/>
      <c r="F39" s="92"/>
      <c r="G39" s="164">
        <f t="shared" si="0"/>
        <v>0</v>
      </c>
      <c r="H39" s="166"/>
      <c r="I39" s="166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270">
        <v>4412.08</v>
      </c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6"/>
      <c r="AG39" s="166"/>
    </row>
    <row r="40" spans="1:35" ht="15.75" thickBot="1" x14ac:dyDescent="0.3">
      <c r="A40" s="160" t="s">
        <v>4</v>
      </c>
      <c r="B40" s="25" t="s">
        <v>306</v>
      </c>
      <c r="C40" s="92"/>
      <c r="D40" s="156"/>
      <c r="E40" s="92"/>
      <c r="F40" s="92"/>
      <c r="G40" s="164">
        <f t="shared" si="0"/>
        <v>0</v>
      </c>
      <c r="H40" s="166"/>
      <c r="I40" s="166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6"/>
      <c r="AG40" s="166"/>
    </row>
    <row r="41" spans="1:35" ht="15.75" thickBot="1" x14ac:dyDescent="0.3">
      <c r="A41" s="160" t="s">
        <v>307</v>
      </c>
      <c r="B41" s="25" t="s">
        <v>308</v>
      </c>
      <c r="C41" s="92"/>
      <c r="D41" s="156"/>
      <c r="E41" s="92"/>
      <c r="F41" s="92"/>
      <c r="G41" s="164">
        <f t="shared" si="0"/>
        <v>0</v>
      </c>
      <c r="H41" s="166"/>
      <c r="I41" s="166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6"/>
      <c r="AG41" s="166"/>
    </row>
    <row r="42" spans="1:35" ht="15.75" thickBot="1" x14ac:dyDescent="0.3">
      <c r="A42" s="25"/>
      <c r="B42" s="25"/>
      <c r="C42" s="92"/>
      <c r="D42" s="156"/>
      <c r="E42" s="92"/>
      <c r="F42" s="92"/>
      <c r="G42" s="164"/>
      <c r="H42" s="166"/>
      <c r="I42" s="166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6"/>
      <c r="AG42" s="166"/>
    </row>
    <row r="43" spans="1:35" ht="15.75" thickBot="1" x14ac:dyDescent="0.3">
      <c r="A43" s="25"/>
      <c r="B43" s="25"/>
      <c r="C43" s="92"/>
      <c r="D43" s="156"/>
      <c r="E43" s="92"/>
      <c r="F43" s="92"/>
      <c r="G43" s="164"/>
      <c r="H43" s="166"/>
      <c r="I43" s="166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6"/>
      <c r="AG43" s="166"/>
    </row>
    <row r="44" spans="1:35" ht="15.75" thickBot="1" x14ac:dyDescent="0.3">
      <c r="A44" s="25"/>
      <c r="B44" s="25"/>
      <c r="C44" s="92"/>
      <c r="D44" s="156"/>
      <c r="E44" s="92"/>
      <c r="F44" s="92"/>
      <c r="G44" s="164"/>
      <c r="H44" s="166"/>
      <c r="I44" s="166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6"/>
      <c r="AG44" s="166"/>
    </row>
    <row r="45" spans="1:35" ht="15.75" thickBot="1" x14ac:dyDescent="0.3">
      <c r="A45" s="25"/>
      <c r="B45" s="25"/>
      <c r="C45" s="92"/>
      <c r="D45" s="156"/>
      <c r="E45" s="92"/>
      <c r="F45" s="92"/>
      <c r="G45" s="164"/>
      <c r="H45" s="166"/>
      <c r="I45" s="166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6"/>
      <c r="AG45" s="166"/>
    </row>
    <row r="46" spans="1:35" ht="15.75" thickBot="1" x14ac:dyDescent="0.3">
      <c r="A46" s="25" t="s">
        <v>269</v>
      </c>
      <c r="B46" s="25"/>
      <c r="C46" s="92">
        <f>SUM(C9:C39)</f>
        <v>0</v>
      </c>
      <c r="D46" s="156">
        <f t="shared" ref="D46:U46" si="1">SUM(D9:D39)</f>
        <v>0</v>
      </c>
      <c r="E46" s="92">
        <f t="shared" si="1"/>
        <v>0</v>
      </c>
      <c r="F46" s="92">
        <f t="shared" si="1"/>
        <v>0</v>
      </c>
      <c r="G46" s="164">
        <f t="shared" si="1"/>
        <v>0</v>
      </c>
      <c r="H46" s="164">
        <f t="shared" si="1"/>
        <v>0</v>
      </c>
      <c r="I46" s="164">
        <f t="shared" si="1"/>
        <v>0</v>
      </c>
      <c r="J46" s="164">
        <f t="shared" si="1"/>
        <v>0</v>
      </c>
      <c r="K46" s="164">
        <f t="shared" si="1"/>
        <v>0</v>
      </c>
      <c r="L46" s="164">
        <f t="shared" si="1"/>
        <v>0</v>
      </c>
      <c r="M46" s="164">
        <f t="shared" si="1"/>
        <v>0</v>
      </c>
      <c r="N46" s="164">
        <f t="shared" si="1"/>
        <v>0</v>
      </c>
      <c r="O46" s="164">
        <f t="shared" si="1"/>
        <v>0</v>
      </c>
      <c r="P46" s="164">
        <f t="shared" si="1"/>
        <v>0</v>
      </c>
      <c r="Q46" s="164">
        <f t="shared" si="1"/>
        <v>0</v>
      </c>
      <c r="R46" s="164">
        <f t="shared" si="1"/>
        <v>0</v>
      </c>
      <c r="S46" s="164">
        <f t="shared" si="1"/>
        <v>0</v>
      </c>
      <c r="T46" s="164">
        <f t="shared" si="1"/>
        <v>0</v>
      </c>
      <c r="U46" s="269">
        <f t="shared" si="1"/>
        <v>14413.11</v>
      </c>
      <c r="V46" s="170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</row>
    <row r="47" spans="1:35" x14ac:dyDescent="0.25">
      <c r="F47" s="16"/>
      <c r="G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5" x14ac:dyDescent="0.25">
      <c r="F48" s="16"/>
      <c r="G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6:33" x14ac:dyDescent="0.25">
      <c r="F49" s="16"/>
      <c r="G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6:33" x14ac:dyDescent="0.25">
      <c r="F50" s="16"/>
      <c r="G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6:33" x14ac:dyDescent="0.25">
      <c r="F51" s="16"/>
      <c r="G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6:33" x14ac:dyDescent="0.25">
      <c r="F52" s="16"/>
      <c r="G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6:33" x14ac:dyDescent="0.25">
      <c r="F53" s="16"/>
      <c r="G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6:33" x14ac:dyDescent="0.25">
      <c r="F54" s="16"/>
      <c r="G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6:33" x14ac:dyDescent="0.25">
      <c r="F55" s="16"/>
      <c r="G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6:33" x14ac:dyDescent="0.25">
      <c r="F56" s="16"/>
      <c r="G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6:33" x14ac:dyDescent="0.25">
      <c r="F57" s="16"/>
      <c r="G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6:33" x14ac:dyDescent="0.25">
      <c r="F58" s="16"/>
      <c r="G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6:33" x14ac:dyDescent="0.25">
      <c r="F59" s="16"/>
      <c r="G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6:33" x14ac:dyDescent="0.25">
      <c r="F60" s="16"/>
      <c r="G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6:33" x14ac:dyDescent="0.25">
      <c r="F61" s="16"/>
      <c r="G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6:33" x14ac:dyDescent="0.25">
      <c r="F62" s="16"/>
      <c r="G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6:33" x14ac:dyDescent="0.25"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6:33" x14ac:dyDescent="0.25"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0:31" x14ac:dyDescent="0.25"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0:31" x14ac:dyDescent="0.25"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0:31" x14ac:dyDescent="0.25"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0:31" x14ac:dyDescent="0.25"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0:31" x14ac:dyDescent="0.25"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0:31" x14ac:dyDescent="0.25"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0:31" x14ac:dyDescent="0.25"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0:31" x14ac:dyDescent="0.25"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0:31" x14ac:dyDescent="0.25"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0:31" x14ac:dyDescent="0.25"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0:31" x14ac:dyDescent="0.25"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0:31" x14ac:dyDescent="0.25"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0:31" x14ac:dyDescent="0.25"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0:31" x14ac:dyDescent="0.25"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0:31" x14ac:dyDescent="0.25"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0:31" x14ac:dyDescent="0.25"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</sheetData>
  <sortState xmlns:xlrd2="http://schemas.microsoft.com/office/spreadsheetml/2017/richdata2" ref="A9:AG40">
    <sortCondition ref="A9:A4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E5D0-9732-494B-B3C9-3883951780B5}">
  <dimension ref="A1:Y76"/>
  <sheetViews>
    <sheetView zoomScale="80" zoomScaleNormal="80" workbookViewId="0">
      <pane xSplit="7" ySplit="8" topLeftCell="H12" activePane="bottomRight" state="frozen"/>
      <selection activeCell="O42" sqref="O42"/>
      <selection pane="topRight" activeCell="O42" sqref="O42"/>
      <selection pane="bottomLeft" activeCell="O42" sqref="O42"/>
      <selection pane="bottomRight" activeCell="G28" sqref="G28"/>
    </sheetView>
  </sheetViews>
  <sheetFormatPr defaultColWidth="9.42578125" defaultRowHeight="15" x14ac:dyDescent="0.25"/>
  <cols>
    <col min="2" max="2" width="45.42578125" customWidth="1"/>
    <col min="3" max="5" width="13.5703125" customWidth="1"/>
    <col min="6" max="6" width="11.42578125" customWidth="1"/>
    <col min="7" max="7" width="16" customWidth="1"/>
    <col min="8" max="23" width="15.5703125" customWidth="1"/>
    <col min="24" max="24" width="21.42578125" customWidth="1"/>
  </cols>
  <sheetData>
    <row r="1" spans="1:25" ht="21" x14ac:dyDescent="0.35">
      <c r="A1" s="28" t="s">
        <v>0</v>
      </c>
      <c r="B1" s="41"/>
      <c r="C1" s="37" t="s">
        <v>1044</v>
      </c>
      <c r="D1" s="37"/>
      <c r="E1" s="37"/>
      <c r="F1" s="28"/>
      <c r="G1" s="38"/>
      <c r="H1" s="42"/>
      <c r="I1" s="41"/>
      <c r="J1" s="37"/>
      <c r="K1" s="41"/>
      <c r="L1" s="37"/>
      <c r="M1" s="41"/>
      <c r="N1" s="37"/>
      <c r="O1" s="41"/>
      <c r="P1" s="37"/>
      <c r="Q1" s="41"/>
      <c r="R1" s="41"/>
      <c r="S1" s="41"/>
      <c r="T1" s="37"/>
      <c r="U1" s="41"/>
      <c r="V1" s="37"/>
      <c r="W1" s="41"/>
      <c r="X1" s="28"/>
    </row>
    <row r="2" spans="1:25" ht="21" x14ac:dyDescent="0.35">
      <c r="A2" s="28" t="s">
        <v>137</v>
      </c>
      <c r="B2" s="38"/>
      <c r="C2" s="37" t="s">
        <v>1043</v>
      </c>
      <c r="D2" s="37"/>
      <c r="E2" s="37"/>
      <c r="F2" s="38"/>
      <c r="G2" s="38"/>
      <c r="H2" s="42"/>
      <c r="I2" s="41"/>
      <c r="J2" s="39"/>
      <c r="K2" s="41"/>
      <c r="L2" s="44"/>
      <c r="M2" s="41"/>
      <c r="N2" s="39"/>
      <c r="O2" s="41"/>
      <c r="P2" s="39"/>
      <c r="Q2" s="41"/>
      <c r="R2" s="41"/>
      <c r="S2" s="41"/>
      <c r="T2" s="39"/>
      <c r="U2" s="41"/>
      <c r="V2" s="39"/>
      <c r="W2" s="41"/>
      <c r="X2" s="28"/>
    </row>
    <row r="3" spans="1:25" ht="15.75" x14ac:dyDescent="0.25">
      <c r="A3" s="29" t="s">
        <v>1</v>
      </c>
      <c r="B3" s="41"/>
      <c r="C3" s="39"/>
      <c r="D3" s="39"/>
      <c r="E3" s="39"/>
      <c r="F3" s="29"/>
      <c r="G3" s="18"/>
      <c r="H3" s="4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5" ht="15.75" x14ac:dyDescent="0.25">
      <c r="A4" s="29" t="s">
        <v>2</v>
      </c>
      <c r="B4" s="41"/>
      <c r="C4" s="39" t="s">
        <v>618</v>
      </c>
      <c r="D4" s="39"/>
      <c r="E4" s="39"/>
      <c r="F4" s="18"/>
      <c r="G4" s="18"/>
      <c r="H4" s="4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5" ht="15.75" x14ac:dyDescent="0.25">
      <c r="A5" s="29" t="s">
        <v>374</v>
      </c>
      <c r="B5" s="41"/>
      <c r="C5" s="54"/>
      <c r="D5" s="29"/>
      <c r="E5" s="29"/>
      <c r="F5" s="18"/>
      <c r="G5" s="18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0"/>
    </row>
    <row r="6" spans="1:25" ht="15.75" x14ac:dyDescent="0.25">
      <c r="A6" s="29"/>
      <c r="B6" s="41"/>
      <c r="C6" s="54"/>
      <c r="D6" s="39"/>
      <c r="E6" s="39"/>
      <c r="F6" s="18"/>
      <c r="G6" s="18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0"/>
    </row>
    <row r="7" spans="1:25" ht="15.75" thickBot="1" x14ac:dyDescent="0.3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0"/>
    </row>
    <row r="8" spans="1:25" ht="30" x14ac:dyDescent="0.25">
      <c r="A8" s="353" t="s">
        <v>130</v>
      </c>
      <c r="B8" s="33" t="s">
        <v>124</v>
      </c>
      <c r="C8" s="33" t="s">
        <v>14</v>
      </c>
      <c r="D8" s="143" t="s">
        <v>1016</v>
      </c>
      <c r="E8" s="143" t="s">
        <v>132</v>
      </c>
      <c r="F8" s="33" t="s">
        <v>15</v>
      </c>
      <c r="G8" s="296" t="s">
        <v>16</v>
      </c>
      <c r="H8" s="161" t="s">
        <v>408</v>
      </c>
      <c r="I8" s="162" t="s">
        <v>409</v>
      </c>
      <c r="J8" s="161" t="s">
        <v>410</v>
      </c>
      <c r="K8" s="162" t="s">
        <v>411</v>
      </c>
      <c r="L8" s="161" t="s">
        <v>412</v>
      </c>
      <c r="M8" s="162" t="s">
        <v>416</v>
      </c>
      <c r="N8" s="162" t="s">
        <v>606</v>
      </c>
      <c r="O8" s="162" t="s">
        <v>607</v>
      </c>
      <c r="P8" s="162" t="s">
        <v>608</v>
      </c>
      <c r="Q8" s="162" t="s">
        <v>609</v>
      </c>
      <c r="R8" s="162" t="s">
        <v>610</v>
      </c>
      <c r="S8" s="162" t="s">
        <v>611</v>
      </c>
      <c r="T8" s="161" t="s">
        <v>612</v>
      </c>
      <c r="U8" s="162" t="s">
        <v>613</v>
      </c>
      <c r="V8" s="162" t="s">
        <v>614</v>
      </c>
      <c r="W8" s="33" t="s">
        <v>144</v>
      </c>
      <c r="X8" s="33" t="s">
        <v>145</v>
      </c>
    </row>
    <row r="9" spans="1:25" x14ac:dyDescent="0.25">
      <c r="A9" s="592">
        <v>10</v>
      </c>
      <c r="B9" s="593" t="s">
        <v>626</v>
      </c>
      <c r="C9" s="594">
        <v>15356.37</v>
      </c>
      <c r="D9" s="583"/>
      <c r="E9" s="595">
        <f t="shared" ref="E9:E34" si="0">SUM(C9+D9)</f>
        <v>15356.37</v>
      </c>
      <c r="F9" s="595">
        <f t="shared" ref="F9:F34" si="1">SUM(H9:V9)</f>
        <v>0</v>
      </c>
      <c r="G9" s="595">
        <f t="shared" ref="G9:G34" si="2">E9-F9</f>
        <v>15356.37</v>
      </c>
      <c r="H9" s="596"/>
      <c r="I9" s="596"/>
      <c r="J9" s="596"/>
      <c r="K9" s="596"/>
      <c r="L9" s="579"/>
      <c r="M9" s="596"/>
      <c r="N9" s="579"/>
      <c r="O9" s="597"/>
      <c r="P9" s="598"/>
      <c r="Q9" s="598"/>
      <c r="R9" s="596"/>
      <c r="S9" s="579"/>
      <c r="T9" s="596"/>
      <c r="U9" s="596"/>
      <c r="V9" s="596"/>
      <c r="W9" s="596"/>
      <c r="X9" s="579"/>
      <c r="Y9" s="6"/>
    </row>
    <row r="10" spans="1:25" x14ac:dyDescent="0.25">
      <c r="A10" s="592">
        <v>20</v>
      </c>
      <c r="B10" s="593" t="s">
        <v>76</v>
      </c>
      <c r="C10" s="594">
        <v>99783</v>
      </c>
      <c r="D10" s="583"/>
      <c r="E10" s="595">
        <f t="shared" si="0"/>
        <v>99783</v>
      </c>
      <c r="F10" s="595">
        <f t="shared" si="1"/>
        <v>56733.009999999995</v>
      </c>
      <c r="G10" s="595">
        <f t="shared" si="2"/>
        <v>43049.990000000005</v>
      </c>
      <c r="H10" s="596"/>
      <c r="I10" s="596"/>
      <c r="J10" s="596"/>
      <c r="K10" s="596">
        <f>1933.18+13067.07</f>
        <v>15000.25</v>
      </c>
      <c r="L10" s="579">
        <v>6111.43</v>
      </c>
      <c r="M10" s="596">
        <v>4675.46</v>
      </c>
      <c r="N10" s="579">
        <f>4246.77+1219.72</f>
        <v>5466.4900000000007</v>
      </c>
      <c r="O10" s="596">
        <v>4677.08</v>
      </c>
      <c r="P10" s="598">
        <v>5391.26</v>
      </c>
      <c r="Q10" s="598">
        <v>4141.8100000000004</v>
      </c>
      <c r="R10" s="596"/>
      <c r="S10" s="579">
        <f>695.64+10573.59</f>
        <v>11269.23</v>
      </c>
      <c r="T10" s="596"/>
      <c r="U10" s="596"/>
      <c r="V10" s="596"/>
      <c r="W10" s="596"/>
      <c r="X10" s="579"/>
      <c r="Y10" s="6"/>
    </row>
    <row r="11" spans="1:25" x14ac:dyDescent="0.25">
      <c r="A11" s="592">
        <v>40</v>
      </c>
      <c r="B11" s="599" t="s">
        <v>253</v>
      </c>
      <c r="C11" s="594">
        <v>57560</v>
      </c>
      <c r="D11" s="583"/>
      <c r="E11" s="595">
        <f t="shared" si="0"/>
        <v>57560</v>
      </c>
      <c r="F11" s="595">
        <f t="shared" si="1"/>
        <v>0</v>
      </c>
      <c r="G11" s="595">
        <f t="shared" si="2"/>
        <v>57560</v>
      </c>
      <c r="H11" s="596"/>
      <c r="I11" s="596"/>
      <c r="J11" s="596"/>
      <c r="K11" s="596"/>
      <c r="L11" s="596"/>
      <c r="M11" s="596"/>
      <c r="N11" s="579"/>
      <c r="O11" s="596"/>
      <c r="P11" s="598"/>
      <c r="Q11" s="598"/>
      <c r="R11" s="596"/>
      <c r="S11" s="596"/>
      <c r="T11" s="596"/>
      <c r="U11" s="596"/>
      <c r="V11" s="596"/>
      <c r="W11" s="596"/>
      <c r="X11" s="596"/>
      <c r="Y11" s="6"/>
    </row>
    <row r="12" spans="1:25" x14ac:dyDescent="0.25">
      <c r="A12" s="592">
        <v>70</v>
      </c>
      <c r="B12" s="593" t="s">
        <v>1017</v>
      </c>
      <c r="C12" s="594">
        <v>51187.9</v>
      </c>
      <c r="D12" s="583"/>
      <c r="E12" s="595">
        <f t="shared" si="0"/>
        <v>51187.9</v>
      </c>
      <c r="F12" s="595">
        <f t="shared" si="1"/>
        <v>11776.35</v>
      </c>
      <c r="G12" s="595">
        <f t="shared" si="2"/>
        <v>39411.550000000003</v>
      </c>
      <c r="H12" s="596"/>
      <c r="I12" s="596"/>
      <c r="J12" s="596"/>
      <c r="K12" s="596"/>
      <c r="L12" s="579">
        <v>971.5</v>
      </c>
      <c r="M12" s="596"/>
      <c r="N12" s="596">
        <v>1293.6500000000001</v>
      </c>
      <c r="O12" s="596">
        <v>1943.6</v>
      </c>
      <c r="P12" s="598">
        <v>342</v>
      </c>
      <c r="Q12" s="598">
        <v>7225.6</v>
      </c>
      <c r="R12" s="596"/>
      <c r="S12" s="596"/>
      <c r="T12" s="596"/>
      <c r="U12" s="596"/>
      <c r="V12" s="596"/>
      <c r="W12" s="596"/>
      <c r="X12" s="579"/>
      <c r="Y12" s="6"/>
    </row>
    <row r="13" spans="1:25" x14ac:dyDescent="0.25">
      <c r="A13" s="592">
        <v>120</v>
      </c>
      <c r="B13" s="599" t="s">
        <v>625</v>
      </c>
      <c r="C13" s="594">
        <v>10237.58</v>
      </c>
      <c r="D13" s="583"/>
      <c r="E13" s="595">
        <f t="shared" si="0"/>
        <v>10237.58</v>
      </c>
      <c r="F13" s="595">
        <f t="shared" si="1"/>
        <v>0</v>
      </c>
      <c r="G13" s="595">
        <f t="shared" si="2"/>
        <v>10237.58</v>
      </c>
      <c r="H13" s="596"/>
      <c r="I13" s="596"/>
      <c r="J13" s="596"/>
      <c r="K13" s="596"/>
      <c r="L13" s="596"/>
      <c r="M13" s="596"/>
      <c r="N13" s="596"/>
      <c r="O13" s="596"/>
      <c r="P13" s="598"/>
      <c r="Q13" s="598"/>
      <c r="R13" s="596"/>
      <c r="S13" s="596"/>
      <c r="T13" s="596"/>
      <c r="U13" s="596"/>
      <c r="V13" s="596"/>
      <c r="W13" s="596"/>
      <c r="X13" s="579"/>
      <c r="Y13" s="6"/>
    </row>
    <row r="14" spans="1:25" x14ac:dyDescent="0.25">
      <c r="A14" s="592">
        <v>123</v>
      </c>
      <c r="B14" s="593" t="s">
        <v>1018</v>
      </c>
      <c r="C14" s="594">
        <v>25593.95</v>
      </c>
      <c r="D14" s="583"/>
      <c r="E14" s="595">
        <f t="shared" si="0"/>
        <v>25593.95</v>
      </c>
      <c r="F14" s="595">
        <f t="shared" si="1"/>
        <v>8068.4</v>
      </c>
      <c r="G14" s="595">
        <f t="shared" si="2"/>
        <v>17525.550000000003</v>
      </c>
      <c r="H14" s="596"/>
      <c r="I14" s="596"/>
      <c r="J14" s="596"/>
      <c r="K14" s="596"/>
      <c r="L14" s="579"/>
      <c r="M14" s="596">
        <v>8000</v>
      </c>
      <c r="N14" s="579"/>
      <c r="O14" s="596"/>
      <c r="P14" s="598"/>
      <c r="Q14" s="598"/>
      <c r="R14" s="596"/>
      <c r="S14" s="596">
        <v>68.400000000000006</v>
      </c>
      <c r="T14" s="596"/>
      <c r="U14" s="596"/>
      <c r="V14" s="596"/>
      <c r="W14" s="596"/>
      <c r="X14" s="579"/>
      <c r="Y14" s="6"/>
    </row>
    <row r="15" spans="1:25" x14ac:dyDescent="0.25">
      <c r="A15" s="592">
        <v>130</v>
      </c>
      <c r="B15" s="599" t="s">
        <v>302</v>
      </c>
      <c r="C15" s="594">
        <v>98130</v>
      </c>
      <c r="D15" s="583"/>
      <c r="E15" s="595">
        <f t="shared" si="0"/>
        <v>98130</v>
      </c>
      <c r="F15" s="595">
        <f t="shared" si="1"/>
        <v>0</v>
      </c>
      <c r="G15" s="595">
        <f t="shared" si="2"/>
        <v>98130</v>
      </c>
      <c r="H15" s="596"/>
      <c r="I15" s="596"/>
      <c r="J15" s="596"/>
      <c r="K15" s="596"/>
      <c r="L15" s="596"/>
      <c r="M15" s="596"/>
      <c r="N15" s="579"/>
      <c r="O15" s="596"/>
      <c r="P15" s="598"/>
      <c r="Q15" s="598"/>
      <c r="R15" s="596"/>
      <c r="S15" s="596"/>
      <c r="T15" s="596"/>
      <c r="U15" s="596"/>
      <c r="V15" s="596"/>
      <c r="W15" s="596"/>
      <c r="X15" s="596"/>
      <c r="Y15" s="6"/>
    </row>
    <row r="16" spans="1:25" x14ac:dyDescent="0.25">
      <c r="A16" s="600">
        <v>470</v>
      </c>
      <c r="B16" s="593" t="s">
        <v>801</v>
      </c>
      <c r="C16" s="594">
        <v>30712.74</v>
      </c>
      <c r="D16" s="583"/>
      <c r="E16" s="595">
        <f t="shared" si="0"/>
        <v>30712.74</v>
      </c>
      <c r="F16" s="595">
        <f t="shared" si="1"/>
        <v>6484.44</v>
      </c>
      <c r="G16" s="595">
        <f t="shared" si="2"/>
        <v>24228.300000000003</v>
      </c>
      <c r="H16" s="596"/>
      <c r="I16" s="596"/>
      <c r="J16" s="596"/>
      <c r="K16" s="596"/>
      <c r="L16" s="596"/>
      <c r="M16" s="596"/>
      <c r="N16" s="596"/>
      <c r="O16" s="596"/>
      <c r="P16" s="598"/>
      <c r="Q16" s="598"/>
      <c r="R16" s="596"/>
      <c r="S16" s="579">
        <v>6484.44</v>
      </c>
      <c r="T16" s="596"/>
      <c r="U16" s="596"/>
      <c r="V16" s="596"/>
      <c r="W16" s="596"/>
      <c r="X16" s="596"/>
      <c r="Y16" s="6"/>
    </row>
    <row r="17" spans="1:25" x14ac:dyDescent="0.25">
      <c r="A17" s="592">
        <v>480</v>
      </c>
      <c r="B17" s="599" t="s">
        <v>152</v>
      </c>
      <c r="C17" s="594">
        <v>86000</v>
      </c>
      <c r="D17" s="583"/>
      <c r="E17" s="595">
        <f t="shared" si="0"/>
        <v>86000</v>
      </c>
      <c r="F17" s="595">
        <f t="shared" si="1"/>
        <v>0</v>
      </c>
      <c r="G17" s="595">
        <f t="shared" si="2"/>
        <v>86000</v>
      </c>
      <c r="H17" s="596"/>
      <c r="I17" s="596"/>
      <c r="J17" s="596"/>
      <c r="K17" s="596"/>
      <c r="L17" s="596"/>
      <c r="M17" s="596"/>
      <c r="N17" s="579"/>
      <c r="O17" s="596"/>
      <c r="P17" s="598"/>
      <c r="Q17" s="598"/>
      <c r="R17" s="596"/>
      <c r="S17" s="596"/>
      <c r="T17" s="596"/>
      <c r="U17" s="596"/>
      <c r="V17" s="596"/>
      <c r="W17" s="596"/>
      <c r="X17" s="596"/>
      <c r="Y17" s="6"/>
    </row>
    <row r="18" spans="1:25" ht="30" x14ac:dyDescent="0.25">
      <c r="A18" s="592">
        <v>880</v>
      </c>
      <c r="B18" s="599" t="s">
        <v>153</v>
      </c>
      <c r="C18" s="594">
        <v>50000</v>
      </c>
      <c r="D18" s="583"/>
      <c r="E18" s="595">
        <f t="shared" si="0"/>
        <v>50000</v>
      </c>
      <c r="F18" s="595">
        <f t="shared" si="1"/>
        <v>0</v>
      </c>
      <c r="G18" s="595">
        <f t="shared" si="2"/>
        <v>50000</v>
      </c>
      <c r="H18" s="596"/>
      <c r="I18" s="596"/>
      <c r="J18" s="596"/>
      <c r="K18" s="596"/>
      <c r="L18" s="596"/>
      <c r="M18" s="596"/>
      <c r="N18" s="579"/>
      <c r="O18" s="596"/>
      <c r="P18" s="598"/>
      <c r="Q18" s="598"/>
      <c r="R18" s="596"/>
      <c r="S18" s="596"/>
      <c r="T18" s="596"/>
      <c r="U18" s="596"/>
      <c r="V18" s="596"/>
      <c r="W18" s="596"/>
      <c r="X18" s="596"/>
      <c r="Y18" s="6"/>
    </row>
    <row r="19" spans="1:25" ht="15.6" customHeight="1" x14ac:dyDescent="0.25">
      <c r="A19" s="592">
        <v>900</v>
      </c>
      <c r="B19" s="593" t="s">
        <v>87</v>
      </c>
      <c r="C19" s="594">
        <v>12500</v>
      </c>
      <c r="D19" s="595"/>
      <c r="E19" s="595">
        <f t="shared" si="0"/>
        <v>12500</v>
      </c>
      <c r="F19" s="595">
        <f t="shared" si="1"/>
        <v>12500</v>
      </c>
      <c r="G19" s="595">
        <f t="shared" si="2"/>
        <v>0</v>
      </c>
      <c r="H19" s="596"/>
      <c r="I19" s="596"/>
      <c r="J19" s="596"/>
      <c r="K19" s="579"/>
      <c r="L19" s="596"/>
      <c r="M19" s="596">
        <v>7904.17</v>
      </c>
      <c r="N19" s="596">
        <v>2006.76</v>
      </c>
      <c r="O19" s="596">
        <v>2589.0700000000002</v>
      </c>
      <c r="P19" s="598"/>
      <c r="Q19" s="598"/>
      <c r="R19" s="596"/>
      <c r="S19" s="596"/>
      <c r="T19" s="596"/>
      <c r="U19" s="596"/>
      <c r="V19" s="596"/>
      <c r="W19" s="596"/>
      <c r="X19" s="579"/>
      <c r="Y19" s="6"/>
    </row>
    <row r="20" spans="1:25" x14ac:dyDescent="0.25">
      <c r="A20" s="592">
        <v>1000</v>
      </c>
      <c r="B20" s="599" t="s">
        <v>1019</v>
      </c>
      <c r="C20" s="594">
        <v>25593.95</v>
      </c>
      <c r="D20" s="583"/>
      <c r="E20" s="595">
        <f t="shared" si="0"/>
        <v>25593.95</v>
      </c>
      <c r="F20" s="595">
        <f t="shared" si="1"/>
        <v>0</v>
      </c>
      <c r="G20" s="595">
        <f t="shared" si="2"/>
        <v>25593.95</v>
      </c>
      <c r="H20" s="596"/>
      <c r="I20" s="596"/>
      <c r="J20" s="596"/>
      <c r="K20" s="596"/>
      <c r="L20" s="596"/>
      <c r="M20" s="596"/>
      <c r="N20" s="579"/>
      <c r="O20" s="596"/>
      <c r="P20" s="598"/>
      <c r="Q20" s="598"/>
      <c r="R20" s="596"/>
      <c r="S20" s="579"/>
      <c r="T20" s="596"/>
      <c r="U20" s="596"/>
      <c r="V20" s="596"/>
      <c r="W20" s="596"/>
      <c r="X20" s="596"/>
      <c r="Y20" s="6"/>
    </row>
    <row r="21" spans="1:25" x14ac:dyDescent="0.25">
      <c r="A21" s="592">
        <v>1000</v>
      </c>
      <c r="B21" s="599" t="s">
        <v>325</v>
      </c>
      <c r="C21" s="595">
        <v>25593.95</v>
      </c>
      <c r="D21" s="595"/>
      <c r="E21" s="595">
        <f t="shared" si="0"/>
        <v>25593.95</v>
      </c>
      <c r="F21" s="595">
        <f t="shared" si="1"/>
        <v>8202.0499999999993</v>
      </c>
      <c r="G21" s="595">
        <f t="shared" si="2"/>
        <v>17391.900000000001</v>
      </c>
      <c r="H21" s="601"/>
      <c r="I21" s="601"/>
      <c r="J21" s="601"/>
      <c r="K21" s="596"/>
      <c r="L21" s="596"/>
      <c r="M21" s="596"/>
      <c r="N21" s="596"/>
      <c r="O21" s="596">
        <v>707.05</v>
      </c>
      <c r="P21" s="598">
        <v>1170</v>
      </c>
      <c r="Q21" s="598"/>
      <c r="R21" s="596"/>
      <c r="S21" s="596">
        <f>1170+5155</f>
        <v>6325</v>
      </c>
      <c r="T21" s="596"/>
      <c r="U21" s="596"/>
      <c r="V21" s="596"/>
      <c r="W21" s="596"/>
      <c r="X21" s="579"/>
      <c r="Y21" s="6"/>
    </row>
    <row r="22" spans="1:25" x14ac:dyDescent="0.25">
      <c r="A22" s="592">
        <v>1010</v>
      </c>
      <c r="B22" s="593" t="s">
        <v>208</v>
      </c>
      <c r="C22" s="594">
        <v>78073</v>
      </c>
      <c r="D22" s="583"/>
      <c r="E22" s="595">
        <f t="shared" si="0"/>
        <v>78073</v>
      </c>
      <c r="F22" s="595">
        <f t="shared" si="1"/>
        <v>0</v>
      </c>
      <c r="G22" s="595">
        <f t="shared" si="2"/>
        <v>78073</v>
      </c>
      <c r="H22" s="596"/>
      <c r="I22" s="596"/>
      <c r="J22" s="596"/>
      <c r="K22" s="596"/>
      <c r="L22" s="596"/>
      <c r="M22" s="596"/>
      <c r="N22" s="579"/>
      <c r="O22" s="596"/>
      <c r="P22" s="598"/>
      <c r="Q22" s="598"/>
      <c r="R22" s="596"/>
      <c r="S22" s="596"/>
      <c r="T22" s="596"/>
      <c r="U22" s="596"/>
      <c r="V22" s="596"/>
      <c r="W22" s="596"/>
      <c r="X22" s="596"/>
      <c r="Y22" s="6"/>
    </row>
    <row r="23" spans="1:25" x14ac:dyDescent="0.25">
      <c r="A23" s="592">
        <v>1180</v>
      </c>
      <c r="B23" s="593" t="s">
        <v>1020</v>
      </c>
      <c r="C23" s="594">
        <v>100000</v>
      </c>
      <c r="D23" s="583"/>
      <c r="E23" s="595">
        <f t="shared" si="0"/>
        <v>100000</v>
      </c>
      <c r="F23" s="595">
        <f t="shared" si="1"/>
        <v>12744.93</v>
      </c>
      <c r="G23" s="595">
        <f>E23-F23</f>
        <v>87255.07</v>
      </c>
      <c r="H23" s="596"/>
      <c r="I23" s="596"/>
      <c r="J23" s="596"/>
      <c r="K23" s="596"/>
      <c r="L23" s="596"/>
      <c r="M23" s="596"/>
      <c r="N23" s="579"/>
      <c r="O23" s="596"/>
      <c r="P23" s="598"/>
      <c r="Q23" s="598"/>
      <c r="R23" s="596"/>
      <c r="S23" s="596">
        <v>12744.93</v>
      </c>
      <c r="T23" s="596"/>
      <c r="U23" s="596"/>
      <c r="V23" s="596"/>
      <c r="W23" s="596"/>
      <c r="X23" s="596"/>
      <c r="Y23" s="6"/>
    </row>
    <row r="24" spans="1:25" x14ac:dyDescent="0.25">
      <c r="A24" s="592">
        <v>1510</v>
      </c>
      <c r="B24" s="599" t="s">
        <v>154</v>
      </c>
      <c r="C24" s="594">
        <v>5118.79</v>
      </c>
      <c r="D24" s="583"/>
      <c r="E24" s="595">
        <f t="shared" si="0"/>
        <v>5118.79</v>
      </c>
      <c r="F24" s="595">
        <f t="shared" si="1"/>
        <v>0</v>
      </c>
      <c r="G24" s="595">
        <f t="shared" si="2"/>
        <v>5118.79</v>
      </c>
      <c r="H24" s="596"/>
      <c r="I24" s="596"/>
      <c r="J24" s="596"/>
      <c r="K24" s="596"/>
      <c r="L24" s="596"/>
      <c r="M24" s="596"/>
      <c r="N24" s="579"/>
      <c r="O24" s="596"/>
      <c r="P24" s="598"/>
      <c r="Q24" s="598"/>
      <c r="R24" s="596"/>
      <c r="S24" s="579"/>
      <c r="T24" s="596"/>
      <c r="U24" s="596"/>
      <c r="V24" s="596"/>
      <c r="W24" s="596"/>
      <c r="X24" s="579"/>
      <c r="Y24" s="6"/>
    </row>
    <row r="25" spans="1:25" x14ac:dyDescent="0.25">
      <c r="A25" s="592">
        <v>1560</v>
      </c>
      <c r="B25" s="599" t="s">
        <v>79</v>
      </c>
      <c r="C25" s="594">
        <v>56306.69</v>
      </c>
      <c r="D25" s="583"/>
      <c r="E25" s="595">
        <f t="shared" si="0"/>
        <v>56306.69</v>
      </c>
      <c r="F25" s="595">
        <f t="shared" si="1"/>
        <v>0</v>
      </c>
      <c r="G25" s="595">
        <f t="shared" si="2"/>
        <v>56306.69</v>
      </c>
      <c r="H25" s="596"/>
      <c r="I25" s="596"/>
      <c r="J25" s="596"/>
      <c r="K25" s="596"/>
      <c r="L25" s="596"/>
      <c r="M25" s="596"/>
      <c r="N25" s="596"/>
      <c r="O25" s="596"/>
      <c r="P25" s="598"/>
      <c r="Q25" s="598"/>
      <c r="R25" s="596"/>
      <c r="S25" s="596"/>
      <c r="T25" s="596"/>
      <c r="U25" s="597"/>
      <c r="V25" s="596"/>
      <c r="W25" s="596"/>
      <c r="X25" s="579"/>
      <c r="Y25" s="6"/>
    </row>
    <row r="26" spans="1:25" x14ac:dyDescent="0.25">
      <c r="A26" s="592">
        <v>2000</v>
      </c>
      <c r="B26" s="599" t="s">
        <v>81</v>
      </c>
      <c r="C26" s="594">
        <v>40950.32</v>
      </c>
      <c r="D26" s="583"/>
      <c r="E26" s="595">
        <f t="shared" si="0"/>
        <v>40950.32</v>
      </c>
      <c r="F26" s="595">
        <f t="shared" si="1"/>
        <v>40950.32</v>
      </c>
      <c r="G26" s="595">
        <f t="shared" si="2"/>
        <v>0</v>
      </c>
      <c r="H26" s="596"/>
      <c r="I26" s="596"/>
      <c r="J26" s="596"/>
      <c r="K26" s="596">
        <f>7960.47+1495.07</f>
        <v>9455.5400000000009</v>
      </c>
      <c r="L26" s="596">
        <v>6262.9</v>
      </c>
      <c r="M26" s="596"/>
      <c r="N26" s="596">
        <v>6843.21</v>
      </c>
      <c r="O26" s="596">
        <v>1563.28</v>
      </c>
      <c r="P26" s="598">
        <v>13808.08</v>
      </c>
      <c r="Q26" s="598"/>
      <c r="R26" s="596"/>
      <c r="S26" s="596">
        <v>3017.31</v>
      </c>
      <c r="T26" s="596"/>
      <c r="U26" s="596"/>
      <c r="V26" s="596"/>
      <c r="W26" s="596"/>
      <c r="X26" s="579"/>
      <c r="Y26" s="6"/>
    </row>
    <row r="27" spans="1:25" x14ac:dyDescent="0.25">
      <c r="A27" s="592">
        <v>2690</v>
      </c>
      <c r="B27" s="593" t="s">
        <v>1021</v>
      </c>
      <c r="C27" s="594">
        <v>65112</v>
      </c>
      <c r="D27" s="583"/>
      <c r="E27" s="595">
        <f t="shared" si="0"/>
        <v>65112</v>
      </c>
      <c r="F27" s="595">
        <f t="shared" si="1"/>
        <v>23328.710000000003</v>
      </c>
      <c r="G27" s="595">
        <f t="shared" si="2"/>
        <v>41783.289999999994</v>
      </c>
      <c r="H27" s="596"/>
      <c r="I27" s="596"/>
      <c r="J27" s="596"/>
      <c r="K27" s="596"/>
      <c r="L27" s="596">
        <v>2601.27</v>
      </c>
      <c r="M27" s="596"/>
      <c r="N27" s="579">
        <v>10558.29</v>
      </c>
      <c r="O27" s="596">
        <v>6584</v>
      </c>
      <c r="P27" s="598">
        <v>2072.15</v>
      </c>
      <c r="Q27" s="598">
        <v>1513</v>
      </c>
      <c r="R27" s="596"/>
      <c r="S27" s="596"/>
      <c r="T27" s="596"/>
      <c r="U27" s="596"/>
      <c r="V27" s="596"/>
      <c r="W27" s="596"/>
      <c r="X27" s="596"/>
      <c r="Y27" s="6"/>
    </row>
    <row r="28" spans="1:25" x14ac:dyDescent="0.25">
      <c r="A28" s="592">
        <v>2700</v>
      </c>
      <c r="B28" s="593" t="s">
        <v>1022</v>
      </c>
      <c r="C28" s="594">
        <v>100000</v>
      </c>
      <c r="D28" s="583"/>
      <c r="E28" s="595">
        <f t="shared" si="0"/>
        <v>100000</v>
      </c>
      <c r="F28" s="595">
        <f t="shared" si="1"/>
        <v>13493.61</v>
      </c>
      <c r="G28" s="595">
        <f t="shared" si="2"/>
        <v>86506.39</v>
      </c>
      <c r="H28" s="596"/>
      <c r="I28" s="596"/>
      <c r="J28" s="596"/>
      <c r="K28" s="596"/>
      <c r="L28" s="596"/>
      <c r="M28" s="596"/>
      <c r="N28" s="579"/>
      <c r="O28" s="596"/>
      <c r="P28" s="598"/>
      <c r="Q28" s="598"/>
      <c r="R28" s="596"/>
      <c r="S28" s="596">
        <v>9728.07</v>
      </c>
      <c r="T28" s="596">
        <v>3765.54</v>
      </c>
      <c r="U28" s="596"/>
      <c r="V28" s="596"/>
      <c r="W28" s="596"/>
      <c r="X28" s="596"/>
      <c r="Y28" s="6"/>
    </row>
    <row r="29" spans="1:25" x14ac:dyDescent="0.25">
      <c r="A29" s="592">
        <v>3120</v>
      </c>
      <c r="B29" s="593" t="s">
        <v>82</v>
      </c>
      <c r="C29" s="594">
        <v>35831.53</v>
      </c>
      <c r="D29" s="583"/>
      <c r="E29" s="595">
        <f t="shared" si="0"/>
        <v>35831.53</v>
      </c>
      <c r="F29" s="595">
        <f t="shared" si="1"/>
        <v>2652.96</v>
      </c>
      <c r="G29" s="595">
        <f t="shared" si="2"/>
        <v>33178.57</v>
      </c>
      <c r="H29" s="596"/>
      <c r="I29" s="596"/>
      <c r="J29" s="596"/>
      <c r="K29" s="596"/>
      <c r="L29" s="581">
        <v>744.99</v>
      </c>
      <c r="M29" s="596"/>
      <c r="N29" s="579"/>
      <c r="O29" s="596"/>
      <c r="P29" s="598"/>
      <c r="Q29" s="598"/>
      <c r="R29" s="596">
        <f>1603.78+304.19</f>
        <v>1907.97</v>
      </c>
      <c r="S29" s="579"/>
      <c r="T29" s="596"/>
      <c r="U29" s="596"/>
      <c r="V29" s="596"/>
      <c r="W29" s="596"/>
      <c r="X29" s="596"/>
      <c r="Y29" s="6"/>
    </row>
    <row r="30" spans="1:25" x14ac:dyDescent="0.25">
      <c r="A30" s="592">
        <v>9035</v>
      </c>
      <c r="B30" s="593" t="s">
        <v>1023</v>
      </c>
      <c r="C30" s="594">
        <v>87019.43</v>
      </c>
      <c r="D30" s="583"/>
      <c r="E30" s="595">
        <f t="shared" si="0"/>
        <v>87019.43</v>
      </c>
      <c r="F30" s="595">
        <f t="shared" si="1"/>
        <v>71173</v>
      </c>
      <c r="G30" s="595">
        <f t="shared" si="2"/>
        <v>15846.429999999993</v>
      </c>
      <c r="H30" s="596"/>
      <c r="I30" s="596">
        <v>3883</v>
      </c>
      <c r="J30" s="596">
        <v>5037</v>
      </c>
      <c r="K30" s="596">
        <v>8204</v>
      </c>
      <c r="L30" s="579">
        <v>9000</v>
      </c>
      <c r="M30" s="596">
        <v>14162</v>
      </c>
      <c r="N30" s="579">
        <v>11843</v>
      </c>
      <c r="O30" s="596">
        <v>10591</v>
      </c>
      <c r="P30" s="598">
        <v>2655</v>
      </c>
      <c r="Q30" s="598">
        <v>2524</v>
      </c>
      <c r="R30" s="596"/>
      <c r="S30" s="596">
        <v>1919</v>
      </c>
      <c r="T30" s="596">
        <v>1355</v>
      </c>
      <c r="U30" s="596"/>
      <c r="V30" s="596"/>
      <c r="W30" s="596"/>
      <c r="X30" s="579"/>
      <c r="Y30" s="6"/>
    </row>
    <row r="31" spans="1:25" x14ac:dyDescent="0.25">
      <c r="A31" s="592">
        <v>9040</v>
      </c>
      <c r="B31" s="593" t="s">
        <v>1024</v>
      </c>
      <c r="C31" s="594">
        <v>60382</v>
      </c>
      <c r="D31" s="583"/>
      <c r="E31" s="595">
        <f t="shared" si="0"/>
        <v>60382</v>
      </c>
      <c r="F31" s="595">
        <f t="shared" si="1"/>
        <v>16588.89</v>
      </c>
      <c r="G31" s="595">
        <f t="shared" si="2"/>
        <v>43793.11</v>
      </c>
      <c r="H31" s="596"/>
      <c r="I31" s="596"/>
      <c r="J31" s="596"/>
      <c r="K31" s="596"/>
      <c r="L31" s="596"/>
      <c r="M31" s="596"/>
      <c r="N31" s="579">
        <v>6649.24</v>
      </c>
      <c r="O31" s="596">
        <v>837.78</v>
      </c>
      <c r="P31" s="598">
        <v>377.65</v>
      </c>
      <c r="Q31" s="598">
        <v>1050.96</v>
      </c>
      <c r="R31" s="596"/>
      <c r="S31" s="596">
        <v>2671.13</v>
      </c>
      <c r="T31" s="596">
        <v>5002.13</v>
      </c>
      <c r="U31" s="596"/>
      <c r="V31" s="596"/>
      <c r="W31" s="596"/>
      <c r="X31" s="596"/>
      <c r="Y31" s="6"/>
    </row>
    <row r="32" spans="1:25" x14ac:dyDescent="0.25">
      <c r="A32" s="592">
        <v>9040</v>
      </c>
      <c r="B32" s="599" t="s">
        <v>1025</v>
      </c>
      <c r="C32" s="594">
        <v>60382</v>
      </c>
      <c r="D32" s="583"/>
      <c r="E32" s="595">
        <f t="shared" si="0"/>
        <v>60382</v>
      </c>
      <c r="F32" s="595">
        <f t="shared" si="1"/>
        <v>0</v>
      </c>
      <c r="G32" s="595">
        <f t="shared" si="2"/>
        <v>60382</v>
      </c>
      <c r="H32" s="596"/>
      <c r="I32" s="596"/>
      <c r="J32" s="596"/>
      <c r="K32" s="596"/>
      <c r="L32" s="596"/>
      <c r="M32" s="596"/>
      <c r="N32" s="579"/>
      <c r="O32" s="596"/>
      <c r="P32" s="598"/>
      <c r="Q32" s="598"/>
      <c r="R32" s="596"/>
      <c r="S32" s="596"/>
      <c r="T32" s="596"/>
      <c r="U32" s="596"/>
      <c r="V32" s="596"/>
      <c r="W32" s="596"/>
      <c r="X32" s="596"/>
      <c r="Y32" s="6"/>
    </row>
    <row r="33" spans="1:25" x14ac:dyDescent="0.25">
      <c r="A33" s="592">
        <v>9055</v>
      </c>
      <c r="B33" s="593" t="s">
        <v>1026</v>
      </c>
      <c r="C33" s="594">
        <v>43095</v>
      </c>
      <c r="D33" s="583"/>
      <c r="E33" s="595">
        <f t="shared" si="0"/>
        <v>43095</v>
      </c>
      <c r="F33" s="595">
        <f t="shared" si="1"/>
        <v>27580.000000000004</v>
      </c>
      <c r="G33" s="595">
        <f t="shared" si="2"/>
        <v>15514.999999999996</v>
      </c>
      <c r="H33" s="596"/>
      <c r="I33" s="596"/>
      <c r="J33" s="596"/>
      <c r="K33" s="596"/>
      <c r="L33" s="596">
        <v>400</v>
      </c>
      <c r="M33" s="596">
        <v>1500</v>
      </c>
      <c r="N33" s="579">
        <f>2116.92+4911.83</f>
        <v>7028.75</v>
      </c>
      <c r="O33" s="596">
        <f>1308.83</f>
        <v>1308.83</v>
      </c>
      <c r="P33" s="598">
        <v>2891.52</v>
      </c>
      <c r="Q33" s="598">
        <f>6115.28+4894.1</f>
        <v>11009.380000000001</v>
      </c>
      <c r="R33" s="596"/>
      <c r="S33" s="596"/>
      <c r="T33" s="596">
        <v>3441.52</v>
      </c>
      <c r="U33" s="596"/>
      <c r="V33" s="596"/>
      <c r="W33" s="596"/>
      <c r="X33" s="596"/>
      <c r="Y33" s="6"/>
    </row>
    <row r="34" spans="1:25" x14ac:dyDescent="0.25">
      <c r="A34" s="592">
        <v>9170</v>
      </c>
      <c r="B34" s="599" t="s">
        <v>1027</v>
      </c>
      <c r="C34" s="594">
        <v>100000</v>
      </c>
      <c r="D34" s="583"/>
      <c r="E34" s="595">
        <f t="shared" si="0"/>
        <v>100000</v>
      </c>
      <c r="F34" s="595">
        <f t="shared" si="1"/>
        <v>0</v>
      </c>
      <c r="G34" s="595">
        <f t="shared" si="2"/>
        <v>100000</v>
      </c>
      <c r="H34" s="596"/>
      <c r="I34" s="596"/>
      <c r="J34" s="596"/>
      <c r="K34" s="596"/>
      <c r="L34" s="596"/>
      <c r="M34" s="596"/>
      <c r="N34" s="579"/>
      <c r="O34" s="596"/>
      <c r="P34" s="598"/>
      <c r="Q34" s="598"/>
      <c r="R34" s="596"/>
      <c r="S34" s="596"/>
      <c r="T34" s="596"/>
      <c r="U34" s="596"/>
      <c r="V34" s="596"/>
      <c r="W34" s="596"/>
      <c r="X34" s="596"/>
      <c r="Y34" s="6"/>
    </row>
    <row r="35" spans="1:25" x14ac:dyDescent="0.25">
      <c r="A35" s="602"/>
      <c r="B35" s="603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6"/>
    </row>
    <row r="36" spans="1:25" s="14" customFormat="1" ht="15.75" thickBot="1" x14ac:dyDescent="0.3">
      <c r="A36" s="604" t="s">
        <v>44</v>
      </c>
      <c r="B36" s="605"/>
      <c r="C36" s="606">
        <f t="shared" ref="C36:W36" si="3">SUM(C9:C35)</f>
        <v>1420520.1999999997</v>
      </c>
      <c r="D36" s="606">
        <f t="shared" si="3"/>
        <v>0</v>
      </c>
      <c r="E36" s="606">
        <f t="shared" si="3"/>
        <v>1420520.1999999997</v>
      </c>
      <c r="F36" s="606">
        <f t="shared" si="3"/>
        <v>312276.67000000004</v>
      </c>
      <c r="G36" s="606">
        <f t="shared" si="3"/>
        <v>1108243.5299999998</v>
      </c>
      <c r="H36" s="606">
        <f t="shared" si="3"/>
        <v>0</v>
      </c>
      <c r="I36" s="606">
        <f t="shared" si="3"/>
        <v>3883</v>
      </c>
      <c r="J36" s="606">
        <f t="shared" si="3"/>
        <v>5037</v>
      </c>
      <c r="K36" s="606">
        <f t="shared" si="3"/>
        <v>32659.79</v>
      </c>
      <c r="L36" s="606">
        <f t="shared" si="3"/>
        <v>26092.09</v>
      </c>
      <c r="M36" s="606">
        <f t="shared" si="3"/>
        <v>36241.629999999997</v>
      </c>
      <c r="N36" s="606">
        <f t="shared" si="3"/>
        <v>51689.39</v>
      </c>
      <c r="O36" s="606">
        <f t="shared" si="3"/>
        <v>30801.690000000002</v>
      </c>
      <c r="P36" s="606">
        <f t="shared" si="3"/>
        <v>28707.660000000003</v>
      </c>
      <c r="Q36" s="606">
        <f t="shared" si="3"/>
        <v>27464.75</v>
      </c>
      <c r="R36" s="606">
        <f t="shared" si="3"/>
        <v>1907.97</v>
      </c>
      <c r="S36" s="606">
        <f t="shared" si="3"/>
        <v>54227.509999999995</v>
      </c>
      <c r="T36" s="606">
        <f t="shared" si="3"/>
        <v>13564.19</v>
      </c>
      <c r="U36" s="606">
        <f t="shared" si="3"/>
        <v>0</v>
      </c>
      <c r="V36" s="606">
        <f t="shared" si="3"/>
        <v>0</v>
      </c>
      <c r="W36" s="606">
        <f t="shared" si="3"/>
        <v>0</v>
      </c>
      <c r="X36" s="606"/>
      <c r="Y36" s="185"/>
    </row>
    <row r="37" spans="1:25" ht="3.75" customHeight="1" x14ac:dyDescent="0.25">
      <c r="A37" s="8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idden="1" x14ac:dyDescent="0.25">
      <c r="A38" s="8"/>
      <c r="B38" s="1"/>
      <c r="C38" s="6"/>
      <c r="D38" s="6"/>
      <c r="E38" s="6"/>
      <c r="F38" s="6"/>
      <c r="G38" s="6" t="s">
        <v>1028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8"/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B41" t="s">
        <v>1029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C42" s="16"/>
      <c r="D42" s="16"/>
      <c r="E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62"/>
    </row>
    <row r="43" spans="1:25" x14ac:dyDescent="0.25">
      <c r="C43" s="16"/>
      <c r="D43" s="16"/>
      <c r="E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5" x14ac:dyDescent="0.25">
      <c r="C44" s="16"/>
      <c r="D44" s="16"/>
      <c r="E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5" x14ac:dyDescent="0.25">
      <c r="C45" s="16"/>
      <c r="D45" s="16"/>
      <c r="E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5" x14ac:dyDescent="0.25">
      <c r="C46" s="16"/>
      <c r="D46" s="16"/>
      <c r="E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5" x14ac:dyDescent="0.25">
      <c r="C47" s="16"/>
      <c r="D47" s="16"/>
      <c r="E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5" x14ac:dyDescent="0.25">
      <c r="C48" s="16"/>
      <c r="D48" s="16"/>
      <c r="E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3:24" x14ac:dyDescent="0.25">
      <c r="C49" s="16"/>
      <c r="D49" s="16"/>
      <c r="E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3:24" x14ac:dyDescent="0.25">
      <c r="C50" s="16"/>
      <c r="D50" s="16"/>
      <c r="E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3:24" x14ac:dyDescent="0.25">
      <c r="C51" s="16"/>
      <c r="D51" s="16"/>
      <c r="E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3:24" x14ac:dyDescent="0.25">
      <c r="C52" s="16"/>
      <c r="D52" s="16"/>
      <c r="E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3:24" x14ac:dyDescent="0.25">
      <c r="C53" s="16"/>
      <c r="D53" s="16"/>
      <c r="E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3:24" x14ac:dyDescent="0.25">
      <c r="C54" s="16"/>
      <c r="D54" s="16"/>
      <c r="E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3:24" x14ac:dyDescent="0.25">
      <c r="C55" s="16"/>
      <c r="D55" s="16"/>
      <c r="E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3:24" x14ac:dyDescent="0.25">
      <c r="C56" s="16"/>
      <c r="D56" s="16"/>
      <c r="E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3:24" x14ac:dyDescent="0.25">
      <c r="C57" s="16"/>
      <c r="D57" s="16"/>
      <c r="E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x14ac:dyDescent="0.25">
      <c r="C58" s="16"/>
      <c r="D58" s="16"/>
      <c r="E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3:24" x14ac:dyDescent="0.25"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3:24" x14ac:dyDescent="0.25"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3:24" x14ac:dyDescent="0.25"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3:24" x14ac:dyDescent="0.25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3:24" x14ac:dyDescent="0.25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3:24" x14ac:dyDescent="0.25"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8:23" x14ac:dyDescent="0.25"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8:23" x14ac:dyDescent="0.25"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8:23" x14ac:dyDescent="0.25"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8:23" x14ac:dyDescent="0.25"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8:23" x14ac:dyDescent="0.25"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8:23" x14ac:dyDescent="0.25"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8:23" x14ac:dyDescent="0.25"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8:23" x14ac:dyDescent="0.25"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8:23" x14ac:dyDescent="0.25"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8:23" x14ac:dyDescent="0.25"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8:23" x14ac:dyDescent="0.25"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8:23" x14ac:dyDescent="0.25"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</sheetData>
  <sheetProtection algorithmName="SHA-512" hashValue="AoCPGCq1n70A+Ai7Nao/OsNnpV+2lSMtcG5JfusfGURnM1a2E1hRMYR9Q5MQz4F4LEVGezqA5rBVINJaisYG7w==" saltValue="um86ShXN3y1mc3ZGQFq9xA==" spinCount="100000" sheet="1" objects="1" scenarios="1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402C-6C42-4EA4-AA84-CFA85732B089}">
  <dimension ref="A1:Y86"/>
  <sheetViews>
    <sheetView zoomScale="78" zoomScaleNormal="78" workbookViewId="0">
      <pane xSplit="7" ySplit="8" topLeftCell="H9" activePane="bottomRight" state="frozen"/>
      <selection activeCell="E33" sqref="E33"/>
      <selection pane="topRight" activeCell="E33" sqref="E33"/>
      <selection pane="bottomLeft" activeCell="E33" sqref="E33"/>
      <selection pane="bottomRight" activeCell="G27" sqref="G27"/>
    </sheetView>
  </sheetViews>
  <sheetFormatPr defaultColWidth="9.42578125" defaultRowHeight="15" x14ac:dyDescent="0.25"/>
  <cols>
    <col min="1" max="1" width="9.42578125" style="384"/>
    <col min="2" max="2" width="45.42578125" style="384" customWidth="1"/>
    <col min="3" max="5" width="13.5703125" style="384" customWidth="1"/>
    <col min="6" max="6" width="11.42578125" style="384" customWidth="1"/>
    <col min="7" max="7" width="16" style="384" customWidth="1"/>
    <col min="8" max="13" width="15.5703125" style="384" hidden="1" customWidth="1"/>
    <col min="14" max="23" width="15.5703125" style="384" customWidth="1"/>
    <col min="24" max="24" width="21.42578125" style="384" customWidth="1"/>
    <col min="25" max="16384" width="9.42578125" style="384"/>
  </cols>
  <sheetData>
    <row r="1" spans="1:25" ht="21" x14ac:dyDescent="0.35">
      <c r="A1" s="422" t="s">
        <v>0</v>
      </c>
      <c r="B1" s="418"/>
      <c r="C1" s="421" t="s">
        <v>1041</v>
      </c>
      <c r="D1" s="421"/>
      <c r="E1" s="421"/>
      <c r="F1" s="422"/>
      <c r="G1" s="423"/>
      <c r="H1" s="420"/>
      <c r="I1" s="418"/>
      <c r="J1" s="421"/>
      <c r="K1" s="418"/>
      <c r="L1" s="421"/>
      <c r="M1" s="418"/>
      <c r="N1" s="421"/>
      <c r="O1" s="418"/>
      <c r="P1" s="421"/>
      <c r="Q1" s="418"/>
      <c r="R1" s="418"/>
      <c r="S1" s="418"/>
      <c r="T1" s="421"/>
      <c r="U1" s="418"/>
      <c r="V1" s="421"/>
      <c r="W1" s="418"/>
      <c r="X1" s="422"/>
    </row>
    <row r="2" spans="1:25" ht="21" x14ac:dyDescent="0.35">
      <c r="A2" s="422" t="s">
        <v>137</v>
      </c>
      <c r="B2" s="423"/>
      <c r="C2" s="421" t="s">
        <v>1042</v>
      </c>
      <c r="D2" s="421"/>
      <c r="E2" s="421"/>
      <c r="F2" s="423"/>
      <c r="G2" s="423"/>
      <c r="H2" s="420"/>
      <c r="I2" s="418"/>
      <c r="J2" s="623"/>
      <c r="K2" s="418"/>
      <c r="L2" s="624"/>
      <c r="M2" s="418"/>
      <c r="N2" s="623"/>
      <c r="O2" s="418"/>
      <c r="P2" s="623"/>
      <c r="Q2" s="418"/>
      <c r="R2" s="418"/>
      <c r="S2" s="418"/>
      <c r="T2" s="623"/>
      <c r="U2" s="418"/>
      <c r="V2" s="623"/>
      <c r="W2" s="418"/>
      <c r="X2" s="422"/>
    </row>
    <row r="3" spans="1:25" ht="15.75" x14ac:dyDescent="0.25">
      <c r="A3" s="101" t="s">
        <v>1</v>
      </c>
      <c r="B3" s="418"/>
      <c r="C3" s="623"/>
      <c r="D3" s="623"/>
      <c r="E3" s="623"/>
      <c r="F3" s="101"/>
      <c r="G3" s="625"/>
      <c r="H3" s="420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20"/>
    </row>
    <row r="4" spans="1:25" ht="15.75" x14ac:dyDescent="0.25">
      <c r="A4" s="101" t="s">
        <v>2</v>
      </c>
      <c r="B4" s="418"/>
      <c r="C4" s="623" t="s">
        <v>618</v>
      </c>
      <c r="D4" s="623"/>
      <c r="E4" s="623"/>
      <c r="F4" s="625"/>
      <c r="G4" s="625"/>
      <c r="H4" s="420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20"/>
    </row>
    <row r="5" spans="1:25" ht="15.75" x14ac:dyDescent="0.25">
      <c r="A5" s="101" t="s">
        <v>374</v>
      </c>
      <c r="B5" s="418"/>
      <c r="C5" s="427"/>
      <c r="D5" s="101"/>
      <c r="E5" s="101"/>
      <c r="F5" s="625"/>
      <c r="G5" s="625"/>
      <c r="H5" s="429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29"/>
    </row>
    <row r="6" spans="1:25" ht="15.75" x14ac:dyDescent="0.25">
      <c r="A6" s="101"/>
      <c r="B6" s="418"/>
      <c r="C6" s="427"/>
      <c r="D6" s="623"/>
      <c r="E6" s="623"/>
      <c r="F6" s="625"/>
      <c r="G6" s="625"/>
      <c r="H6" s="429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29"/>
    </row>
    <row r="7" spans="1:25" ht="15.75" thickBot="1" x14ac:dyDescent="0.3">
      <c r="A7" s="626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29"/>
    </row>
    <row r="8" spans="1:25" ht="30.75" thickBot="1" x14ac:dyDescent="0.3">
      <c r="A8" s="627" t="s">
        <v>130</v>
      </c>
      <c r="B8" s="436" t="s">
        <v>124</v>
      </c>
      <c r="C8" s="436" t="s">
        <v>14</v>
      </c>
      <c r="D8" s="628" t="s">
        <v>799</v>
      </c>
      <c r="E8" s="629" t="s">
        <v>132</v>
      </c>
      <c r="F8" s="436" t="s">
        <v>15</v>
      </c>
      <c r="G8" s="630" t="s">
        <v>16</v>
      </c>
      <c r="H8" s="471" t="s">
        <v>408</v>
      </c>
      <c r="I8" s="472" t="s">
        <v>409</v>
      </c>
      <c r="J8" s="471" t="s">
        <v>410</v>
      </c>
      <c r="K8" s="472" t="s">
        <v>411</v>
      </c>
      <c r="L8" s="471" t="s">
        <v>412</v>
      </c>
      <c r="M8" s="472" t="s">
        <v>416</v>
      </c>
      <c r="N8" s="472" t="s">
        <v>606</v>
      </c>
      <c r="O8" s="472" t="s">
        <v>607</v>
      </c>
      <c r="P8" s="472" t="s">
        <v>608</v>
      </c>
      <c r="Q8" s="472" t="s">
        <v>609</v>
      </c>
      <c r="R8" s="472" t="s">
        <v>610</v>
      </c>
      <c r="S8" s="472" t="s">
        <v>611</v>
      </c>
      <c r="T8" s="471" t="s">
        <v>612</v>
      </c>
      <c r="U8" s="472" t="s">
        <v>613</v>
      </c>
      <c r="V8" s="472" t="s">
        <v>614</v>
      </c>
      <c r="W8" s="436" t="s">
        <v>144</v>
      </c>
      <c r="X8" s="436" t="s">
        <v>145</v>
      </c>
    </row>
    <row r="9" spans="1:25" ht="15.75" thickBot="1" x14ac:dyDescent="0.3">
      <c r="A9" s="631" t="s">
        <v>63</v>
      </c>
      <c r="B9" s="585" t="s">
        <v>626</v>
      </c>
      <c r="C9" s="632">
        <v>41804</v>
      </c>
      <c r="D9" s="587">
        <v>9154.2099999999991</v>
      </c>
      <c r="E9" s="588">
        <f t="shared" ref="E9:E42" si="0">SUM(C9+D9)</f>
        <v>50958.21</v>
      </c>
      <c r="F9" s="589">
        <f t="shared" ref="F9:F39" si="1">SUM(H9:V9)</f>
        <v>0</v>
      </c>
      <c r="G9" s="589">
        <f t="shared" ref="G9:G39" si="2">E9-F9</f>
        <v>50958.21</v>
      </c>
      <c r="H9" s="590"/>
      <c r="I9" s="590"/>
      <c r="J9" s="590"/>
      <c r="K9" s="590"/>
      <c r="L9" s="590"/>
      <c r="M9" s="590"/>
      <c r="N9" s="383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387"/>
    </row>
    <row r="10" spans="1:25" ht="15.75" thickBot="1" x14ac:dyDescent="0.3">
      <c r="A10" s="584">
        <v>20</v>
      </c>
      <c r="B10" s="150" t="s">
        <v>76</v>
      </c>
      <c r="C10" s="632">
        <v>237357</v>
      </c>
      <c r="D10" s="587">
        <v>51976.3</v>
      </c>
      <c r="E10" s="588">
        <f t="shared" si="0"/>
        <v>289333.3</v>
      </c>
      <c r="F10" s="589">
        <f t="shared" si="1"/>
        <v>79874.34</v>
      </c>
      <c r="G10" s="589">
        <f t="shared" si="2"/>
        <v>209458.96</v>
      </c>
      <c r="H10" s="590"/>
      <c r="I10" s="590"/>
      <c r="J10" s="590"/>
      <c r="K10" s="590"/>
      <c r="L10" s="383"/>
      <c r="M10" s="590"/>
      <c r="N10" s="383"/>
      <c r="O10" s="590">
        <f>21361.31+8505.89</f>
        <v>29867.200000000001</v>
      </c>
      <c r="P10" s="590">
        <v>8409.73</v>
      </c>
      <c r="Q10" s="590">
        <v>9062.6</v>
      </c>
      <c r="R10" s="590"/>
      <c r="S10" s="384">
        <f>8610.08+11342.8</f>
        <v>19952.879999999997</v>
      </c>
      <c r="T10" s="590"/>
      <c r="U10" s="590">
        <v>12581.93</v>
      </c>
      <c r="V10" s="590"/>
      <c r="W10" s="590"/>
      <c r="X10" s="387"/>
      <c r="Y10" s="387"/>
    </row>
    <row r="11" spans="1:25" ht="15.75" thickBot="1" x14ac:dyDescent="0.3">
      <c r="A11" s="584">
        <v>30</v>
      </c>
      <c r="B11" s="150" t="s">
        <v>77</v>
      </c>
      <c r="C11" s="632">
        <v>78182</v>
      </c>
      <c r="D11" s="587">
        <v>17120.25</v>
      </c>
      <c r="E11" s="588">
        <f t="shared" si="0"/>
        <v>95302.25</v>
      </c>
      <c r="F11" s="589">
        <f t="shared" si="1"/>
        <v>52762.54</v>
      </c>
      <c r="G11" s="589">
        <f t="shared" si="2"/>
        <v>42539.71</v>
      </c>
      <c r="H11" s="590"/>
      <c r="I11" s="590"/>
      <c r="J11" s="590"/>
      <c r="K11" s="590"/>
      <c r="L11" s="590"/>
      <c r="M11" s="590"/>
      <c r="N11" s="383"/>
      <c r="O11" s="590">
        <v>13356.33</v>
      </c>
      <c r="P11" s="590"/>
      <c r="Q11" s="590">
        <v>20596.97</v>
      </c>
      <c r="R11" s="590"/>
      <c r="S11" s="590">
        <v>9900.56</v>
      </c>
      <c r="T11" s="590"/>
      <c r="U11" s="590">
        <v>8908.68</v>
      </c>
      <c r="V11" s="590"/>
      <c r="W11" s="590"/>
      <c r="X11" s="590"/>
      <c r="Y11" s="387"/>
    </row>
    <row r="12" spans="1:25" ht="15.75" thickBot="1" x14ac:dyDescent="0.3">
      <c r="A12" s="631" t="s">
        <v>235</v>
      </c>
      <c r="B12" s="150" t="s">
        <v>253</v>
      </c>
      <c r="C12" s="632">
        <v>53557</v>
      </c>
      <c r="D12" s="587"/>
      <c r="E12" s="588">
        <f t="shared" si="0"/>
        <v>53557</v>
      </c>
      <c r="F12" s="589">
        <f t="shared" si="1"/>
        <v>0</v>
      </c>
      <c r="G12" s="589">
        <f t="shared" si="2"/>
        <v>53557</v>
      </c>
      <c r="H12" s="590"/>
      <c r="I12" s="590"/>
      <c r="J12" s="590"/>
      <c r="K12" s="590"/>
      <c r="L12" s="590"/>
      <c r="M12" s="590"/>
      <c r="N12" s="383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387"/>
    </row>
    <row r="13" spans="1:25" ht="15.75" thickBot="1" x14ac:dyDescent="0.3">
      <c r="A13" s="584">
        <v>70</v>
      </c>
      <c r="B13" s="150" t="s">
        <v>1017</v>
      </c>
      <c r="C13" s="632">
        <v>122539</v>
      </c>
      <c r="D13" s="587">
        <v>26833.52</v>
      </c>
      <c r="E13" s="588">
        <f t="shared" si="0"/>
        <v>149372.51999999999</v>
      </c>
      <c r="F13" s="589">
        <f t="shared" si="1"/>
        <v>0</v>
      </c>
      <c r="G13" s="589">
        <f t="shared" si="2"/>
        <v>149372.51999999999</v>
      </c>
      <c r="H13" s="590"/>
      <c r="I13" s="590"/>
      <c r="J13" s="590"/>
      <c r="K13" s="590"/>
      <c r="L13" s="590"/>
      <c r="M13" s="590"/>
      <c r="N13" s="383"/>
      <c r="O13" s="590"/>
      <c r="P13" s="590"/>
      <c r="Q13" s="590"/>
      <c r="R13" s="590"/>
      <c r="T13" s="590"/>
      <c r="U13" s="590"/>
      <c r="V13" s="590"/>
      <c r="W13" s="590"/>
      <c r="X13" s="387"/>
      <c r="Y13" s="387"/>
    </row>
    <row r="14" spans="1:25" ht="15.75" thickBot="1" x14ac:dyDescent="0.3">
      <c r="A14" s="584">
        <v>120</v>
      </c>
      <c r="B14" s="150" t="s">
        <v>625</v>
      </c>
      <c r="C14" s="632">
        <v>25276</v>
      </c>
      <c r="D14" s="587">
        <v>5534.92</v>
      </c>
      <c r="E14" s="588">
        <f t="shared" si="0"/>
        <v>30810.92</v>
      </c>
      <c r="F14" s="589">
        <f t="shared" si="1"/>
        <v>0</v>
      </c>
      <c r="G14" s="589">
        <f t="shared" si="2"/>
        <v>30810.92</v>
      </c>
      <c r="H14" s="590"/>
      <c r="I14" s="590"/>
      <c r="J14" s="590"/>
      <c r="K14" s="590"/>
      <c r="L14" s="383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387"/>
      <c r="Y14" s="387"/>
    </row>
    <row r="15" spans="1:25" ht="15.75" thickBot="1" x14ac:dyDescent="0.3">
      <c r="A15" s="584">
        <v>130</v>
      </c>
      <c r="B15" s="150" t="s">
        <v>302</v>
      </c>
      <c r="C15" s="632">
        <v>89597</v>
      </c>
      <c r="D15" s="587">
        <v>19619.900000000001</v>
      </c>
      <c r="E15" s="588">
        <f t="shared" si="0"/>
        <v>109216.9</v>
      </c>
      <c r="F15" s="589">
        <f t="shared" si="1"/>
        <v>0</v>
      </c>
      <c r="G15" s="589">
        <f t="shared" si="2"/>
        <v>109216.9</v>
      </c>
      <c r="H15" s="590"/>
      <c r="I15" s="590"/>
      <c r="J15" s="590"/>
      <c r="K15" s="590"/>
      <c r="L15" s="590"/>
      <c r="M15" s="590"/>
      <c r="N15" s="383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387"/>
    </row>
    <row r="16" spans="1:25" ht="15.75" thickBot="1" x14ac:dyDescent="0.3">
      <c r="A16" s="631" t="s">
        <v>883</v>
      </c>
      <c r="B16" s="150" t="s">
        <v>1030</v>
      </c>
      <c r="C16" s="632">
        <v>22336</v>
      </c>
      <c r="D16" s="587">
        <v>4891.12</v>
      </c>
      <c r="E16" s="588">
        <f t="shared" si="0"/>
        <v>27227.119999999999</v>
      </c>
      <c r="F16" s="589">
        <f t="shared" si="1"/>
        <v>0</v>
      </c>
      <c r="G16" s="589">
        <f t="shared" si="2"/>
        <v>27227.119999999999</v>
      </c>
      <c r="H16" s="590"/>
      <c r="I16" s="590"/>
      <c r="J16" s="590"/>
      <c r="K16" s="590"/>
      <c r="L16" s="590"/>
      <c r="M16" s="590"/>
      <c r="N16" s="383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387"/>
    </row>
    <row r="17" spans="1:25" ht="15.75" thickBot="1" x14ac:dyDescent="0.3">
      <c r="A17" s="584">
        <v>180</v>
      </c>
      <c r="B17" s="150" t="s">
        <v>88</v>
      </c>
      <c r="C17" s="632">
        <v>341044</v>
      </c>
      <c r="D17" s="633">
        <v>74681.61</v>
      </c>
      <c r="E17" s="588">
        <f t="shared" si="0"/>
        <v>415725.61</v>
      </c>
      <c r="F17" s="589">
        <f t="shared" si="1"/>
        <v>0</v>
      </c>
      <c r="G17" s="589">
        <f t="shared" si="2"/>
        <v>415725.61</v>
      </c>
      <c r="H17" s="590"/>
      <c r="I17" s="590"/>
      <c r="J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387"/>
      <c r="Y17" s="387"/>
    </row>
    <row r="18" spans="1:25" ht="15.75" thickBot="1" x14ac:dyDescent="0.3">
      <c r="A18" s="631" t="s">
        <v>1031</v>
      </c>
      <c r="B18" s="150" t="s">
        <v>1032</v>
      </c>
      <c r="C18" s="632">
        <v>17873</v>
      </c>
      <c r="D18" s="587">
        <v>3913.82</v>
      </c>
      <c r="E18" s="588">
        <f t="shared" si="0"/>
        <v>21786.82</v>
      </c>
      <c r="F18" s="589">
        <f t="shared" si="1"/>
        <v>0</v>
      </c>
      <c r="G18" s="589">
        <f t="shared" si="2"/>
        <v>21786.82</v>
      </c>
      <c r="H18" s="590"/>
      <c r="I18" s="590"/>
      <c r="J18" s="590"/>
      <c r="K18" s="590"/>
      <c r="L18" s="590"/>
      <c r="M18" s="590"/>
      <c r="N18" s="383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387"/>
    </row>
    <row r="19" spans="1:25" ht="15.6" customHeight="1" thickBot="1" x14ac:dyDescent="0.3">
      <c r="A19" s="584">
        <v>470</v>
      </c>
      <c r="B19" s="150" t="s">
        <v>801</v>
      </c>
      <c r="C19" s="632">
        <v>98040</v>
      </c>
      <c r="D19" s="587">
        <v>21468.74</v>
      </c>
      <c r="E19" s="588">
        <f t="shared" si="0"/>
        <v>119508.74</v>
      </c>
      <c r="F19" s="589">
        <f t="shared" si="1"/>
        <v>4904.78</v>
      </c>
      <c r="G19" s="589">
        <f t="shared" si="2"/>
        <v>114603.96</v>
      </c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>
        <v>4904.78</v>
      </c>
      <c r="T19" s="590"/>
      <c r="U19" s="591"/>
      <c r="V19" s="590"/>
      <c r="W19" s="590"/>
      <c r="X19" s="387"/>
      <c r="Y19" s="387"/>
    </row>
    <row r="20" spans="1:25" ht="15.75" thickBot="1" x14ac:dyDescent="0.3">
      <c r="A20" s="631" t="s">
        <v>5</v>
      </c>
      <c r="B20" s="150" t="s">
        <v>152</v>
      </c>
      <c r="C20" s="632">
        <v>65908</v>
      </c>
      <c r="D20" s="587">
        <v>14432.49</v>
      </c>
      <c r="E20" s="588">
        <f t="shared" si="0"/>
        <v>80340.490000000005</v>
      </c>
      <c r="F20" s="589">
        <f t="shared" si="1"/>
        <v>0</v>
      </c>
      <c r="G20" s="589">
        <f t="shared" si="2"/>
        <v>80340.490000000005</v>
      </c>
      <c r="H20" s="590"/>
      <c r="I20" s="590"/>
      <c r="J20" s="590"/>
      <c r="K20" s="590"/>
      <c r="L20" s="590"/>
      <c r="M20" s="590"/>
      <c r="N20" s="383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387"/>
    </row>
    <row r="21" spans="1:25" ht="30.75" thickBot="1" x14ac:dyDescent="0.3">
      <c r="A21" s="584">
        <v>880</v>
      </c>
      <c r="B21" s="607" t="s">
        <v>153</v>
      </c>
      <c r="C21" s="632">
        <v>643584</v>
      </c>
      <c r="D21" s="634">
        <v>140931.64000000001</v>
      </c>
      <c r="E21" s="588">
        <f t="shared" si="0"/>
        <v>784515.64</v>
      </c>
      <c r="F21" s="589">
        <f t="shared" si="1"/>
        <v>0</v>
      </c>
      <c r="G21" s="589">
        <f t="shared" si="2"/>
        <v>784515.64</v>
      </c>
      <c r="H21" s="590"/>
      <c r="I21" s="590"/>
      <c r="J21" s="590"/>
      <c r="K21" s="590"/>
      <c r="L21" s="590"/>
      <c r="M21" s="590"/>
      <c r="N21" s="383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387"/>
    </row>
    <row r="22" spans="1:25" ht="15.75" thickBot="1" x14ac:dyDescent="0.3">
      <c r="A22" s="584">
        <v>900</v>
      </c>
      <c r="B22" s="607" t="s">
        <v>87</v>
      </c>
      <c r="C22" s="632">
        <v>86770</v>
      </c>
      <c r="D22" s="634">
        <v>19000.84</v>
      </c>
      <c r="E22" s="588">
        <f t="shared" si="0"/>
        <v>105770.84</v>
      </c>
      <c r="F22" s="589">
        <f t="shared" si="1"/>
        <v>5813.13</v>
      </c>
      <c r="G22" s="589">
        <f t="shared" si="2"/>
        <v>99957.709999999992</v>
      </c>
      <c r="H22" s="590"/>
      <c r="I22" s="590"/>
      <c r="J22" s="590"/>
      <c r="K22" s="590"/>
      <c r="L22" s="590"/>
      <c r="M22" s="590"/>
      <c r="N22" s="383"/>
      <c r="O22" s="590">
        <v>771.86</v>
      </c>
      <c r="P22" s="590">
        <v>2392.44</v>
      </c>
      <c r="Q22" s="590"/>
      <c r="R22" s="590"/>
      <c r="S22" s="384">
        <v>2648.83</v>
      </c>
      <c r="T22" s="590"/>
      <c r="U22" s="590"/>
      <c r="V22" s="590"/>
      <c r="W22" s="590"/>
      <c r="X22" s="590"/>
      <c r="Y22" s="387"/>
    </row>
    <row r="23" spans="1:25" ht="15.75" thickBot="1" x14ac:dyDescent="0.3">
      <c r="A23" s="631" t="s">
        <v>1033</v>
      </c>
      <c r="B23" s="607" t="s">
        <v>1034</v>
      </c>
      <c r="C23" s="632">
        <v>15314</v>
      </c>
      <c r="D23" s="634"/>
      <c r="E23" s="588">
        <f t="shared" si="0"/>
        <v>15314</v>
      </c>
      <c r="F23" s="589">
        <f t="shared" si="1"/>
        <v>0</v>
      </c>
      <c r="G23" s="589">
        <f t="shared" si="2"/>
        <v>15314</v>
      </c>
      <c r="H23" s="590"/>
      <c r="I23" s="590"/>
      <c r="J23" s="590"/>
      <c r="K23" s="590"/>
      <c r="L23" s="590"/>
      <c r="M23" s="590"/>
      <c r="N23" s="383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387"/>
    </row>
    <row r="24" spans="1:25" ht="15.75" thickBot="1" x14ac:dyDescent="0.3">
      <c r="A24" s="631" t="s">
        <v>181</v>
      </c>
      <c r="B24" s="607" t="s">
        <v>184</v>
      </c>
      <c r="C24" s="632">
        <v>87580</v>
      </c>
      <c r="D24" s="634">
        <v>19178.22</v>
      </c>
      <c r="E24" s="588">
        <f t="shared" si="0"/>
        <v>106758.22</v>
      </c>
      <c r="F24" s="589">
        <f t="shared" si="1"/>
        <v>0</v>
      </c>
      <c r="G24" s="589">
        <f t="shared" si="2"/>
        <v>106758.22</v>
      </c>
      <c r="H24" s="590"/>
      <c r="I24" s="590"/>
      <c r="J24" s="590"/>
      <c r="K24" s="590"/>
      <c r="L24" s="590"/>
      <c r="M24" s="590"/>
      <c r="N24" s="383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387"/>
    </row>
    <row r="25" spans="1:25" ht="15.75" thickBot="1" x14ac:dyDescent="0.3">
      <c r="A25" s="584">
        <v>1000</v>
      </c>
      <c r="B25" s="607" t="s">
        <v>325</v>
      </c>
      <c r="C25" s="632">
        <v>54773</v>
      </c>
      <c r="D25" s="634">
        <v>11994.16</v>
      </c>
      <c r="E25" s="588">
        <f t="shared" si="0"/>
        <v>66767.16</v>
      </c>
      <c r="F25" s="589">
        <f t="shared" si="1"/>
        <v>8992</v>
      </c>
      <c r="G25" s="589">
        <f t="shared" si="2"/>
        <v>57775.16</v>
      </c>
      <c r="H25" s="590"/>
      <c r="I25" s="590"/>
      <c r="J25" s="590"/>
      <c r="K25" s="590"/>
      <c r="L25" s="590"/>
      <c r="M25" s="590"/>
      <c r="N25" s="383"/>
      <c r="O25" s="590"/>
      <c r="P25" s="590">
        <v>2937</v>
      </c>
      <c r="Q25" s="590"/>
      <c r="R25" s="590"/>
      <c r="S25" s="590">
        <f>1456+4599</f>
        <v>6055</v>
      </c>
      <c r="T25" s="590"/>
      <c r="U25" s="590"/>
      <c r="V25" s="590"/>
      <c r="W25" s="590"/>
      <c r="X25" s="590"/>
      <c r="Y25" s="387"/>
    </row>
    <row r="26" spans="1:25" ht="15.75" thickBot="1" x14ac:dyDescent="0.3">
      <c r="A26" s="584">
        <v>1010</v>
      </c>
      <c r="B26" s="607" t="s">
        <v>208</v>
      </c>
      <c r="C26" s="632">
        <v>201586</v>
      </c>
      <c r="D26" s="634">
        <v>44143.18</v>
      </c>
      <c r="E26" s="588">
        <f t="shared" si="0"/>
        <v>245729.18</v>
      </c>
      <c r="F26" s="589">
        <f t="shared" si="1"/>
        <v>0</v>
      </c>
      <c r="G26" s="589">
        <f t="shared" si="2"/>
        <v>245729.18</v>
      </c>
      <c r="H26" s="590"/>
      <c r="I26" s="590"/>
      <c r="J26" s="590"/>
      <c r="K26" s="590"/>
      <c r="L26" s="383"/>
      <c r="M26" s="590"/>
      <c r="N26" s="383"/>
      <c r="O26" s="590"/>
      <c r="P26" s="590"/>
      <c r="Q26" s="590"/>
      <c r="R26" s="590"/>
      <c r="S26" s="590"/>
      <c r="T26" s="590"/>
      <c r="U26" s="590"/>
      <c r="V26" s="590"/>
      <c r="W26" s="590"/>
      <c r="X26" s="387"/>
      <c r="Y26" s="387"/>
    </row>
    <row r="27" spans="1:25" ht="15.75" thickBot="1" x14ac:dyDescent="0.3">
      <c r="A27" s="584">
        <v>1040</v>
      </c>
      <c r="B27" s="607" t="s">
        <v>1035</v>
      </c>
      <c r="C27" s="632">
        <v>31786</v>
      </c>
      <c r="D27" s="634">
        <v>6960.48</v>
      </c>
      <c r="E27" s="588">
        <f t="shared" si="0"/>
        <v>38746.479999999996</v>
      </c>
      <c r="F27" s="589">
        <f t="shared" si="1"/>
        <v>2253.83</v>
      </c>
      <c r="G27" s="589">
        <f t="shared" si="2"/>
        <v>36492.649999999994</v>
      </c>
      <c r="H27" s="590"/>
      <c r="I27" s="590"/>
      <c r="J27" s="590"/>
      <c r="K27" s="590"/>
      <c r="L27" s="590"/>
      <c r="M27" s="590"/>
      <c r="N27" s="383"/>
      <c r="O27" s="590"/>
      <c r="P27" s="590"/>
      <c r="Q27" s="590"/>
      <c r="R27" s="590"/>
      <c r="S27" s="590">
        <v>824.59</v>
      </c>
      <c r="T27" s="590">
        <v>1429.24</v>
      </c>
      <c r="U27" s="590"/>
      <c r="V27" s="590"/>
      <c r="W27" s="590"/>
      <c r="X27" s="590"/>
      <c r="Y27" s="387"/>
    </row>
    <row r="28" spans="1:25" ht="15.75" thickBot="1" x14ac:dyDescent="0.3">
      <c r="A28" s="584">
        <v>1150</v>
      </c>
      <c r="B28" s="607" t="s">
        <v>1036</v>
      </c>
      <c r="C28" s="632">
        <v>11703</v>
      </c>
      <c r="D28" s="634">
        <v>2562.7199999999998</v>
      </c>
      <c r="E28" s="588">
        <f t="shared" si="0"/>
        <v>14265.72</v>
      </c>
      <c r="F28" s="589">
        <f t="shared" si="1"/>
        <v>0</v>
      </c>
      <c r="G28" s="589">
        <f t="shared" si="2"/>
        <v>14265.72</v>
      </c>
      <c r="H28" s="590"/>
      <c r="I28" s="590"/>
      <c r="J28" s="590"/>
      <c r="K28" s="590"/>
      <c r="L28" s="383"/>
      <c r="M28" s="590"/>
      <c r="N28" s="383"/>
      <c r="O28" s="591"/>
      <c r="P28" s="590"/>
      <c r="Q28" s="590"/>
      <c r="R28" s="590"/>
      <c r="T28" s="590"/>
      <c r="U28" s="590"/>
      <c r="V28" s="590"/>
      <c r="W28" s="590"/>
      <c r="X28" s="387"/>
      <c r="Y28" s="387"/>
    </row>
    <row r="29" spans="1:25" ht="15.75" thickBot="1" x14ac:dyDescent="0.3">
      <c r="A29" s="584">
        <v>1350</v>
      </c>
      <c r="B29" s="607" t="s">
        <v>425</v>
      </c>
      <c r="C29" s="632">
        <v>5820</v>
      </c>
      <c r="D29" s="634">
        <v>1274.46</v>
      </c>
      <c r="E29" s="588">
        <f t="shared" si="0"/>
        <v>7094.46</v>
      </c>
      <c r="F29" s="589">
        <f t="shared" si="1"/>
        <v>0</v>
      </c>
      <c r="G29" s="589">
        <f t="shared" si="2"/>
        <v>7094.46</v>
      </c>
      <c r="H29" s="590"/>
      <c r="I29" s="590"/>
      <c r="J29" s="590"/>
      <c r="K29" s="590"/>
      <c r="L29" s="590"/>
      <c r="M29" s="590"/>
      <c r="N29" s="383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387"/>
    </row>
    <row r="30" spans="1:25" ht="15.75" thickBot="1" x14ac:dyDescent="0.3">
      <c r="A30" s="584">
        <v>1420</v>
      </c>
      <c r="B30" s="607" t="s">
        <v>78</v>
      </c>
      <c r="C30" s="632">
        <v>386820</v>
      </c>
      <c r="D30" s="634">
        <v>84705.62</v>
      </c>
      <c r="E30" s="588">
        <f t="shared" si="0"/>
        <v>471525.62</v>
      </c>
      <c r="F30" s="589">
        <f t="shared" si="1"/>
        <v>0</v>
      </c>
      <c r="G30" s="589">
        <f t="shared" si="2"/>
        <v>471525.62</v>
      </c>
      <c r="H30" s="590"/>
      <c r="I30" s="590"/>
      <c r="J30" s="590"/>
      <c r="K30" s="590"/>
      <c r="L30" s="383"/>
      <c r="M30" s="590"/>
      <c r="N30" s="383"/>
      <c r="O30" s="590"/>
      <c r="P30" s="590"/>
      <c r="Q30" s="590"/>
      <c r="R30" s="590"/>
      <c r="S30" s="590"/>
      <c r="T30" s="590"/>
      <c r="U30" s="590"/>
      <c r="V30" s="590"/>
      <c r="W30" s="590"/>
      <c r="X30" s="387"/>
      <c r="Y30" s="387"/>
    </row>
    <row r="31" spans="1:25" ht="15.75" thickBot="1" x14ac:dyDescent="0.3">
      <c r="A31" s="635">
        <v>1510</v>
      </c>
      <c r="B31" s="264" t="s">
        <v>154</v>
      </c>
      <c r="C31" s="632">
        <v>5455</v>
      </c>
      <c r="D31" s="636">
        <v>1194.53</v>
      </c>
      <c r="E31" s="588">
        <f t="shared" si="0"/>
        <v>6649.53</v>
      </c>
      <c r="F31" s="589">
        <f t="shared" si="1"/>
        <v>0</v>
      </c>
      <c r="G31" s="589">
        <f t="shared" si="2"/>
        <v>6649.53</v>
      </c>
      <c r="H31" s="590"/>
      <c r="I31" s="590"/>
      <c r="J31" s="590"/>
      <c r="K31" s="590"/>
      <c r="L31" s="590"/>
      <c r="M31" s="590"/>
      <c r="N31" s="383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387"/>
    </row>
    <row r="32" spans="1:25" ht="15.75" thickBot="1" x14ac:dyDescent="0.3">
      <c r="A32" s="584">
        <v>1550</v>
      </c>
      <c r="B32" s="264" t="s">
        <v>53</v>
      </c>
      <c r="C32" s="632">
        <v>167552</v>
      </c>
      <c r="D32" s="636">
        <v>36690.44</v>
      </c>
      <c r="E32" s="588">
        <f t="shared" si="0"/>
        <v>204242.44</v>
      </c>
      <c r="F32" s="589">
        <f t="shared" si="1"/>
        <v>74157.42</v>
      </c>
      <c r="G32" s="589">
        <f t="shared" si="2"/>
        <v>130085.02</v>
      </c>
      <c r="H32" s="590"/>
      <c r="I32" s="590"/>
      <c r="J32" s="590"/>
      <c r="K32" s="590"/>
      <c r="L32" s="590"/>
      <c r="M32" s="590"/>
      <c r="N32" s="383"/>
      <c r="O32" s="590"/>
      <c r="P32" s="590"/>
      <c r="Q32" s="590">
        <v>37308.03</v>
      </c>
      <c r="R32" s="590"/>
      <c r="S32" s="590">
        <v>36849.39</v>
      </c>
      <c r="T32" s="590"/>
      <c r="U32" s="590"/>
      <c r="V32" s="590"/>
      <c r="W32" s="590"/>
      <c r="X32" s="590"/>
      <c r="Y32" s="387"/>
    </row>
    <row r="33" spans="1:25" ht="15.75" thickBot="1" x14ac:dyDescent="0.3">
      <c r="A33" s="584">
        <v>1560</v>
      </c>
      <c r="B33" s="264" t="s">
        <v>79</v>
      </c>
      <c r="C33" s="632">
        <v>106613</v>
      </c>
      <c r="D33" s="636">
        <v>23346.05</v>
      </c>
      <c r="E33" s="588">
        <f t="shared" si="0"/>
        <v>129959.05</v>
      </c>
      <c r="F33" s="589">
        <f t="shared" si="1"/>
        <v>0</v>
      </c>
      <c r="G33" s="589">
        <f t="shared" si="2"/>
        <v>129959.05</v>
      </c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387"/>
      <c r="Y33" s="387"/>
    </row>
    <row r="34" spans="1:25" ht="15.75" thickBot="1" x14ac:dyDescent="0.3">
      <c r="A34" s="635">
        <v>2000</v>
      </c>
      <c r="B34" s="264" t="s">
        <v>81</v>
      </c>
      <c r="C34" s="632">
        <v>129000</v>
      </c>
      <c r="D34" s="636">
        <v>28248.34</v>
      </c>
      <c r="E34" s="588">
        <f t="shared" si="0"/>
        <v>157248.34</v>
      </c>
      <c r="F34" s="589">
        <f t="shared" si="1"/>
        <v>0</v>
      </c>
      <c r="G34" s="589">
        <f t="shared" si="2"/>
        <v>157248.34</v>
      </c>
      <c r="H34" s="590"/>
      <c r="I34" s="590"/>
      <c r="J34" s="590"/>
      <c r="K34" s="590"/>
      <c r="L34" s="590"/>
      <c r="M34" s="590"/>
      <c r="N34" s="383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387"/>
    </row>
    <row r="35" spans="1:25" ht="15.75" thickBot="1" x14ac:dyDescent="0.3">
      <c r="A35" s="635">
        <v>2180</v>
      </c>
      <c r="B35" s="264" t="s">
        <v>288</v>
      </c>
      <c r="C35" s="632">
        <v>43121</v>
      </c>
      <c r="D35" s="636">
        <v>9442.61</v>
      </c>
      <c r="E35" s="588">
        <f t="shared" si="0"/>
        <v>52563.61</v>
      </c>
      <c r="F35" s="589">
        <f t="shared" si="1"/>
        <v>0</v>
      </c>
      <c r="G35" s="589">
        <f t="shared" si="2"/>
        <v>52563.61</v>
      </c>
      <c r="H35" s="590"/>
      <c r="I35" s="590"/>
      <c r="J35" s="590"/>
      <c r="K35" s="590"/>
      <c r="L35" s="590"/>
      <c r="M35" s="590"/>
      <c r="N35" s="383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387"/>
    </row>
    <row r="36" spans="1:25" ht="15.75" thickBot="1" x14ac:dyDescent="0.3">
      <c r="A36" s="584">
        <v>2690</v>
      </c>
      <c r="B36" s="264" t="s">
        <v>442</v>
      </c>
      <c r="C36" s="632">
        <v>143177</v>
      </c>
      <c r="D36" s="636">
        <v>31352.81</v>
      </c>
      <c r="E36" s="588">
        <f t="shared" si="0"/>
        <v>174529.81</v>
      </c>
      <c r="F36" s="589">
        <f t="shared" si="1"/>
        <v>33770.879999999997</v>
      </c>
      <c r="G36" s="589">
        <f t="shared" si="2"/>
        <v>140758.93</v>
      </c>
      <c r="H36" s="590"/>
      <c r="I36" s="590"/>
      <c r="J36" s="590"/>
      <c r="K36" s="590"/>
      <c r="L36" s="590"/>
      <c r="M36" s="590"/>
      <c r="N36" s="383">
        <v>9227.2900000000009</v>
      </c>
      <c r="O36" s="590"/>
      <c r="P36" s="590">
        <v>9532.85</v>
      </c>
      <c r="Q36" s="590">
        <v>6799.55</v>
      </c>
      <c r="R36" s="590"/>
      <c r="S36" s="590">
        <v>8211.19</v>
      </c>
      <c r="T36" s="590"/>
      <c r="U36" s="590"/>
      <c r="V36" s="590"/>
      <c r="W36" s="590"/>
      <c r="X36" s="590"/>
      <c r="Y36" s="387"/>
    </row>
    <row r="37" spans="1:25" ht="15.75" thickBot="1" x14ac:dyDescent="0.3">
      <c r="A37" s="584">
        <v>2700</v>
      </c>
      <c r="B37" s="264" t="s">
        <v>299</v>
      </c>
      <c r="C37" s="632">
        <v>21000</v>
      </c>
      <c r="D37" s="636">
        <v>4598.57</v>
      </c>
      <c r="E37" s="588">
        <f t="shared" si="0"/>
        <v>25598.57</v>
      </c>
      <c r="F37" s="589">
        <f t="shared" si="1"/>
        <v>18317.099999999999</v>
      </c>
      <c r="G37" s="589">
        <f t="shared" si="2"/>
        <v>7281.4700000000012</v>
      </c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387">
        <v>18317.099999999999</v>
      </c>
      <c r="T37" s="590"/>
      <c r="U37" s="590"/>
      <c r="V37" s="590"/>
      <c r="W37" s="590"/>
      <c r="X37" s="590"/>
      <c r="Y37" s="387"/>
    </row>
    <row r="38" spans="1:25" ht="15.75" thickBot="1" x14ac:dyDescent="0.3">
      <c r="A38" s="635">
        <v>3110</v>
      </c>
      <c r="B38" s="264" t="s">
        <v>421</v>
      </c>
      <c r="C38" s="632">
        <v>5450</v>
      </c>
      <c r="D38" s="636">
        <v>1193.44</v>
      </c>
      <c r="E38" s="588">
        <f t="shared" si="0"/>
        <v>6643.4400000000005</v>
      </c>
      <c r="F38" s="589">
        <f t="shared" si="1"/>
        <v>0</v>
      </c>
      <c r="G38" s="589">
        <f t="shared" si="2"/>
        <v>6643.4400000000005</v>
      </c>
      <c r="H38" s="590"/>
      <c r="I38" s="590"/>
      <c r="J38" s="590"/>
      <c r="K38" s="590"/>
      <c r="L38" s="590"/>
      <c r="M38" s="590"/>
      <c r="N38" s="383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387"/>
    </row>
    <row r="39" spans="1:25" ht="15.75" thickBot="1" x14ac:dyDescent="0.3">
      <c r="A39" s="584">
        <v>3120</v>
      </c>
      <c r="B39" s="264" t="s">
        <v>1037</v>
      </c>
      <c r="C39" s="632">
        <v>119413</v>
      </c>
      <c r="D39" s="636">
        <v>26148.99</v>
      </c>
      <c r="E39" s="588">
        <f t="shared" si="0"/>
        <v>145561.99</v>
      </c>
      <c r="F39" s="589">
        <f t="shared" si="1"/>
        <v>18741.71</v>
      </c>
      <c r="G39" s="589">
        <f t="shared" si="2"/>
        <v>126820.28</v>
      </c>
      <c r="H39" s="590"/>
      <c r="I39" s="590"/>
      <c r="J39" s="590"/>
      <c r="K39" s="590"/>
      <c r="L39" s="383"/>
      <c r="M39" s="590"/>
      <c r="N39" s="383"/>
      <c r="O39" s="590"/>
      <c r="P39" s="590"/>
      <c r="Q39" s="590"/>
      <c r="R39" s="590"/>
      <c r="S39" s="384">
        <v>14072.86</v>
      </c>
      <c r="T39" s="590">
        <v>4668.8500000000004</v>
      </c>
      <c r="U39" s="590"/>
      <c r="V39" s="590"/>
      <c r="W39" s="590"/>
      <c r="X39" s="590"/>
      <c r="Y39" s="387"/>
    </row>
    <row r="40" spans="1:25" ht="15.75" thickBot="1" x14ac:dyDescent="0.3">
      <c r="A40" s="584">
        <v>9025</v>
      </c>
      <c r="B40" s="264" t="s">
        <v>1038</v>
      </c>
      <c r="C40" s="632">
        <v>20749</v>
      </c>
      <c r="D40" s="636">
        <v>4543.6000000000004</v>
      </c>
      <c r="E40" s="588">
        <f t="shared" si="0"/>
        <v>25292.6</v>
      </c>
      <c r="F40" s="589"/>
      <c r="G40" s="589"/>
      <c r="H40" s="590"/>
      <c r="I40" s="590"/>
      <c r="J40" s="590"/>
      <c r="K40" s="590"/>
      <c r="L40" s="383"/>
      <c r="M40" s="590"/>
      <c r="N40" s="383"/>
      <c r="O40" s="590"/>
      <c r="P40" s="590"/>
      <c r="Q40" s="590"/>
      <c r="R40" s="590"/>
      <c r="T40" s="590">
        <v>2221.94</v>
      </c>
      <c r="U40" s="590"/>
      <c r="V40" s="590"/>
      <c r="W40" s="590"/>
      <c r="X40" s="590"/>
      <c r="Y40" s="387"/>
    </row>
    <row r="41" spans="1:25" ht="30.75" thickBot="1" x14ac:dyDescent="0.3">
      <c r="A41" s="584">
        <v>9040</v>
      </c>
      <c r="B41" s="264" t="s">
        <v>1039</v>
      </c>
      <c r="C41" s="632">
        <v>21645</v>
      </c>
      <c r="D41" s="636">
        <v>4739.8100000000004</v>
      </c>
      <c r="E41" s="588">
        <f t="shared" si="0"/>
        <v>26384.81</v>
      </c>
      <c r="F41" s="589">
        <f>SUM(H41:V41)</f>
        <v>5151.5200000000004</v>
      </c>
      <c r="G41" s="589">
        <f>E41-F41</f>
        <v>21233.29</v>
      </c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>
        <v>5151.5200000000004</v>
      </c>
      <c r="U41" s="590"/>
      <c r="V41" s="590"/>
      <c r="W41" s="590"/>
      <c r="X41" s="387"/>
      <c r="Y41" s="387"/>
    </row>
    <row r="42" spans="1:25" ht="15.75" thickBot="1" x14ac:dyDescent="0.3">
      <c r="A42" s="584">
        <v>9055</v>
      </c>
      <c r="B42" s="264" t="s">
        <v>1026</v>
      </c>
      <c r="C42" s="632">
        <v>94249</v>
      </c>
      <c r="D42" s="636">
        <v>20638.59</v>
      </c>
      <c r="E42" s="588">
        <f t="shared" si="0"/>
        <v>114887.59</v>
      </c>
      <c r="F42" s="589">
        <f>SUM(H42:V42)</f>
        <v>264.63</v>
      </c>
      <c r="G42" s="589">
        <f>E42-F42</f>
        <v>114622.95999999999</v>
      </c>
      <c r="H42" s="590"/>
      <c r="I42" s="590"/>
      <c r="J42" s="590"/>
      <c r="K42" s="590"/>
      <c r="L42" s="590"/>
      <c r="M42" s="590"/>
      <c r="N42" s="383"/>
      <c r="O42" s="590"/>
      <c r="P42" s="590"/>
      <c r="Q42" s="590"/>
      <c r="R42" s="590"/>
      <c r="S42" s="590"/>
      <c r="T42" s="590">
        <v>264.63</v>
      </c>
      <c r="U42" s="590"/>
      <c r="V42" s="590"/>
      <c r="W42" s="590"/>
      <c r="X42" s="590"/>
      <c r="Y42" s="387"/>
    </row>
    <row r="43" spans="1:25" ht="15.75" thickBot="1" x14ac:dyDescent="0.3">
      <c r="A43" s="584"/>
      <c r="B43" s="264"/>
      <c r="C43" s="637"/>
      <c r="D43" s="636"/>
      <c r="E43" s="588"/>
      <c r="F43" s="589"/>
      <c r="G43" s="589"/>
      <c r="H43" s="590"/>
      <c r="I43" s="590"/>
      <c r="J43" s="590"/>
      <c r="K43" s="590"/>
      <c r="L43" s="590"/>
      <c r="M43" s="590"/>
      <c r="N43" s="383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387"/>
    </row>
    <row r="44" spans="1:25" ht="15.75" thickBot="1" x14ac:dyDescent="0.3">
      <c r="A44" s="584"/>
      <c r="B44" s="264"/>
      <c r="C44" s="638"/>
      <c r="D44" s="639"/>
      <c r="E44" s="588">
        <f>SUM(C44+D44)</f>
        <v>0</v>
      </c>
      <c r="F44" s="589">
        <f>SUM(H44:V44)</f>
        <v>0</v>
      </c>
      <c r="G44" s="589">
        <f>E44-F44</f>
        <v>0</v>
      </c>
      <c r="H44" s="582"/>
      <c r="I44" s="582"/>
      <c r="J44" s="582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387"/>
      <c r="Y44" s="387"/>
    </row>
    <row r="45" spans="1:25" ht="15.75" thickBot="1" x14ac:dyDescent="0.3">
      <c r="A45" s="640"/>
      <c r="B45" s="641"/>
      <c r="C45" s="642"/>
      <c r="D45" s="643"/>
      <c r="E45" s="643"/>
      <c r="F45" s="644"/>
      <c r="G45" s="644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387"/>
    </row>
    <row r="46" spans="1:25" s="649" customFormat="1" ht="15.75" thickBot="1" x14ac:dyDescent="0.3">
      <c r="A46" s="91" t="s">
        <v>44</v>
      </c>
      <c r="B46" s="646"/>
      <c r="C46" s="647">
        <f t="shared" ref="C46:U46" si="3">SUM(C9:C45)</f>
        <v>3596673</v>
      </c>
      <c r="D46" s="647">
        <f t="shared" si="3"/>
        <v>772515.97999999986</v>
      </c>
      <c r="E46" s="647">
        <f t="shared" si="3"/>
        <v>4369188.9799999986</v>
      </c>
      <c r="F46" s="647">
        <f t="shared" si="3"/>
        <v>305003.88</v>
      </c>
      <c r="G46" s="647">
        <f t="shared" si="3"/>
        <v>4038892.5000000005</v>
      </c>
      <c r="H46" s="647">
        <f t="shared" si="3"/>
        <v>0</v>
      </c>
      <c r="I46" s="647">
        <f t="shared" si="3"/>
        <v>0</v>
      </c>
      <c r="J46" s="647">
        <f t="shared" si="3"/>
        <v>0</v>
      </c>
      <c r="K46" s="647">
        <f t="shared" si="3"/>
        <v>0</v>
      </c>
      <c r="L46" s="647">
        <f t="shared" si="3"/>
        <v>0</v>
      </c>
      <c r="M46" s="647">
        <f t="shared" si="3"/>
        <v>0</v>
      </c>
      <c r="N46" s="647">
        <f t="shared" si="3"/>
        <v>9227.2900000000009</v>
      </c>
      <c r="O46" s="647">
        <f t="shared" si="3"/>
        <v>43995.39</v>
      </c>
      <c r="P46" s="647">
        <f t="shared" si="3"/>
        <v>23272.02</v>
      </c>
      <c r="Q46" s="647">
        <f t="shared" si="3"/>
        <v>73767.150000000009</v>
      </c>
      <c r="R46" s="647">
        <f t="shared" si="3"/>
        <v>0</v>
      </c>
      <c r="S46" s="647">
        <f t="shared" si="3"/>
        <v>121737.18000000001</v>
      </c>
      <c r="T46" s="647">
        <f t="shared" si="3"/>
        <v>13736.18</v>
      </c>
      <c r="U46" s="647">
        <f t="shared" si="3"/>
        <v>21490.61</v>
      </c>
      <c r="V46" s="647"/>
      <c r="W46" s="647"/>
      <c r="X46" s="647"/>
      <c r="Y46" s="648"/>
    </row>
    <row r="47" spans="1:25" x14ac:dyDescent="0.25">
      <c r="A47" s="8"/>
      <c r="B47" s="1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</row>
    <row r="48" spans="1:25" x14ac:dyDescent="0.25">
      <c r="A48" s="8"/>
      <c r="B48" s="1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</row>
    <row r="49" spans="1:25" x14ac:dyDescent="0.25">
      <c r="A49" s="8"/>
      <c r="B49" s="1" t="s">
        <v>1040</v>
      </c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</row>
    <row r="50" spans="1:25" x14ac:dyDescent="0.25"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</row>
    <row r="51" spans="1:25" x14ac:dyDescent="0.25"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</row>
    <row r="52" spans="1:25" x14ac:dyDescent="0.25">
      <c r="C52" s="447"/>
      <c r="D52" s="447"/>
      <c r="E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650"/>
    </row>
    <row r="53" spans="1:25" x14ac:dyDescent="0.25">
      <c r="C53" s="447"/>
      <c r="D53" s="447"/>
      <c r="E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</row>
    <row r="54" spans="1:25" x14ac:dyDescent="0.25">
      <c r="C54" s="447"/>
      <c r="D54" s="447"/>
      <c r="E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</row>
    <row r="55" spans="1:25" x14ac:dyDescent="0.25">
      <c r="C55" s="447"/>
      <c r="D55" s="447"/>
      <c r="E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</row>
    <row r="56" spans="1:25" x14ac:dyDescent="0.25">
      <c r="C56" s="447"/>
      <c r="D56" s="447"/>
      <c r="E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</row>
    <row r="57" spans="1:25" x14ac:dyDescent="0.25">
      <c r="C57" s="447"/>
      <c r="D57" s="447"/>
      <c r="E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</row>
    <row r="58" spans="1:25" x14ac:dyDescent="0.25">
      <c r="C58" s="447"/>
      <c r="D58" s="447"/>
      <c r="E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</row>
    <row r="59" spans="1:25" x14ac:dyDescent="0.25">
      <c r="C59" s="447"/>
      <c r="D59" s="447"/>
      <c r="E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</row>
    <row r="60" spans="1:25" x14ac:dyDescent="0.25">
      <c r="C60" s="447"/>
      <c r="D60" s="447"/>
      <c r="E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</row>
    <row r="61" spans="1:25" x14ac:dyDescent="0.25">
      <c r="C61" s="447"/>
      <c r="D61" s="447"/>
      <c r="E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</row>
    <row r="62" spans="1:25" x14ac:dyDescent="0.25">
      <c r="C62" s="447"/>
      <c r="D62" s="447"/>
      <c r="E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</row>
    <row r="63" spans="1:25" x14ac:dyDescent="0.25">
      <c r="C63" s="447"/>
      <c r="D63" s="447"/>
      <c r="E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</row>
    <row r="64" spans="1:25" x14ac:dyDescent="0.25">
      <c r="C64" s="447"/>
      <c r="D64" s="447"/>
      <c r="E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</row>
    <row r="65" spans="3:24" x14ac:dyDescent="0.25">
      <c r="C65" s="447"/>
      <c r="D65" s="447"/>
      <c r="E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</row>
    <row r="66" spans="3:24" x14ac:dyDescent="0.25">
      <c r="C66" s="447"/>
      <c r="D66" s="447"/>
      <c r="E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</row>
    <row r="67" spans="3:24" x14ac:dyDescent="0.25">
      <c r="C67" s="447"/>
      <c r="D67" s="447"/>
      <c r="E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</row>
    <row r="68" spans="3:24" x14ac:dyDescent="0.25">
      <c r="C68" s="447"/>
      <c r="D68" s="447"/>
      <c r="E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</row>
    <row r="69" spans="3:24" x14ac:dyDescent="0.25"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</row>
    <row r="70" spans="3:24" x14ac:dyDescent="0.25"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</row>
    <row r="71" spans="3:24" x14ac:dyDescent="0.25"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</row>
    <row r="72" spans="3:24" x14ac:dyDescent="0.25"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</row>
    <row r="73" spans="3:24" x14ac:dyDescent="0.25"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</row>
    <row r="74" spans="3:24" x14ac:dyDescent="0.25"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</row>
    <row r="75" spans="3:24" x14ac:dyDescent="0.25"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</row>
    <row r="76" spans="3:24" x14ac:dyDescent="0.25"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</row>
    <row r="77" spans="3:24" x14ac:dyDescent="0.25"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</row>
    <row r="78" spans="3:24" x14ac:dyDescent="0.25"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</row>
    <row r="79" spans="3:24" x14ac:dyDescent="0.25"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</row>
    <row r="80" spans="3:24" x14ac:dyDescent="0.25"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</row>
    <row r="81" spans="8:23" x14ac:dyDescent="0.25"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</row>
    <row r="82" spans="8:23" x14ac:dyDescent="0.25"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</row>
    <row r="83" spans="8:23" x14ac:dyDescent="0.25"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</row>
    <row r="84" spans="8:23" x14ac:dyDescent="0.25"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</row>
    <row r="85" spans="8:23" x14ac:dyDescent="0.25"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</row>
    <row r="86" spans="8:23" x14ac:dyDescent="0.25"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</row>
  </sheetData>
  <sheetProtection algorithmName="SHA-512" hashValue="ptumpPy+++1iB805zMyo5YwH1QYgxEOyL91uAuQbxJRivLP8gjUcoG1oEOpblCWra162HgMIDnhZcXuOAhm+2A==" saltValue="QxYM8wXYsA0l3RM3qzCOMg==" spinCount="100000" sheet="1" objects="1" scenarios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20C9-DBBD-4EAE-92A8-7A5AD5BE9A9D}">
  <sheetPr codeName="Sheet9">
    <tabColor theme="2"/>
  </sheetPr>
  <dimension ref="A1:U14"/>
  <sheetViews>
    <sheetView zoomScale="78" zoomScaleNormal="78" workbookViewId="0">
      <selection activeCell="B5" sqref="B5"/>
    </sheetView>
  </sheetViews>
  <sheetFormatPr defaultRowHeight="15" x14ac:dyDescent="0.25"/>
  <cols>
    <col min="2" max="2" width="43" customWidth="1"/>
    <col min="3" max="3" width="20.5703125" customWidth="1"/>
    <col min="4" max="4" width="13.42578125" customWidth="1"/>
    <col min="5" max="5" width="11.5703125" bestFit="1" customWidth="1"/>
    <col min="6" max="6" width="13.42578125" customWidth="1"/>
    <col min="7" max="7" width="10.85546875" customWidth="1"/>
    <col min="8" max="8" width="12" customWidth="1"/>
    <col min="9" max="9" width="14.42578125" customWidth="1"/>
    <col min="10" max="10" width="10.85546875" customWidth="1"/>
    <col min="11" max="11" width="9.85546875" customWidth="1"/>
    <col min="15" max="15" width="10.42578125" bestFit="1" customWidth="1"/>
  </cols>
  <sheetData>
    <row r="1" spans="1:21" ht="21" x14ac:dyDescent="0.35">
      <c r="A1" s="28" t="s">
        <v>0</v>
      </c>
      <c r="B1" s="41"/>
      <c r="C1" s="37" t="s">
        <v>555</v>
      </c>
      <c r="D1" s="28"/>
      <c r="E1" s="38"/>
      <c r="F1" s="37" t="str">
        <f>C1</f>
        <v>Project Aware</v>
      </c>
      <c r="G1" s="41"/>
      <c r="H1" s="37"/>
      <c r="I1" s="41"/>
      <c r="J1" s="37" t="str">
        <f>$C$1</f>
        <v>Project Aware</v>
      </c>
      <c r="K1" s="41"/>
      <c r="L1" s="37"/>
      <c r="M1" s="41"/>
      <c r="N1" s="41"/>
      <c r="O1" s="41"/>
      <c r="P1" s="37" t="str">
        <f>$C$1</f>
        <v>Project Aware</v>
      </c>
      <c r="Q1" s="41"/>
      <c r="R1" s="37"/>
      <c r="S1" s="41"/>
      <c r="T1" s="28"/>
    </row>
    <row r="2" spans="1:21" ht="21" x14ac:dyDescent="0.35">
      <c r="A2" s="28" t="s">
        <v>137</v>
      </c>
      <c r="B2" s="38"/>
      <c r="C2" s="37" t="s">
        <v>556</v>
      </c>
      <c r="D2" s="38"/>
      <c r="E2" s="38"/>
      <c r="F2" s="54" t="s">
        <v>806</v>
      </c>
      <c r="G2" s="41"/>
      <c r="H2" s="44"/>
      <c r="I2" s="41"/>
      <c r="J2" s="39" t="str">
        <f>"FY"&amp;$C$4</f>
        <v>FYOctober 1, 2021 - September 30, 2022</v>
      </c>
      <c r="K2" s="41"/>
      <c r="L2" s="39"/>
      <c r="M2" s="41"/>
      <c r="N2" s="41"/>
      <c r="O2" s="41"/>
      <c r="P2" s="39" t="str">
        <f>"FY"&amp;$C$4</f>
        <v>FYOctober 1, 2021 - September 30, 2022</v>
      </c>
      <c r="Q2" s="41"/>
      <c r="R2" s="39"/>
      <c r="S2" s="41"/>
      <c r="T2" s="28"/>
    </row>
    <row r="3" spans="1:21" ht="15.75" x14ac:dyDescent="0.25">
      <c r="A3" s="29" t="s">
        <v>1</v>
      </c>
      <c r="B3" s="41"/>
      <c r="C3" s="39">
        <v>7243</v>
      </c>
      <c r="D3" s="29"/>
      <c r="E3" s="1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</row>
    <row r="4" spans="1:21" ht="15.75" x14ac:dyDescent="0.25">
      <c r="A4" s="29" t="s">
        <v>557</v>
      </c>
      <c r="B4" s="41"/>
      <c r="C4" s="54" t="s">
        <v>806</v>
      </c>
      <c r="D4" s="18"/>
      <c r="E4" s="18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1" ht="15.75" x14ac:dyDescent="0.25">
      <c r="A5" s="29" t="s">
        <v>374</v>
      </c>
      <c r="B5" s="41"/>
      <c r="C5" s="292" t="s">
        <v>572</v>
      </c>
      <c r="D5" s="18"/>
      <c r="E5" s="18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/>
    </row>
    <row r="6" spans="1:21" ht="15.75" x14ac:dyDescent="0.25">
      <c r="A6" s="29"/>
      <c r="B6" s="41"/>
      <c r="C6" s="54"/>
      <c r="D6" s="18"/>
      <c r="E6" s="18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0"/>
    </row>
    <row r="7" spans="1:21" ht="15.75" thickBot="1" x14ac:dyDescent="0.3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0"/>
    </row>
    <row r="8" spans="1:21" ht="45.75" thickBot="1" x14ac:dyDescent="0.3">
      <c r="A8" s="11" t="s">
        <v>130</v>
      </c>
      <c r="B8" s="12" t="s">
        <v>124</v>
      </c>
      <c r="C8" s="33" t="s">
        <v>14</v>
      </c>
      <c r="D8" s="12" t="s">
        <v>15</v>
      </c>
      <c r="E8" s="22" t="s">
        <v>16</v>
      </c>
      <c r="F8" s="23" t="s">
        <v>410</v>
      </c>
      <c r="G8" s="24" t="s">
        <v>411</v>
      </c>
      <c r="H8" s="23" t="s">
        <v>412</v>
      </c>
      <c r="I8" s="24" t="s">
        <v>416</v>
      </c>
      <c r="J8" s="24" t="s">
        <v>606</v>
      </c>
      <c r="K8" s="24" t="s">
        <v>607</v>
      </c>
      <c r="L8" s="24" t="s">
        <v>608</v>
      </c>
      <c r="M8" s="24" t="s">
        <v>609</v>
      </c>
      <c r="N8" s="24" t="s">
        <v>610</v>
      </c>
      <c r="O8" s="24" t="s">
        <v>611</v>
      </c>
      <c r="P8" s="23" t="s">
        <v>612</v>
      </c>
      <c r="Q8" s="24" t="s">
        <v>613</v>
      </c>
      <c r="R8" s="24" t="s">
        <v>614</v>
      </c>
      <c r="S8" s="12" t="s">
        <v>144</v>
      </c>
      <c r="T8" s="12" t="s">
        <v>145</v>
      </c>
    </row>
    <row r="9" spans="1:21" ht="15.75" thickBot="1" x14ac:dyDescent="0.3">
      <c r="A9" s="113">
        <v>140</v>
      </c>
      <c r="B9" s="359" t="s">
        <v>554</v>
      </c>
      <c r="C9" s="355">
        <v>390000</v>
      </c>
      <c r="D9" s="190">
        <f>SUM(F9:R9)</f>
        <v>98331.299999999799</v>
      </c>
      <c r="E9" s="190">
        <f>C9-D9</f>
        <v>291668.70000000019</v>
      </c>
      <c r="F9" s="176"/>
      <c r="G9" s="176"/>
      <c r="H9" s="362">
        <v>28810.12</v>
      </c>
      <c r="I9" s="176"/>
      <c r="J9" s="176">
        <v>46074.55</v>
      </c>
      <c r="K9" s="271">
        <v>23446.629999999801</v>
      </c>
      <c r="L9" s="176"/>
      <c r="M9" s="176"/>
      <c r="N9" s="176"/>
      <c r="O9" s="176"/>
      <c r="P9" s="176"/>
      <c r="Q9" s="176"/>
      <c r="R9" s="176"/>
      <c r="S9" s="176"/>
      <c r="T9" s="6"/>
      <c r="U9" s="6"/>
    </row>
    <row r="10" spans="1:21" ht="15.75" thickBot="1" x14ac:dyDescent="0.3">
      <c r="A10" s="113">
        <v>220</v>
      </c>
      <c r="B10" s="360" t="s">
        <v>558</v>
      </c>
      <c r="C10" s="355">
        <v>195000</v>
      </c>
      <c r="D10" s="190">
        <f t="shared" ref="D10:D12" si="0">SUM(F10:R10)</f>
        <v>29803.800000000003</v>
      </c>
      <c r="E10" s="190">
        <f t="shared" ref="E10:E12" si="1">C10-D10</f>
        <v>165196.20000000001</v>
      </c>
      <c r="F10" s="176"/>
      <c r="G10" s="176"/>
      <c r="H10" s="362">
        <v>10547.44</v>
      </c>
      <c r="I10" s="176">
        <v>19256.36</v>
      </c>
      <c r="J10" s="176"/>
      <c r="K10" s="176"/>
      <c r="L10" s="176"/>
      <c r="M10" s="176"/>
      <c r="N10" s="176"/>
      <c r="P10" s="176"/>
      <c r="Q10" s="176"/>
      <c r="R10" s="176"/>
      <c r="S10" s="176"/>
      <c r="T10" s="6"/>
      <c r="U10" s="6"/>
    </row>
    <row r="11" spans="1:21" ht="15.75" thickBot="1" x14ac:dyDescent="0.3">
      <c r="A11" s="113">
        <v>1040</v>
      </c>
      <c r="B11" s="360" t="s">
        <v>559</v>
      </c>
      <c r="C11" s="355">
        <v>390000</v>
      </c>
      <c r="D11" s="190">
        <f t="shared" si="0"/>
        <v>79328.600000000006</v>
      </c>
      <c r="E11" s="190">
        <f t="shared" si="1"/>
        <v>310671.40000000002</v>
      </c>
      <c r="F11" s="176"/>
      <c r="G11" s="176">
        <v>18523.990000000002</v>
      </c>
      <c r="H11" s="362">
        <v>16417.759999999998</v>
      </c>
      <c r="I11" s="176">
        <v>18595.080000000002</v>
      </c>
      <c r="J11" s="362">
        <v>14754.34</v>
      </c>
      <c r="K11" s="176">
        <v>11037.43</v>
      </c>
      <c r="L11" s="176"/>
      <c r="M11" s="176"/>
      <c r="N11" s="176"/>
      <c r="O11" s="176"/>
      <c r="P11" s="176"/>
      <c r="Q11" s="176"/>
      <c r="R11" s="176"/>
      <c r="S11" s="176"/>
      <c r="T11" s="6"/>
      <c r="U11" s="6"/>
    </row>
    <row r="12" spans="1:21" ht="15.75" thickBot="1" x14ac:dyDescent="0.3">
      <c r="A12" s="113">
        <v>1540</v>
      </c>
      <c r="B12" s="360" t="s">
        <v>560</v>
      </c>
      <c r="C12" s="355">
        <v>195000</v>
      </c>
      <c r="D12" s="190">
        <f t="shared" si="0"/>
        <v>37411.08</v>
      </c>
      <c r="E12" s="190">
        <f t="shared" si="1"/>
        <v>157588.91999999998</v>
      </c>
      <c r="F12" s="176"/>
      <c r="G12" s="176"/>
      <c r="H12" s="176"/>
      <c r="I12" s="176"/>
      <c r="J12" s="362">
        <v>37411.08</v>
      </c>
      <c r="K12" s="176"/>
      <c r="L12" s="176"/>
      <c r="M12" s="176"/>
      <c r="N12" s="176"/>
      <c r="O12" s="176"/>
      <c r="P12" s="176"/>
      <c r="Q12" s="176"/>
      <c r="R12" s="176"/>
      <c r="S12" s="176"/>
      <c r="T12" s="6"/>
      <c r="U12" s="6"/>
    </row>
    <row r="13" spans="1:21" ht="15.75" thickBot="1" x14ac:dyDescent="0.3">
      <c r="A13" s="138"/>
      <c r="B13" s="139"/>
      <c r="C13" s="361"/>
      <c r="D13" s="194"/>
      <c r="E13" s="194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6"/>
    </row>
    <row r="14" spans="1:21" s="14" customFormat="1" ht="15.75" thickBot="1" x14ac:dyDescent="0.3">
      <c r="A14" s="91" t="s">
        <v>44</v>
      </c>
      <c r="B14" s="19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85"/>
    </row>
  </sheetData>
  <sheetProtection algorithmName="SHA-512" hashValue="Wn2iritTXp0IY7KyTYAIIl5dVCKZMqPdOxV7mP6a1RCMunW8Sa0K6ToldlcoNCQK3OYtQb59aQy3pYHGK8p/7g==" saltValue="qH6gEx1dxacFjbO6JeaZkQ==" spinCount="100000" sheet="1" objects="1" scenarios="1"/>
  <hyperlinks>
    <hyperlink ref="C5" r:id="rId1" xr:uid="{FAB4CC4C-100E-4995-96BF-D6040C4C5C1B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2">
    <tabColor theme="2"/>
  </sheetPr>
  <dimension ref="A1:AJ52"/>
  <sheetViews>
    <sheetView workbookViewId="0">
      <pane xSplit="7" ySplit="9" topLeftCell="M10" activePane="bottomRight" state="frozen"/>
      <selection activeCell="A8" sqref="A8:XFD8"/>
      <selection pane="topRight" activeCell="A8" sqref="A8:XFD8"/>
      <selection pane="bottomLeft" activeCell="A8" sqref="A8:XFD8"/>
      <selection pane="bottomRight" activeCell="V20" sqref="V20"/>
    </sheetView>
  </sheetViews>
  <sheetFormatPr defaultColWidth="9.42578125" defaultRowHeight="15" x14ac:dyDescent="0.25"/>
  <cols>
    <col min="2" max="2" width="36.5703125" customWidth="1"/>
    <col min="3" max="3" width="14.42578125" customWidth="1"/>
    <col min="4" max="4" width="10.5703125" customWidth="1"/>
    <col min="5" max="6" width="14.42578125" customWidth="1"/>
    <col min="7" max="7" width="17.5703125" customWidth="1"/>
    <col min="8" max="8" width="12.42578125" customWidth="1"/>
    <col min="9" max="9" width="12.5703125" customWidth="1"/>
    <col min="10" max="10" width="12" customWidth="1"/>
    <col min="11" max="11" width="11.5703125" customWidth="1"/>
    <col min="12" max="12" width="12.42578125" customWidth="1"/>
    <col min="13" max="13" width="12.5703125" customWidth="1"/>
    <col min="14" max="14" width="12.42578125" customWidth="1"/>
    <col min="15" max="15" width="13.42578125" customWidth="1"/>
    <col min="16" max="16" width="12.42578125" customWidth="1"/>
    <col min="17" max="17" width="13.5703125" customWidth="1"/>
    <col min="18" max="18" width="12.5703125" customWidth="1"/>
    <col min="19" max="19" width="13.42578125" customWidth="1"/>
    <col min="20" max="20" width="13" customWidth="1"/>
    <col min="21" max="22" width="15.5703125" customWidth="1"/>
    <col min="23" max="23" width="12.5703125" bestFit="1" customWidth="1"/>
    <col min="24" max="24" width="15" bestFit="1" customWidth="1"/>
    <col min="25" max="25" width="14.5703125" bestFit="1" customWidth="1"/>
    <col min="26" max="26" width="12.42578125" bestFit="1" customWidth="1"/>
    <col min="27" max="27" width="13.42578125" bestFit="1" customWidth="1"/>
    <col min="28" max="28" width="11" bestFit="1" customWidth="1"/>
    <col min="29" max="29" width="9.5703125" bestFit="1" customWidth="1"/>
    <col min="30" max="30" width="9.42578125" bestFit="1" customWidth="1"/>
    <col min="31" max="31" width="9.5703125" bestFit="1" customWidth="1"/>
    <col min="32" max="32" width="8.5703125" bestFit="1" customWidth="1"/>
    <col min="33" max="33" width="11.5703125" bestFit="1" customWidth="1"/>
    <col min="34" max="34" width="15.42578125" bestFit="1" customWidth="1"/>
    <col min="35" max="36" width="21.42578125" customWidth="1"/>
  </cols>
  <sheetData>
    <row r="1" spans="1:36" ht="21" x14ac:dyDescent="0.35">
      <c r="A1" s="28" t="s">
        <v>0</v>
      </c>
      <c r="B1" s="41"/>
      <c r="C1" s="37" t="s">
        <v>134</v>
      </c>
      <c r="D1" s="37"/>
      <c r="E1" s="37"/>
      <c r="F1" s="28"/>
      <c r="G1" s="38"/>
      <c r="H1" s="42"/>
      <c r="I1" s="42"/>
      <c r="J1" s="37"/>
      <c r="K1" s="37"/>
      <c r="L1" s="28"/>
      <c r="M1" s="28"/>
      <c r="N1" s="37" t="str">
        <f>$C$1</f>
        <v>Title I-C Migrant</v>
      </c>
      <c r="O1" s="38"/>
      <c r="P1" s="42"/>
      <c r="Q1" s="37"/>
      <c r="R1" s="37"/>
      <c r="S1" s="37"/>
      <c r="T1" s="37" t="str">
        <f>$C$1</f>
        <v>Title I-C Migrant</v>
      </c>
      <c r="U1" s="28"/>
      <c r="V1" s="38"/>
      <c r="W1" s="38"/>
      <c r="X1" s="37"/>
      <c r="Y1" s="38"/>
      <c r="Z1" s="38"/>
      <c r="AA1" s="37" t="str">
        <f>$C$1</f>
        <v>Title I-C Migrant</v>
      </c>
      <c r="AB1" s="38"/>
      <c r="AC1" s="38"/>
      <c r="AD1" s="38"/>
      <c r="AE1" s="37"/>
      <c r="AF1" s="38"/>
      <c r="AG1" s="38"/>
      <c r="AH1" s="38"/>
      <c r="AI1" s="28"/>
      <c r="AJ1" s="28"/>
    </row>
    <row r="2" spans="1:36" ht="21" x14ac:dyDescent="0.35">
      <c r="A2" s="28" t="s">
        <v>137</v>
      </c>
      <c r="B2" s="38"/>
      <c r="C2" s="28" t="s">
        <v>142</v>
      </c>
      <c r="D2" s="28"/>
      <c r="E2" s="28"/>
      <c r="F2" s="29"/>
      <c r="G2" s="18"/>
      <c r="H2" s="42"/>
      <c r="I2" s="42"/>
      <c r="J2" s="29"/>
      <c r="K2" s="37"/>
      <c r="L2" s="37" t="s">
        <v>32</v>
      </c>
      <c r="M2" s="39"/>
      <c r="N2" s="29" t="str">
        <f>"FY"&amp;$C$4</f>
        <v>FY2021-22</v>
      </c>
      <c r="O2" s="18"/>
      <c r="P2" s="18"/>
      <c r="Q2" s="29"/>
      <c r="R2" s="29"/>
      <c r="S2" s="37"/>
      <c r="T2" s="29" t="str">
        <f>"FY"&amp;$C$4</f>
        <v>FY2021-22</v>
      </c>
      <c r="U2" s="39"/>
      <c r="V2" s="18"/>
      <c r="W2" s="38"/>
      <c r="X2" s="29"/>
      <c r="Y2" s="38"/>
      <c r="Z2" s="38"/>
      <c r="AA2" s="29" t="str">
        <f>"FY"&amp;$C$4</f>
        <v>FY2021-22</v>
      </c>
      <c r="AB2" s="38"/>
      <c r="AC2" s="38"/>
      <c r="AD2" s="38"/>
      <c r="AE2" s="29"/>
      <c r="AF2" s="38"/>
      <c r="AG2" s="38"/>
      <c r="AH2" s="38"/>
      <c r="AI2" s="28"/>
      <c r="AJ2" s="28"/>
    </row>
    <row r="3" spans="1:36" ht="16.350000000000001" customHeight="1" x14ac:dyDescent="0.35">
      <c r="A3" s="29" t="s">
        <v>1</v>
      </c>
      <c r="B3" s="41"/>
      <c r="C3" s="39">
        <v>4011</v>
      </c>
      <c r="D3" s="39"/>
      <c r="E3" s="39"/>
      <c r="F3" s="29"/>
      <c r="G3" s="1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42"/>
      <c r="AJ3" s="42"/>
    </row>
    <row r="4" spans="1:36" ht="16.350000000000001" customHeight="1" x14ac:dyDescent="0.35">
      <c r="A4" s="29" t="s">
        <v>2</v>
      </c>
      <c r="B4" s="41"/>
      <c r="C4" s="39" t="s">
        <v>618</v>
      </c>
      <c r="D4" s="39"/>
      <c r="E4" s="39"/>
      <c r="F4" s="18"/>
      <c r="G4" s="1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42"/>
      <c r="AJ4" s="42"/>
    </row>
    <row r="5" spans="1:36" ht="16.350000000000001" customHeight="1" x14ac:dyDescent="0.35">
      <c r="A5" s="29" t="s">
        <v>430</v>
      </c>
      <c r="B5" s="41"/>
      <c r="C5" s="39" t="s">
        <v>864</v>
      </c>
      <c r="D5" s="39"/>
      <c r="E5" s="39"/>
      <c r="F5" s="18"/>
      <c r="G5" s="1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42"/>
      <c r="AJ5" s="42"/>
    </row>
    <row r="6" spans="1:36" ht="16.350000000000001" customHeight="1" x14ac:dyDescent="0.35">
      <c r="A6" s="29" t="s">
        <v>133</v>
      </c>
      <c r="B6" s="41"/>
      <c r="C6" s="51" t="s">
        <v>315</v>
      </c>
      <c r="D6" s="101"/>
      <c r="E6" s="101"/>
      <c r="F6" s="29"/>
      <c r="G6" s="9"/>
      <c r="H6" s="9"/>
      <c r="I6" s="9"/>
      <c r="J6" s="9"/>
      <c r="K6" s="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40"/>
      <c r="AJ6" s="40"/>
    </row>
    <row r="7" spans="1:36" ht="16.350000000000001" customHeight="1" x14ac:dyDescent="0.35">
      <c r="A7" s="29" t="s">
        <v>18</v>
      </c>
      <c r="B7" s="41"/>
      <c r="C7" s="54" t="s">
        <v>332</v>
      </c>
      <c r="D7" s="29"/>
      <c r="E7" s="29"/>
      <c r="F7" s="29"/>
      <c r="G7" s="9"/>
      <c r="H7" s="9"/>
      <c r="I7" s="9"/>
      <c r="J7" s="9"/>
      <c r="K7" s="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0"/>
      <c r="AJ7" s="40"/>
    </row>
    <row r="8" spans="1:36" ht="16.350000000000001" customHeight="1" thickBot="1" x14ac:dyDescent="0.4">
      <c r="A8" s="29"/>
      <c r="B8" s="41"/>
      <c r="C8" s="29"/>
      <c r="D8" s="29"/>
      <c r="E8" s="29"/>
      <c r="F8" s="29"/>
      <c r="G8" s="9"/>
      <c r="H8" s="9"/>
      <c r="I8" s="9"/>
      <c r="J8" s="9"/>
      <c r="K8" s="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0"/>
      <c r="AJ8" s="40"/>
    </row>
    <row r="9" spans="1:36" s="100" customFormat="1" ht="30.75" thickBot="1" x14ac:dyDescent="0.3">
      <c r="A9" s="43" t="s">
        <v>130</v>
      </c>
      <c r="B9" s="43" t="s">
        <v>42</v>
      </c>
      <c r="C9" s="43" t="s">
        <v>14</v>
      </c>
      <c r="D9" s="43"/>
      <c r="E9" s="43" t="s">
        <v>132</v>
      </c>
      <c r="F9" s="43" t="s">
        <v>15</v>
      </c>
      <c r="G9" s="22" t="s">
        <v>16</v>
      </c>
      <c r="H9" s="23" t="s">
        <v>408</v>
      </c>
      <c r="I9" s="24" t="s">
        <v>409</v>
      </c>
      <c r="J9" s="23" t="s">
        <v>410</v>
      </c>
      <c r="K9" s="24" t="s">
        <v>411</v>
      </c>
      <c r="L9" s="23" t="s">
        <v>412</v>
      </c>
      <c r="M9" s="24" t="s">
        <v>416</v>
      </c>
      <c r="N9" s="24" t="s">
        <v>606</v>
      </c>
      <c r="O9" s="24" t="s">
        <v>607</v>
      </c>
      <c r="P9" s="24" t="s">
        <v>608</v>
      </c>
      <c r="Q9" s="24" t="s">
        <v>609</v>
      </c>
      <c r="R9" s="24" t="s">
        <v>610</v>
      </c>
      <c r="S9" s="24" t="s">
        <v>865</v>
      </c>
      <c r="T9" s="23" t="s">
        <v>612</v>
      </c>
      <c r="U9" s="24" t="s">
        <v>613</v>
      </c>
      <c r="V9" s="24" t="s">
        <v>614</v>
      </c>
      <c r="W9" s="24" t="s">
        <v>619</v>
      </c>
      <c r="X9" s="23" t="s">
        <v>620</v>
      </c>
      <c r="Y9" s="23" t="s">
        <v>866</v>
      </c>
      <c r="Z9" s="12"/>
      <c r="AA9" s="24"/>
      <c r="AB9" s="24"/>
      <c r="AC9" s="24"/>
      <c r="AD9" s="24"/>
      <c r="AE9" s="24"/>
      <c r="AF9" s="23"/>
      <c r="AG9" s="24"/>
      <c r="AH9" s="24"/>
      <c r="AI9" s="43"/>
      <c r="AJ9" s="43"/>
    </row>
    <row r="10" spans="1:36" s="100" customFormat="1" ht="15.75" thickBot="1" x14ac:dyDescent="0.3">
      <c r="A10" s="114" t="s">
        <v>4</v>
      </c>
      <c r="B10" s="56" t="s">
        <v>88</v>
      </c>
      <c r="C10" s="196">
        <v>1548780</v>
      </c>
      <c r="D10" s="188">
        <v>0</v>
      </c>
      <c r="E10" s="188">
        <f>C10</f>
        <v>1548780</v>
      </c>
      <c r="F10" s="196">
        <f>SUM(H10:AH10)</f>
        <v>1053862.92</v>
      </c>
      <c r="G10" s="196">
        <f>C10-F10</f>
        <v>494917.08000000007</v>
      </c>
      <c r="H10" s="204"/>
      <c r="I10" s="204"/>
      <c r="J10" s="204"/>
      <c r="K10" s="205"/>
      <c r="L10" s="205">
        <v>118489.91</v>
      </c>
      <c r="M10" s="205">
        <v>106658.03</v>
      </c>
      <c r="N10" s="205">
        <v>107772.85</v>
      </c>
      <c r="O10" s="205">
        <v>112327.99</v>
      </c>
      <c r="P10" s="205">
        <v>108197.04</v>
      </c>
      <c r="Q10" s="205">
        <v>110501.36</v>
      </c>
      <c r="R10" s="205">
        <v>118311.2</v>
      </c>
      <c r="S10" s="205">
        <v>139774.98000000001</v>
      </c>
      <c r="T10" s="205">
        <v>131829.56</v>
      </c>
      <c r="U10" s="205"/>
      <c r="V10" s="205"/>
      <c r="W10" s="205"/>
      <c r="X10" s="205"/>
      <c r="Y10" s="197"/>
      <c r="Z10" s="197"/>
      <c r="AA10" s="197"/>
      <c r="AB10" s="197"/>
      <c r="AC10" s="111"/>
      <c r="AD10" s="111"/>
      <c r="AE10" s="111"/>
      <c r="AF10" s="111"/>
      <c r="AG10" s="111"/>
      <c r="AH10" s="111"/>
      <c r="AI10"/>
      <c r="AJ10"/>
    </row>
    <row r="11" spans="1:36" s="99" customFormat="1" ht="19.5" thickBot="1" x14ac:dyDescent="0.35">
      <c r="A11" s="114" t="s">
        <v>80</v>
      </c>
      <c r="B11" s="56" t="s">
        <v>81</v>
      </c>
      <c r="C11" s="196">
        <v>743174</v>
      </c>
      <c r="D11" s="188">
        <v>0</v>
      </c>
      <c r="E11" s="188">
        <f>C11</f>
        <v>743174</v>
      </c>
      <c r="F11" s="196">
        <f>SUM(H11:AH11)</f>
        <v>381527.41000000003</v>
      </c>
      <c r="G11" s="196">
        <f>C11-F11</f>
        <v>361646.58999999997</v>
      </c>
      <c r="H11" s="205"/>
      <c r="I11" s="205"/>
      <c r="J11" s="205"/>
      <c r="K11" s="205"/>
      <c r="L11" s="205">
        <v>47214.35</v>
      </c>
      <c r="M11" s="205">
        <v>45652.15</v>
      </c>
      <c r="N11" s="205">
        <v>0</v>
      </c>
      <c r="O11" s="205">
        <v>87331.9</v>
      </c>
      <c r="P11" s="205">
        <v>42794.61</v>
      </c>
      <c r="Q11" s="205">
        <v>54639.01</v>
      </c>
      <c r="R11" s="205">
        <v>60047.63</v>
      </c>
      <c r="S11" s="205">
        <v>43847.76</v>
      </c>
      <c r="T11" s="205"/>
      <c r="U11" s="205"/>
      <c r="V11" s="205"/>
      <c r="W11" s="205"/>
      <c r="X11" s="205"/>
      <c r="Y11" s="197"/>
      <c r="Z11" s="197"/>
      <c r="AA11" s="197"/>
      <c r="AB11" s="197"/>
      <c r="AC11" s="111"/>
      <c r="AD11" s="111"/>
      <c r="AE11" s="111"/>
      <c r="AF11" s="111"/>
      <c r="AG11" s="111"/>
      <c r="AH11" s="111"/>
      <c r="AI11"/>
      <c r="AJ11"/>
    </row>
    <row r="12" spans="1:36" s="99" customFormat="1" ht="19.5" thickBot="1" x14ac:dyDescent="0.35">
      <c r="A12" s="114">
        <v>2700</v>
      </c>
      <c r="B12" s="56" t="s">
        <v>286</v>
      </c>
      <c r="C12" s="196">
        <v>774655</v>
      </c>
      <c r="D12" s="188">
        <v>0</v>
      </c>
      <c r="E12" s="188">
        <f>C12</f>
        <v>774655</v>
      </c>
      <c r="F12" s="196">
        <f>SUM(H12:AH12)</f>
        <v>469462.10000000003</v>
      </c>
      <c r="G12" s="196">
        <f>C12-F12</f>
        <v>305192.89999999997</v>
      </c>
      <c r="H12" s="205"/>
      <c r="I12" s="205"/>
      <c r="J12" s="205"/>
      <c r="K12" s="205"/>
      <c r="L12" s="205"/>
      <c r="M12" s="205">
        <v>55252.67</v>
      </c>
      <c r="N12" s="205">
        <v>39410.74</v>
      </c>
      <c r="O12" s="205">
        <v>37783</v>
      </c>
      <c r="P12" s="205">
        <v>141479.78</v>
      </c>
      <c r="Q12" s="205">
        <v>42111.42</v>
      </c>
      <c r="R12" s="205">
        <v>47900.27</v>
      </c>
      <c r="S12" s="205">
        <v>45508.77</v>
      </c>
      <c r="T12" s="205">
        <v>60015.45</v>
      </c>
      <c r="U12" s="205"/>
      <c r="V12" s="205"/>
      <c r="W12" s="205"/>
      <c r="X12" s="205"/>
      <c r="Y12" s="197"/>
      <c r="Z12" s="197"/>
      <c r="AA12" s="197"/>
      <c r="AB12" s="197"/>
      <c r="AC12" s="111"/>
      <c r="AD12" s="111"/>
      <c r="AE12" s="111"/>
      <c r="AF12" s="111"/>
      <c r="AG12" s="111"/>
      <c r="AH12" s="111"/>
      <c r="AI12"/>
      <c r="AJ12"/>
    </row>
    <row r="13" spans="1:36" s="99" customFormat="1" ht="30.75" thickBot="1" x14ac:dyDescent="0.35">
      <c r="A13" s="114" t="s">
        <v>34</v>
      </c>
      <c r="B13" s="56" t="s">
        <v>83</v>
      </c>
      <c r="C13" s="196">
        <v>2400000</v>
      </c>
      <c r="D13" s="188">
        <v>0</v>
      </c>
      <c r="E13" s="188">
        <f>C13</f>
        <v>2400000</v>
      </c>
      <c r="F13" s="196">
        <f>SUM(H13:AH13)</f>
        <v>1269878.05</v>
      </c>
      <c r="G13" s="196">
        <f>C13-F13</f>
        <v>1130121.95</v>
      </c>
      <c r="H13" s="205"/>
      <c r="I13" s="205"/>
      <c r="J13" s="205"/>
      <c r="K13" s="205"/>
      <c r="L13" s="205"/>
      <c r="M13" s="205">
        <v>85342</v>
      </c>
      <c r="N13" s="205">
        <v>111859</v>
      </c>
      <c r="O13" s="205">
        <v>146129</v>
      </c>
      <c r="P13" s="205">
        <v>162338.04999999999</v>
      </c>
      <c r="Q13" s="205">
        <v>152241</v>
      </c>
      <c r="R13" s="205">
        <v>111154</v>
      </c>
      <c r="S13" s="205">
        <v>240355</v>
      </c>
      <c r="T13" s="205">
        <v>260460</v>
      </c>
      <c r="U13" s="205"/>
      <c r="V13" s="205"/>
      <c r="W13" s="205"/>
      <c r="X13" s="205"/>
      <c r="Y13" s="197"/>
      <c r="Z13" s="197"/>
      <c r="AA13" s="197"/>
      <c r="AB13" s="197"/>
      <c r="AC13" s="111"/>
      <c r="AD13" s="111"/>
      <c r="AE13" s="111"/>
      <c r="AF13" s="111"/>
      <c r="AG13" s="111"/>
      <c r="AH13" s="111"/>
      <c r="AI13"/>
      <c r="AJ13"/>
    </row>
    <row r="14" spans="1:36" s="99" customFormat="1" ht="19.5" thickBot="1" x14ac:dyDescent="0.35">
      <c r="A14" s="114" t="s">
        <v>129</v>
      </c>
      <c r="B14" s="56" t="s">
        <v>209</v>
      </c>
      <c r="C14" s="196">
        <v>950362</v>
      </c>
      <c r="D14" s="188"/>
      <c r="E14" s="188">
        <f>C14</f>
        <v>950362</v>
      </c>
      <c r="F14" s="196">
        <f>SUM(H14:AH14)</f>
        <v>515090.49</v>
      </c>
      <c r="G14" s="196">
        <f>C14-F14</f>
        <v>435271.51</v>
      </c>
      <c r="H14" s="205"/>
      <c r="I14" s="205"/>
      <c r="J14" s="205"/>
      <c r="K14" s="205"/>
      <c r="L14" s="205">
        <v>33578.839999999997</v>
      </c>
      <c r="M14" s="205">
        <v>41044.239999999998</v>
      </c>
      <c r="N14" s="205">
        <v>45100.66</v>
      </c>
      <c r="O14" s="205">
        <v>40642.449999999997</v>
      </c>
      <c r="P14" s="205">
        <v>47922.99</v>
      </c>
      <c r="Q14" s="205">
        <v>43011.45</v>
      </c>
      <c r="R14" s="205">
        <v>46813.68</v>
      </c>
      <c r="S14" s="205">
        <v>52965.21</v>
      </c>
      <c r="T14" s="205">
        <v>164010.97</v>
      </c>
      <c r="U14" s="205"/>
      <c r="V14" s="205"/>
      <c r="W14" s="205"/>
      <c r="X14" s="205"/>
      <c r="Y14" s="197"/>
      <c r="Z14" s="197"/>
      <c r="AA14" s="197"/>
      <c r="AB14" s="197"/>
      <c r="AC14" s="111"/>
      <c r="AD14" s="111"/>
      <c r="AE14" s="111"/>
      <c r="AF14" s="111"/>
      <c r="AG14" s="111"/>
      <c r="AH14" s="111"/>
      <c r="AI14"/>
      <c r="AJ14"/>
    </row>
    <row r="15" spans="1:36" ht="15.75" thickBot="1" x14ac:dyDescent="0.3">
      <c r="A15" s="56"/>
      <c r="B15" s="56"/>
      <c r="C15" s="198"/>
      <c r="D15" s="198"/>
      <c r="E15" s="198"/>
      <c r="F15" s="198"/>
      <c r="G15" s="198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11"/>
      <c r="AD15" s="111"/>
      <c r="AE15" s="111"/>
      <c r="AF15" s="111"/>
      <c r="AG15" s="111"/>
      <c r="AH15" s="111"/>
      <c r="AI15" s="62"/>
      <c r="AJ15" s="62"/>
    </row>
    <row r="16" spans="1:36" s="98" customFormat="1" ht="15.75" thickBot="1" x14ac:dyDescent="0.3">
      <c r="A16" s="58" t="s">
        <v>44</v>
      </c>
      <c r="B16" s="58"/>
      <c r="C16" s="199">
        <f>SUM(C10:C14)</f>
        <v>6416971</v>
      </c>
      <c r="D16" s="199">
        <v>0</v>
      </c>
      <c r="E16" s="199">
        <f>C16+D16</f>
        <v>6416971</v>
      </c>
      <c r="F16" s="199">
        <f t="shared" ref="F16:AJ16" si="0">SUM(F10:F14)</f>
        <v>3689820.9700000007</v>
      </c>
      <c r="G16" s="199">
        <f t="shared" si="0"/>
        <v>2727150.0300000003</v>
      </c>
      <c r="H16" s="199">
        <f t="shared" si="0"/>
        <v>0</v>
      </c>
      <c r="I16" s="199">
        <f t="shared" si="0"/>
        <v>0</v>
      </c>
      <c r="J16" s="199">
        <f t="shared" si="0"/>
        <v>0</v>
      </c>
      <c r="K16" s="199">
        <f t="shared" si="0"/>
        <v>0</v>
      </c>
      <c r="L16" s="199">
        <f t="shared" si="0"/>
        <v>199283.1</v>
      </c>
      <c r="M16" s="199">
        <f t="shared" si="0"/>
        <v>333949.08999999997</v>
      </c>
      <c r="N16" s="199">
        <f t="shared" si="0"/>
        <v>304143.25</v>
      </c>
      <c r="O16" s="199">
        <f t="shared" si="0"/>
        <v>424214.34</v>
      </c>
      <c r="P16" s="199">
        <f t="shared" si="0"/>
        <v>502732.47</v>
      </c>
      <c r="Q16" s="199">
        <f>SUM(Q10:Q14)</f>
        <v>402504.24</v>
      </c>
      <c r="R16" s="199">
        <f t="shared" si="0"/>
        <v>384226.77999999997</v>
      </c>
      <c r="S16" s="199">
        <f t="shared" si="0"/>
        <v>522451.72000000003</v>
      </c>
      <c r="T16" s="199">
        <f t="shared" si="0"/>
        <v>616315.98</v>
      </c>
      <c r="U16" s="199">
        <f t="shared" si="0"/>
        <v>0</v>
      </c>
      <c r="V16" s="199">
        <f t="shared" si="0"/>
        <v>0</v>
      </c>
      <c r="W16" s="199">
        <f t="shared" si="0"/>
        <v>0</v>
      </c>
      <c r="X16" s="199">
        <f t="shared" si="0"/>
        <v>0</v>
      </c>
      <c r="Y16" s="199">
        <f t="shared" si="0"/>
        <v>0</v>
      </c>
      <c r="Z16" s="199">
        <f t="shared" si="0"/>
        <v>0</v>
      </c>
      <c r="AA16" s="199">
        <f t="shared" si="0"/>
        <v>0</v>
      </c>
      <c r="AB16" s="199">
        <f t="shared" si="0"/>
        <v>0</v>
      </c>
      <c r="AC16" s="58">
        <f t="shared" si="0"/>
        <v>0</v>
      </c>
      <c r="AD16" s="58">
        <f t="shared" si="0"/>
        <v>0</v>
      </c>
      <c r="AE16" s="58">
        <f t="shared" si="0"/>
        <v>0</v>
      </c>
      <c r="AF16" s="58">
        <f t="shared" si="0"/>
        <v>0</v>
      </c>
      <c r="AG16" s="58">
        <f t="shared" si="0"/>
        <v>0</v>
      </c>
      <c r="AH16" s="58">
        <f t="shared" si="0"/>
        <v>0</v>
      </c>
      <c r="AI16" s="58">
        <f t="shared" si="0"/>
        <v>0</v>
      </c>
      <c r="AJ16" s="58">
        <f t="shared" si="0"/>
        <v>0</v>
      </c>
    </row>
    <row r="17" spans="3:36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I17" s="62"/>
      <c r="AJ17" s="62"/>
    </row>
    <row r="18" spans="3:36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3:36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3:36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3:36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I21" s="62"/>
      <c r="AJ21" s="62"/>
    </row>
    <row r="23" spans="3:36" x14ac:dyDescent="0.25">
      <c r="AI23" s="62"/>
      <c r="AJ23" s="62"/>
    </row>
    <row r="27" spans="3:36" x14ac:dyDescent="0.25">
      <c r="AI27" s="62"/>
      <c r="AJ27" s="62"/>
    </row>
    <row r="28" spans="3:36" x14ac:dyDescent="0.25">
      <c r="AI28" s="62"/>
      <c r="AJ28" s="62"/>
    </row>
    <row r="33" spans="35:36" x14ac:dyDescent="0.25">
      <c r="AI33" s="62"/>
      <c r="AJ33" s="62"/>
    </row>
    <row r="34" spans="35:36" x14ac:dyDescent="0.25">
      <c r="AI34" s="62"/>
      <c r="AJ34" s="62"/>
    </row>
    <row r="36" spans="35:36" x14ac:dyDescent="0.25">
      <c r="AI36" s="62"/>
      <c r="AJ36" s="62"/>
    </row>
    <row r="39" spans="35:36" x14ac:dyDescent="0.25">
      <c r="AI39" s="16"/>
      <c r="AJ39" s="16"/>
    </row>
    <row r="40" spans="35:36" x14ac:dyDescent="0.25">
      <c r="AI40" s="16"/>
      <c r="AJ40" s="16"/>
    </row>
    <row r="41" spans="35:36" x14ac:dyDescent="0.25">
      <c r="AI41" s="16"/>
      <c r="AJ41" s="16"/>
    </row>
    <row r="42" spans="35:36" x14ac:dyDescent="0.25">
      <c r="AI42" s="16"/>
      <c r="AJ42" s="16"/>
    </row>
    <row r="43" spans="35:36" x14ac:dyDescent="0.25">
      <c r="AI43" s="16"/>
      <c r="AJ43" s="16"/>
    </row>
    <row r="44" spans="35:36" x14ac:dyDescent="0.25">
      <c r="AI44" s="16"/>
      <c r="AJ44" s="16"/>
    </row>
    <row r="45" spans="35:36" x14ac:dyDescent="0.25">
      <c r="AI45" s="16"/>
      <c r="AJ45" s="16"/>
    </row>
    <row r="46" spans="35:36" x14ac:dyDescent="0.25">
      <c r="AI46" s="16"/>
      <c r="AJ46" s="16"/>
    </row>
    <row r="47" spans="35:36" x14ac:dyDescent="0.25">
      <c r="AI47" s="16"/>
      <c r="AJ47" s="16"/>
    </row>
    <row r="48" spans="35:36" x14ac:dyDescent="0.25">
      <c r="AI48" s="16"/>
      <c r="AJ48" s="16"/>
    </row>
    <row r="49" spans="35:36" x14ac:dyDescent="0.25">
      <c r="AI49" s="16"/>
      <c r="AJ49" s="16"/>
    </row>
    <row r="50" spans="35:36" x14ac:dyDescent="0.25">
      <c r="AI50" s="16"/>
      <c r="AJ50" s="16"/>
    </row>
    <row r="51" spans="35:36" x14ac:dyDescent="0.25">
      <c r="AI51" s="16"/>
      <c r="AJ51" s="16"/>
    </row>
    <row r="52" spans="35:36" x14ac:dyDescent="0.25">
      <c r="AI52" s="16"/>
      <c r="AJ52" s="16"/>
    </row>
  </sheetData>
  <sheetProtection algorithmName="SHA-512" hashValue="Gxj8nZlIgVrB8pRoIh9i6XH/hz9btyxKLWc+/PG2cmIbd1jf++wRmkOPjK1UYrYi2luEv7xoxx5W2I+rfGG5GA==" saltValue="Kgpkex2qv6ysipeCiMoTXw==" spinCount="100000" sheet="1" objects="1" scenarios="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229F-A60C-411E-82FA-9C41F7C49D45}">
  <sheetPr>
    <tabColor theme="2"/>
  </sheetPr>
  <dimension ref="A1:V25"/>
  <sheetViews>
    <sheetView workbookViewId="0">
      <pane xSplit="7" topLeftCell="N1" activePane="topRight" state="frozen"/>
      <selection pane="topRight" activeCell="E25" sqref="E25"/>
    </sheetView>
  </sheetViews>
  <sheetFormatPr defaultColWidth="9.42578125" defaultRowHeight="15" x14ac:dyDescent="0.25"/>
  <cols>
    <col min="2" max="2" width="36.5703125" customWidth="1"/>
    <col min="3" max="3" width="14.42578125" customWidth="1"/>
    <col min="4" max="4" width="10.5703125" customWidth="1"/>
    <col min="5" max="6" width="14.42578125" customWidth="1"/>
    <col min="7" max="7" width="17.5703125" customWidth="1"/>
    <col min="8" max="8" width="12.42578125" customWidth="1"/>
    <col min="9" max="9" width="12.5703125" customWidth="1"/>
    <col min="10" max="10" width="12" customWidth="1"/>
    <col min="11" max="11" width="11.5703125" customWidth="1"/>
    <col min="12" max="12" width="12.42578125" customWidth="1"/>
    <col min="13" max="13" width="12.5703125" customWidth="1"/>
    <col min="14" max="14" width="12.42578125" customWidth="1"/>
    <col min="15" max="15" width="13.42578125" customWidth="1"/>
    <col min="16" max="16" width="12.42578125" customWidth="1"/>
    <col min="17" max="17" width="13.5703125" customWidth="1"/>
    <col min="18" max="18" width="12.5703125" customWidth="1"/>
    <col min="19" max="19" width="13.42578125" customWidth="1"/>
    <col min="20" max="20" width="13" customWidth="1"/>
    <col min="21" max="22" width="15.5703125" customWidth="1"/>
  </cols>
  <sheetData>
    <row r="1" spans="1:22" ht="21" x14ac:dyDescent="0.35">
      <c r="A1" s="28" t="s">
        <v>0</v>
      </c>
      <c r="B1" s="41"/>
      <c r="C1" s="37" t="s">
        <v>899</v>
      </c>
      <c r="D1" s="37"/>
      <c r="E1" s="37"/>
      <c r="F1" s="28"/>
      <c r="G1" s="38"/>
      <c r="H1" s="42"/>
      <c r="I1" s="42"/>
      <c r="J1" s="37"/>
      <c r="K1" s="37"/>
      <c r="L1" s="28"/>
      <c r="M1" s="28"/>
      <c r="N1" s="37" t="str">
        <f>$C$1</f>
        <v>Title I-A Reallocated Assistance</v>
      </c>
      <c r="O1" s="38"/>
      <c r="P1" s="42"/>
      <c r="Q1" s="37"/>
      <c r="R1" s="37"/>
      <c r="S1" s="37"/>
      <c r="T1" s="37" t="str">
        <f>$C$1</f>
        <v>Title I-A Reallocated Assistance</v>
      </c>
      <c r="U1" s="28"/>
      <c r="V1" s="38"/>
    </row>
    <row r="2" spans="1:22" ht="21" x14ac:dyDescent="0.35">
      <c r="A2" s="28" t="s">
        <v>137</v>
      </c>
      <c r="B2" s="38"/>
      <c r="C2" s="28" t="s">
        <v>900</v>
      </c>
      <c r="D2" s="28"/>
      <c r="E2" s="28"/>
      <c r="F2" s="29"/>
      <c r="G2" s="18"/>
      <c r="H2" s="42"/>
      <c r="I2" s="42"/>
      <c r="J2" s="29"/>
      <c r="K2" s="37"/>
      <c r="L2" s="37" t="s">
        <v>32</v>
      </c>
      <c r="M2" s="39"/>
      <c r="N2" s="29" t="str">
        <f>"FY"&amp;$C$4</f>
        <v>FY2021-22</v>
      </c>
      <c r="O2" s="18"/>
      <c r="P2" s="18"/>
      <c r="Q2" s="29"/>
      <c r="R2" s="29"/>
      <c r="S2" s="37"/>
      <c r="T2" s="29" t="str">
        <f>"FY"&amp;$C$4</f>
        <v>FY2021-22</v>
      </c>
      <c r="U2" s="39"/>
      <c r="V2" s="18"/>
    </row>
    <row r="3" spans="1:22" ht="16.350000000000001" customHeight="1" x14ac:dyDescent="0.25">
      <c r="A3" s="29" t="s">
        <v>1</v>
      </c>
      <c r="B3" s="41"/>
      <c r="C3" s="39">
        <v>6010</v>
      </c>
      <c r="D3" s="39"/>
      <c r="E3" s="39"/>
      <c r="F3" s="29"/>
      <c r="G3" s="1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6.350000000000001" customHeight="1" x14ac:dyDescent="0.25">
      <c r="A4" s="29" t="s">
        <v>2</v>
      </c>
      <c r="B4" s="41"/>
      <c r="C4" s="39" t="s">
        <v>618</v>
      </c>
      <c r="D4" s="39"/>
      <c r="E4" s="39"/>
      <c r="F4" s="18"/>
      <c r="G4" s="1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6.350000000000001" customHeight="1" x14ac:dyDescent="0.25">
      <c r="A5" s="29" t="s">
        <v>430</v>
      </c>
      <c r="B5" s="41"/>
      <c r="C5" s="39" t="s">
        <v>901</v>
      </c>
      <c r="D5" s="39"/>
      <c r="E5" s="39"/>
      <c r="F5" s="18"/>
      <c r="G5" s="1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6.350000000000001" customHeight="1" x14ac:dyDescent="0.25">
      <c r="A6" s="29" t="s">
        <v>133</v>
      </c>
      <c r="B6" s="41"/>
      <c r="C6" s="51" t="s">
        <v>315</v>
      </c>
      <c r="D6" s="101"/>
      <c r="E6" s="101"/>
      <c r="F6" s="29"/>
      <c r="G6" s="9"/>
      <c r="H6" s="9"/>
      <c r="I6" s="9"/>
      <c r="J6" s="9"/>
      <c r="K6" s="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6.350000000000001" customHeight="1" x14ac:dyDescent="0.25">
      <c r="A7" s="29" t="s">
        <v>18</v>
      </c>
      <c r="B7" s="41"/>
      <c r="C7" s="54" t="s">
        <v>332</v>
      </c>
      <c r="D7" s="29"/>
      <c r="E7" s="29"/>
      <c r="F7" s="29"/>
      <c r="G7" s="9"/>
      <c r="H7" s="9"/>
      <c r="I7" s="9"/>
      <c r="J7" s="9"/>
      <c r="K7" s="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6.350000000000001" customHeight="1" thickBot="1" x14ac:dyDescent="0.3">
      <c r="A8" s="29"/>
      <c r="B8" s="41"/>
      <c r="C8" s="29"/>
      <c r="D8" s="29"/>
      <c r="E8" s="29"/>
      <c r="F8" s="29"/>
      <c r="G8" s="9"/>
      <c r="H8" s="9"/>
      <c r="I8" s="9"/>
      <c r="J8" s="9"/>
      <c r="K8" s="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s="100" customFormat="1" ht="30.75" thickBot="1" x14ac:dyDescent="0.3">
      <c r="A9" s="43" t="s">
        <v>130</v>
      </c>
      <c r="B9" s="43" t="s">
        <v>42</v>
      </c>
      <c r="C9" s="43" t="s">
        <v>14</v>
      </c>
      <c r="D9" s="43"/>
      <c r="E9" s="43" t="s">
        <v>132</v>
      </c>
      <c r="F9" s="43" t="s">
        <v>15</v>
      </c>
      <c r="G9" s="22" t="s">
        <v>16</v>
      </c>
      <c r="H9" s="23" t="s">
        <v>408</v>
      </c>
      <c r="I9" s="24" t="s">
        <v>409</v>
      </c>
      <c r="J9" s="23" t="s">
        <v>410</v>
      </c>
      <c r="K9" s="24" t="s">
        <v>411</v>
      </c>
      <c r="L9" s="23" t="s">
        <v>412</v>
      </c>
      <c r="M9" s="24" t="s">
        <v>416</v>
      </c>
      <c r="N9" s="24" t="s">
        <v>606</v>
      </c>
      <c r="O9" s="24" t="s">
        <v>607</v>
      </c>
      <c r="P9" s="24" t="s">
        <v>608</v>
      </c>
      <c r="Q9" s="24" t="s">
        <v>609</v>
      </c>
      <c r="R9" s="24" t="s">
        <v>610</v>
      </c>
      <c r="S9" s="24" t="s">
        <v>865</v>
      </c>
      <c r="T9" s="23" t="s">
        <v>612</v>
      </c>
      <c r="U9" s="24" t="s">
        <v>613</v>
      </c>
      <c r="V9" s="24" t="s">
        <v>614</v>
      </c>
    </row>
    <row r="10" spans="1:22" s="100" customFormat="1" ht="15.75" thickBot="1" x14ac:dyDescent="0.3">
      <c r="A10" s="368" t="s">
        <v>902</v>
      </c>
      <c r="B10" s="56" t="s">
        <v>903</v>
      </c>
      <c r="C10" s="196">
        <v>15362</v>
      </c>
      <c r="D10" s="188">
        <v>0</v>
      </c>
      <c r="E10" s="188">
        <f>C10</f>
        <v>15362</v>
      </c>
      <c r="F10" s="196">
        <f>SUM(H10:V10)</f>
        <v>15362</v>
      </c>
      <c r="G10" s="196">
        <f>C10-F10</f>
        <v>0</v>
      </c>
      <c r="H10" s="371"/>
      <c r="I10" s="204"/>
      <c r="J10" s="204"/>
      <c r="K10" s="205"/>
      <c r="L10" s="205"/>
      <c r="M10" s="205"/>
      <c r="N10" s="205"/>
      <c r="O10" s="205"/>
      <c r="P10" s="205"/>
      <c r="Q10" s="205"/>
      <c r="R10" s="205">
        <v>15362</v>
      </c>
      <c r="S10" s="205"/>
      <c r="T10" s="205"/>
      <c r="U10" s="205"/>
      <c r="V10" s="205"/>
    </row>
    <row r="11" spans="1:22" s="100" customFormat="1" ht="15.75" thickBot="1" x14ac:dyDescent="0.3">
      <c r="A11" s="368" t="s">
        <v>904</v>
      </c>
      <c r="B11" s="56" t="s">
        <v>905</v>
      </c>
      <c r="C11" s="196">
        <v>11094</v>
      </c>
      <c r="D11" s="188">
        <v>0</v>
      </c>
      <c r="E11" s="188">
        <f t="shared" ref="E11:E18" si="0">C11</f>
        <v>11094</v>
      </c>
      <c r="F11" s="196">
        <f t="shared" ref="F11:F18" si="1">SUM(H11:V11)</f>
        <v>0</v>
      </c>
      <c r="G11" s="196">
        <f t="shared" ref="G11:G18" si="2">C11-F11</f>
        <v>11094</v>
      </c>
      <c r="H11" s="371"/>
      <c r="I11" s="204"/>
      <c r="J11" s="204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</row>
    <row r="12" spans="1:22" s="100" customFormat="1" ht="15.75" thickBot="1" x14ac:dyDescent="0.3">
      <c r="A12" s="368" t="s">
        <v>889</v>
      </c>
      <c r="B12" s="56" t="s">
        <v>890</v>
      </c>
      <c r="C12" s="196">
        <v>95831</v>
      </c>
      <c r="D12" s="188">
        <v>0</v>
      </c>
      <c r="E12" s="188">
        <f t="shared" si="0"/>
        <v>95831</v>
      </c>
      <c r="F12" s="196">
        <f t="shared" si="1"/>
        <v>55827.55</v>
      </c>
      <c r="G12" s="196">
        <f t="shared" si="2"/>
        <v>40003.449999999997</v>
      </c>
      <c r="H12" s="371"/>
      <c r="I12" s="204"/>
      <c r="J12" s="204"/>
      <c r="K12" s="205"/>
      <c r="L12" s="205"/>
      <c r="M12" s="205"/>
      <c r="N12" s="205"/>
      <c r="O12" s="205"/>
      <c r="P12" s="205"/>
      <c r="Q12" s="205"/>
      <c r="R12" s="205">
        <v>55827.55</v>
      </c>
      <c r="S12" s="205"/>
      <c r="T12" s="205"/>
      <c r="U12" s="205"/>
      <c r="V12" s="205"/>
    </row>
    <row r="13" spans="1:22" s="100" customFormat="1" ht="15.75" thickBot="1" x14ac:dyDescent="0.3">
      <c r="A13" s="368" t="s">
        <v>396</v>
      </c>
      <c r="B13" s="56" t="s">
        <v>906</v>
      </c>
      <c r="C13" s="196">
        <v>30919</v>
      </c>
      <c r="D13" s="188">
        <v>0</v>
      </c>
      <c r="E13" s="188">
        <f t="shared" si="0"/>
        <v>30919</v>
      </c>
      <c r="F13" s="196">
        <f t="shared" si="1"/>
        <v>22212.29</v>
      </c>
      <c r="G13" s="196">
        <f t="shared" si="2"/>
        <v>8706.7099999999991</v>
      </c>
      <c r="H13" s="371"/>
      <c r="I13" s="204"/>
      <c r="J13" s="204"/>
      <c r="K13" s="205"/>
      <c r="L13" s="205"/>
      <c r="M13" s="205"/>
      <c r="N13" s="205"/>
      <c r="O13" s="205"/>
      <c r="P13" s="205"/>
      <c r="Q13" s="205"/>
      <c r="R13" s="205"/>
      <c r="S13" s="205">
        <v>22212.29</v>
      </c>
      <c r="T13" s="205"/>
      <c r="U13" s="205"/>
      <c r="V13" s="205"/>
    </row>
    <row r="14" spans="1:22" s="100" customFormat="1" ht="15.75" thickBot="1" x14ac:dyDescent="0.3">
      <c r="A14" s="368" t="s">
        <v>424</v>
      </c>
      <c r="B14" s="56" t="s">
        <v>907</v>
      </c>
      <c r="C14" s="196">
        <v>27574</v>
      </c>
      <c r="D14" s="188">
        <v>0</v>
      </c>
      <c r="E14" s="188">
        <f t="shared" si="0"/>
        <v>27574</v>
      </c>
      <c r="F14" s="196">
        <f t="shared" si="1"/>
        <v>27574</v>
      </c>
      <c r="G14" s="196">
        <f t="shared" si="2"/>
        <v>0</v>
      </c>
      <c r="H14" s="371"/>
      <c r="I14" s="204"/>
      <c r="J14" s="204"/>
      <c r="K14" s="205"/>
      <c r="L14" s="205"/>
      <c r="M14" s="205"/>
      <c r="N14" s="205"/>
      <c r="O14" s="205"/>
      <c r="P14" s="205"/>
      <c r="Q14" s="205"/>
      <c r="R14" s="205">
        <v>27574</v>
      </c>
      <c r="S14" s="205"/>
      <c r="T14" s="205"/>
      <c r="U14" s="205"/>
      <c r="V14" s="205"/>
    </row>
    <row r="15" spans="1:22" s="100" customFormat="1" ht="15.75" thickBot="1" x14ac:dyDescent="0.3">
      <c r="A15" s="368" t="s">
        <v>103</v>
      </c>
      <c r="B15" s="56" t="s">
        <v>911</v>
      </c>
      <c r="C15" s="196">
        <v>10174</v>
      </c>
      <c r="D15" s="188"/>
      <c r="E15" s="188">
        <f t="shared" si="0"/>
        <v>10174</v>
      </c>
      <c r="F15" s="196">
        <f t="shared" si="1"/>
        <v>0</v>
      </c>
      <c r="G15" s="196">
        <f t="shared" si="2"/>
        <v>10174</v>
      </c>
      <c r="H15" s="371"/>
      <c r="I15" s="204"/>
      <c r="J15" s="204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</row>
    <row r="16" spans="1:22" s="99" customFormat="1" ht="19.5" thickBot="1" x14ac:dyDescent="0.35">
      <c r="A16" s="368" t="s">
        <v>908</v>
      </c>
      <c r="B16" s="56" t="s">
        <v>912</v>
      </c>
      <c r="C16" s="196">
        <v>15309</v>
      </c>
      <c r="D16" s="188">
        <v>0</v>
      </c>
      <c r="E16" s="188">
        <f t="shared" si="0"/>
        <v>15309</v>
      </c>
      <c r="F16" s="196">
        <f t="shared" si="1"/>
        <v>15309</v>
      </c>
      <c r="G16" s="196">
        <f t="shared" si="2"/>
        <v>0</v>
      </c>
      <c r="H16" s="371"/>
      <c r="I16" s="205"/>
      <c r="J16" s="205"/>
      <c r="K16" s="205"/>
      <c r="L16" s="205"/>
      <c r="M16" s="205"/>
      <c r="N16" s="205"/>
      <c r="O16" s="205"/>
      <c r="P16" s="205">
        <v>15309</v>
      </c>
      <c r="Q16" s="205"/>
      <c r="R16" s="205"/>
      <c r="S16" s="205"/>
      <c r="T16" s="205"/>
      <c r="U16" s="205"/>
      <c r="V16" s="205"/>
    </row>
    <row r="17" spans="1:22" s="99" customFormat="1" ht="19.5" thickBot="1" x14ac:dyDescent="0.35">
      <c r="A17" s="368" t="s">
        <v>909</v>
      </c>
      <c r="B17" s="56" t="s">
        <v>913</v>
      </c>
      <c r="C17" s="196">
        <v>17774</v>
      </c>
      <c r="D17" s="188">
        <v>0</v>
      </c>
      <c r="E17" s="188">
        <f t="shared" si="0"/>
        <v>17774</v>
      </c>
      <c r="F17" s="196">
        <f t="shared" si="1"/>
        <v>0</v>
      </c>
      <c r="G17" s="196">
        <f t="shared" si="2"/>
        <v>17774</v>
      </c>
      <c r="H17" s="371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</row>
    <row r="18" spans="1:22" s="99" customFormat="1" ht="19.5" thickBot="1" x14ac:dyDescent="0.35">
      <c r="A18" s="368" t="s">
        <v>910</v>
      </c>
      <c r="B18" s="56" t="s">
        <v>914</v>
      </c>
      <c r="C18" s="196">
        <v>35962</v>
      </c>
      <c r="D18" s="188">
        <v>0</v>
      </c>
      <c r="E18" s="188">
        <f t="shared" si="0"/>
        <v>35962</v>
      </c>
      <c r="F18" s="196">
        <f t="shared" si="1"/>
        <v>0</v>
      </c>
      <c r="G18" s="196">
        <f t="shared" si="2"/>
        <v>35962</v>
      </c>
      <c r="H18" s="371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</row>
    <row r="19" spans="1:22" ht="15.75" thickBot="1" x14ac:dyDescent="0.3">
      <c r="A19" s="56"/>
      <c r="B19" s="56"/>
      <c r="C19" s="198"/>
      <c r="D19" s="198"/>
      <c r="E19" s="198"/>
      <c r="F19" s="198"/>
      <c r="G19" s="198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</row>
    <row r="20" spans="1:22" s="98" customFormat="1" ht="15.75" thickBot="1" x14ac:dyDescent="0.3">
      <c r="A20" s="58" t="s">
        <v>44</v>
      </c>
      <c r="B20" s="58"/>
      <c r="C20" s="199">
        <f>SUM(C10:C18)</f>
        <v>259999</v>
      </c>
      <c r="D20" s="199">
        <v>0</v>
      </c>
      <c r="E20" s="199">
        <f>C20+D20</f>
        <v>259999</v>
      </c>
      <c r="F20" s="199">
        <f t="shared" ref="F20:V20" si="3">SUM(F10:F18)</f>
        <v>136284.84</v>
      </c>
      <c r="G20" s="199">
        <f t="shared" si="3"/>
        <v>123714.16</v>
      </c>
      <c r="H20" s="199">
        <f t="shared" si="3"/>
        <v>0</v>
      </c>
      <c r="I20" s="199">
        <f t="shared" si="3"/>
        <v>0</v>
      </c>
      <c r="J20" s="199">
        <f t="shared" si="3"/>
        <v>0</v>
      </c>
      <c r="K20" s="199">
        <f t="shared" si="3"/>
        <v>0</v>
      </c>
      <c r="L20" s="199">
        <f t="shared" si="3"/>
        <v>0</v>
      </c>
      <c r="M20" s="199">
        <f t="shared" si="3"/>
        <v>0</v>
      </c>
      <c r="N20" s="199">
        <f t="shared" si="3"/>
        <v>0</v>
      </c>
      <c r="O20" s="199">
        <f t="shared" si="3"/>
        <v>0</v>
      </c>
      <c r="P20" s="199">
        <f t="shared" si="3"/>
        <v>15309</v>
      </c>
      <c r="Q20" s="199">
        <f t="shared" si="3"/>
        <v>0</v>
      </c>
      <c r="R20" s="199">
        <f t="shared" si="3"/>
        <v>98763.55</v>
      </c>
      <c r="S20" s="199">
        <f t="shared" si="3"/>
        <v>22212.29</v>
      </c>
      <c r="T20" s="199">
        <f t="shared" si="3"/>
        <v>0</v>
      </c>
      <c r="U20" s="199">
        <f t="shared" si="3"/>
        <v>0</v>
      </c>
      <c r="V20" s="199">
        <f t="shared" si="3"/>
        <v>0</v>
      </c>
    </row>
    <row r="21" spans="1:22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</sheetData>
  <sheetProtection algorithmName="SHA-512" hashValue="2fPZQ7AI8Ld5iI+2BYfRv7wwzs9Um4FyjOLe0crUjKzLn+pEFAs4Im0FpQ0G+bTgLUNtA0jD8HH0s60nekTIng==" saltValue="+xOoXu2JUm9vb3ogi7iNoA==" spinCount="100000"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tabColor theme="2"/>
  </sheetPr>
  <dimension ref="A1:AK56"/>
  <sheetViews>
    <sheetView workbookViewId="0">
      <pane xSplit="8" ySplit="8" topLeftCell="AK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G21" sqref="G21"/>
    </sheetView>
  </sheetViews>
  <sheetFormatPr defaultColWidth="8.5703125" defaultRowHeight="15" x14ac:dyDescent="0.25"/>
  <cols>
    <col min="2" max="2" width="36.5703125" customWidth="1"/>
    <col min="3" max="4" width="13.5703125" customWidth="1"/>
    <col min="5" max="5" width="15.42578125" customWidth="1"/>
    <col min="6" max="7" width="13.5703125" customWidth="1"/>
    <col min="8" max="8" width="17.5703125" customWidth="1"/>
    <col min="9" max="35" width="15.5703125" customWidth="1"/>
    <col min="36" max="37" width="21.42578125" customWidth="1"/>
  </cols>
  <sheetData>
    <row r="1" spans="1:37" ht="21" x14ac:dyDescent="0.35">
      <c r="A1" s="28" t="s">
        <v>0</v>
      </c>
      <c r="B1" s="41"/>
      <c r="C1" s="37" t="s">
        <v>25</v>
      </c>
      <c r="D1" s="37"/>
      <c r="E1" s="37"/>
      <c r="F1" s="37"/>
      <c r="G1" s="28"/>
      <c r="H1" s="38"/>
      <c r="I1" s="41"/>
      <c r="J1" s="41"/>
      <c r="K1" s="41"/>
      <c r="L1" s="41"/>
      <c r="M1" s="37" t="str">
        <f>C1</f>
        <v>Title II-B Math &amp; Science Partnerships</v>
      </c>
      <c r="N1" s="41"/>
      <c r="O1" s="41"/>
      <c r="P1" s="41"/>
      <c r="Q1" s="41"/>
      <c r="R1" s="41"/>
      <c r="S1" s="37" t="s">
        <v>25</v>
      </c>
      <c r="T1" s="41"/>
      <c r="U1" s="41"/>
      <c r="V1" s="41"/>
      <c r="W1" s="41"/>
      <c r="X1" s="41"/>
      <c r="Y1" s="41"/>
      <c r="Z1" s="37" t="str">
        <f>$C$1</f>
        <v>Title II-B Math &amp; Science Partnerships</v>
      </c>
      <c r="AA1" s="41"/>
      <c r="AB1" s="37"/>
      <c r="AC1" s="41"/>
      <c r="AD1" s="41"/>
      <c r="AE1" s="41"/>
      <c r="AF1" s="41"/>
      <c r="AG1" s="37" t="str">
        <f>$C$1</f>
        <v>Title II-B Math &amp; Science Partnerships</v>
      </c>
      <c r="AH1" s="41"/>
      <c r="AI1" s="41"/>
      <c r="AJ1" s="28"/>
      <c r="AK1" s="28"/>
    </row>
    <row r="2" spans="1:37" ht="21" x14ac:dyDescent="0.35">
      <c r="A2" s="28" t="s">
        <v>137</v>
      </c>
      <c r="B2" s="38"/>
      <c r="C2" s="37" t="s">
        <v>143</v>
      </c>
      <c r="D2" s="39"/>
      <c r="E2" s="39"/>
      <c r="F2" s="39"/>
      <c r="G2" s="29"/>
      <c r="H2" s="18"/>
      <c r="I2" s="18"/>
      <c r="J2" s="18"/>
      <c r="K2" s="18"/>
      <c r="L2" s="18"/>
      <c r="M2" s="29" t="str">
        <f>"FY"&amp;C4</f>
        <v>FY2018-19</v>
      </c>
      <c r="N2" s="18"/>
      <c r="O2" s="18"/>
      <c r="P2" s="18"/>
      <c r="Q2" s="18"/>
      <c r="R2" s="18"/>
      <c r="S2" s="29" t="str">
        <f>"FY"&amp;C4</f>
        <v>FY2018-19</v>
      </c>
      <c r="T2" s="18"/>
      <c r="U2" s="18"/>
      <c r="V2" s="18"/>
      <c r="W2" s="18"/>
      <c r="X2" s="18"/>
      <c r="Y2" s="18"/>
      <c r="Z2" s="29" t="str">
        <f>"FY"&amp;$C$4</f>
        <v>FY2018-19</v>
      </c>
      <c r="AA2" s="18"/>
      <c r="AB2" s="29"/>
      <c r="AC2" s="18"/>
      <c r="AD2" s="18"/>
      <c r="AE2" s="18"/>
      <c r="AF2" s="18"/>
      <c r="AG2" s="29" t="str">
        <f>"FY"&amp;$C$4</f>
        <v>FY2018-19</v>
      </c>
      <c r="AH2" s="41"/>
      <c r="AI2" s="41"/>
      <c r="AJ2" s="28"/>
      <c r="AK2" s="28"/>
    </row>
    <row r="3" spans="1:37" ht="16.350000000000001" customHeight="1" x14ac:dyDescent="0.25">
      <c r="A3" s="29" t="s">
        <v>1</v>
      </c>
      <c r="B3" s="41"/>
      <c r="C3" s="39">
        <v>5366</v>
      </c>
      <c r="D3" s="39"/>
      <c r="E3" s="39"/>
      <c r="F3" s="39"/>
      <c r="G3" s="29"/>
      <c r="H3" s="18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/>
      <c r="AK3" s="42"/>
    </row>
    <row r="4" spans="1:37" ht="16.350000000000001" customHeight="1" x14ac:dyDescent="0.35">
      <c r="A4" s="29" t="s">
        <v>2</v>
      </c>
      <c r="B4" s="41"/>
      <c r="C4" s="39" t="s">
        <v>149</v>
      </c>
      <c r="D4" s="37"/>
      <c r="E4" s="37"/>
      <c r="F4" s="37"/>
      <c r="G4" s="18"/>
      <c r="H4" s="1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  <c r="AK4" s="42"/>
    </row>
    <row r="5" spans="1:37" ht="16.350000000000001" customHeight="1" x14ac:dyDescent="0.25">
      <c r="A5" s="29" t="s">
        <v>17</v>
      </c>
      <c r="B5" s="41"/>
      <c r="C5" s="29" t="s">
        <v>195</v>
      </c>
      <c r="D5" s="29"/>
      <c r="E5" s="29"/>
      <c r="F5" s="29"/>
      <c r="G5" s="18"/>
      <c r="H5" s="18"/>
      <c r="I5" s="65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0"/>
      <c r="AK5" s="40"/>
    </row>
    <row r="6" spans="1:37" ht="16.350000000000001" customHeight="1" x14ac:dyDescent="0.25">
      <c r="A6" s="29" t="s">
        <v>18</v>
      </c>
      <c r="B6" s="41"/>
      <c r="C6" s="39" t="s">
        <v>31</v>
      </c>
      <c r="D6" s="39"/>
      <c r="E6" s="39"/>
      <c r="F6" s="39"/>
      <c r="G6" s="18"/>
      <c r="H6" s="18"/>
      <c r="I6" s="65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0"/>
      <c r="AK6" s="40"/>
    </row>
    <row r="7" spans="1:37" ht="16.350000000000001" customHeight="1" thickBot="1" x14ac:dyDescent="0.4">
      <c r="A7" s="28"/>
      <c r="B7" s="41"/>
      <c r="C7" s="39"/>
      <c r="D7" s="39"/>
      <c r="E7" s="39"/>
      <c r="F7" s="39"/>
      <c r="G7" s="18"/>
      <c r="H7" s="18"/>
      <c r="I7" s="6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0"/>
      <c r="AK7" s="40"/>
    </row>
    <row r="8" spans="1:37" ht="30.75" thickBot="1" x14ac:dyDescent="0.3">
      <c r="A8" s="30" t="s">
        <v>130</v>
      </c>
      <c r="B8" s="12" t="s">
        <v>124</v>
      </c>
      <c r="C8" s="12" t="s">
        <v>14</v>
      </c>
      <c r="D8" s="12" t="s">
        <v>97</v>
      </c>
      <c r="E8" s="12" t="s">
        <v>146</v>
      </c>
      <c r="F8" s="12" t="s">
        <v>132</v>
      </c>
      <c r="G8" s="12" t="s">
        <v>15</v>
      </c>
      <c r="H8" s="10" t="s">
        <v>16</v>
      </c>
      <c r="I8" s="112" t="s">
        <v>60</v>
      </c>
      <c r="J8" s="112" t="s">
        <v>61</v>
      </c>
      <c r="K8" s="112" t="s">
        <v>62</v>
      </c>
      <c r="L8" s="112" t="s">
        <v>110</v>
      </c>
      <c r="M8" s="112" t="s">
        <v>111</v>
      </c>
      <c r="N8" s="112" t="s">
        <v>121</v>
      </c>
      <c r="O8" s="112" t="s">
        <v>112</v>
      </c>
      <c r="P8" s="112" t="s">
        <v>113</v>
      </c>
      <c r="Q8" s="112" t="s">
        <v>114</v>
      </c>
      <c r="R8" s="112" t="s">
        <v>115</v>
      </c>
      <c r="S8" s="112" t="s">
        <v>116</v>
      </c>
      <c r="T8" s="112" t="s">
        <v>117</v>
      </c>
      <c r="U8" s="112" t="s">
        <v>118</v>
      </c>
      <c r="V8" s="112" t="s">
        <v>119</v>
      </c>
      <c r="W8" s="112" t="s">
        <v>120</v>
      </c>
      <c r="X8" s="43" t="s">
        <v>150</v>
      </c>
      <c r="Y8" s="47" t="s">
        <v>151</v>
      </c>
      <c r="Z8" s="43" t="s">
        <v>122</v>
      </c>
      <c r="AA8" s="43" t="s">
        <v>196</v>
      </c>
      <c r="AB8" s="43" t="s">
        <v>197</v>
      </c>
      <c r="AC8" s="43" t="s">
        <v>198</v>
      </c>
      <c r="AD8" s="43" t="s">
        <v>199</v>
      </c>
      <c r="AE8" s="43" t="s">
        <v>200</v>
      </c>
      <c r="AF8" s="43" t="s">
        <v>201</v>
      </c>
      <c r="AG8" s="47" t="s">
        <v>202</v>
      </c>
      <c r="AH8" s="43" t="s">
        <v>203</v>
      </c>
      <c r="AI8" s="43" t="s">
        <v>204</v>
      </c>
      <c r="AJ8" s="43" t="s">
        <v>144</v>
      </c>
      <c r="AK8" s="43" t="s">
        <v>145</v>
      </c>
    </row>
    <row r="9" spans="1:37" ht="15.75" thickBot="1" x14ac:dyDescent="0.3">
      <c r="A9" s="66"/>
      <c r="B9" s="67"/>
      <c r="C9" s="68">
        <v>0</v>
      </c>
      <c r="D9" s="68"/>
      <c r="E9" s="68"/>
      <c r="F9" s="68">
        <f t="shared" ref="F9:F14" si="0">C9+D9+E9</f>
        <v>0</v>
      </c>
      <c r="G9" s="80">
        <f t="shared" ref="G9:G14" si="1">SUM(I9:AI9)</f>
        <v>0</v>
      </c>
      <c r="H9" s="68">
        <f t="shared" ref="H9:H14" si="2">F9-G9</f>
        <v>0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</row>
    <row r="10" spans="1:37" ht="15.75" thickBot="1" x14ac:dyDescent="0.3">
      <c r="A10" s="66"/>
      <c r="B10" s="67"/>
      <c r="C10" s="68">
        <v>0</v>
      </c>
      <c r="D10" s="68"/>
      <c r="E10" s="68"/>
      <c r="F10" s="68">
        <f t="shared" si="0"/>
        <v>0</v>
      </c>
      <c r="G10" s="80">
        <f t="shared" si="1"/>
        <v>0</v>
      </c>
      <c r="H10" s="68">
        <f t="shared" si="2"/>
        <v>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</row>
    <row r="11" spans="1:37" ht="15.75" thickBot="1" x14ac:dyDescent="0.3">
      <c r="A11" s="66"/>
      <c r="B11" s="67"/>
      <c r="C11" s="68">
        <v>0</v>
      </c>
      <c r="D11" s="68"/>
      <c r="E11" s="68"/>
      <c r="F11" s="68">
        <f t="shared" si="0"/>
        <v>0</v>
      </c>
      <c r="G11" s="80">
        <f t="shared" si="1"/>
        <v>0</v>
      </c>
      <c r="H11" s="68">
        <f t="shared" si="2"/>
        <v>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1:37" s="4" customFormat="1" ht="15.75" thickBot="1" x14ac:dyDescent="0.3">
      <c r="A12" s="118"/>
      <c r="B12" s="67"/>
      <c r="C12" s="119">
        <v>0</v>
      </c>
      <c r="D12" s="119"/>
      <c r="E12" s="68"/>
      <c r="F12" s="68">
        <f t="shared" si="0"/>
        <v>0</v>
      </c>
      <c r="G12" s="120">
        <f t="shared" si="1"/>
        <v>0</v>
      </c>
      <c r="H12" s="119">
        <f t="shared" si="2"/>
        <v>0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</row>
    <row r="13" spans="1:37" ht="15.75" thickBot="1" x14ac:dyDescent="0.3">
      <c r="A13" s="66"/>
      <c r="B13" s="67"/>
      <c r="C13" s="68">
        <v>0</v>
      </c>
      <c r="D13" s="68"/>
      <c r="E13" s="68"/>
      <c r="F13" s="68">
        <f t="shared" si="0"/>
        <v>0</v>
      </c>
      <c r="G13" s="80">
        <f t="shared" si="1"/>
        <v>0</v>
      </c>
      <c r="H13" s="68">
        <f t="shared" si="2"/>
        <v>0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</row>
    <row r="14" spans="1:37" ht="15.75" thickBot="1" x14ac:dyDescent="0.3">
      <c r="A14" s="66"/>
      <c r="B14" s="67"/>
      <c r="C14" s="68">
        <v>0</v>
      </c>
      <c r="D14" s="68"/>
      <c r="E14" s="68"/>
      <c r="F14" s="68">
        <f t="shared" si="0"/>
        <v>0</v>
      </c>
      <c r="G14" s="80">
        <f t="shared" si="1"/>
        <v>0</v>
      </c>
      <c r="H14" s="68">
        <f t="shared" si="2"/>
        <v>0</v>
      </c>
      <c r="I14" s="69"/>
      <c r="J14" s="81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2"/>
      <c r="AK14" s="62"/>
    </row>
    <row r="15" spans="1:37" ht="15.75" thickBot="1" x14ac:dyDescent="0.3">
      <c r="A15" s="66"/>
      <c r="B15" s="67"/>
      <c r="C15" s="68"/>
      <c r="D15" s="68"/>
      <c r="E15" s="68"/>
      <c r="F15" s="97"/>
      <c r="G15" s="70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2"/>
      <c r="AK15" s="62"/>
    </row>
    <row r="16" spans="1:37" s="14" customFormat="1" ht="15.75" thickBot="1" x14ac:dyDescent="0.3">
      <c r="A16" s="71" t="s">
        <v>44</v>
      </c>
      <c r="B16" s="20"/>
      <c r="C16" s="72">
        <f>SUM(C9:C14)</f>
        <v>0</v>
      </c>
      <c r="D16" s="72">
        <f>SUM(D9:D14)</f>
        <v>0</v>
      </c>
      <c r="E16" s="68"/>
      <c r="F16" s="72">
        <f>SUM(F9:F14)</f>
        <v>0</v>
      </c>
      <c r="G16" s="82">
        <f t="shared" ref="G16:AK16" si="3">SUM(G9:G14)</f>
        <v>0</v>
      </c>
      <c r="H16" s="82">
        <f t="shared" si="3"/>
        <v>0</v>
      </c>
      <c r="I16" s="72">
        <f t="shared" si="3"/>
        <v>0</v>
      </c>
      <c r="J16" s="82">
        <f t="shared" si="3"/>
        <v>0</v>
      </c>
      <c r="K16" s="72">
        <f t="shared" si="3"/>
        <v>0</v>
      </c>
      <c r="L16" s="72">
        <f t="shared" si="3"/>
        <v>0</v>
      </c>
      <c r="M16" s="72">
        <f t="shared" si="3"/>
        <v>0</v>
      </c>
      <c r="N16" s="72">
        <f t="shared" si="3"/>
        <v>0</v>
      </c>
      <c r="O16" s="72">
        <f t="shared" si="3"/>
        <v>0</v>
      </c>
      <c r="P16" s="72">
        <f t="shared" si="3"/>
        <v>0</v>
      </c>
      <c r="Q16" s="72">
        <f t="shared" si="3"/>
        <v>0</v>
      </c>
      <c r="R16" s="72">
        <f t="shared" si="3"/>
        <v>0</v>
      </c>
      <c r="S16" s="72">
        <f t="shared" si="3"/>
        <v>0</v>
      </c>
      <c r="T16" s="72">
        <f t="shared" si="3"/>
        <v>0</v>
      </c>
      <c r="U16" s="72">
        <f t="shared" si="3"/>
        <v>0</v>
      </c>
      <c r="V16" s="72">
        <f t="shared" si="3"/>
        <v>0</v>
      </c>
      <c r="W16" s="72">
        <f t="shared" si="3"/>
        <v>0</v>
      </c>
      <c r="X16" s="72">
        <f t="shared" si="3"/>
        <v>0</v>
      </c>
      <c r="Y16" s="72">
        <f t="shared" si="3"/>
        <v>0</v>
      </c>
      <c r="Z16" s="72">
        <f t="shared" si="3"/>
        <v>0</v>
      </c>
      <c r="AA16" s="72">
        <f t="shared" si="3"/>
        <v>0</v>
      </c>
      <c r="AB16" s="72">
        <f t="shared" si="3"/>
        <v>0</v>
      </c>
      <c r="AC16" s="72">
        <f t="shared" si="3"/>
        <v>0</v>
      </c>
      <c r="AD16" s="72">
        <f t="shared" si="3"/>
        <v>0</v>
      </c>
      <c r="AE16" s="72">
        <f t="shared" si="3"/>
        <v>0</v>
      </c>
      <c r="AF16" s="72">
        <f t="shared" si="3"/>
        <v>0</v>
      </c>
      <c r="AG16" s="72">
        <f t="shared" si="3"/>
        <v>0</v>
      </c>
      <c r="AH16" s="72">
        <f t="shared" si="3"/>
        <v>0</v>
      </c>
      <c r="AI16" s="72">
        <f t="shared" si="3"/>
        <v>0</v>
      </c>
      <c r="AJ16" s="72">
        <f t="shared" si="3"/>
        <v>0</v>
      </c>
      <c r="AK16" s="72">
        <f t="shared" si="3"/>
        <v>0</v>
      </c>
    </row>
    <row r="17" spans="3:37" x14ac:dyDescent="0.25">
      <c r="C17" s="16"/>
      <c r="D17" s="16"/>
      <c r="E17" s="16"/>
      <c r="F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3:37" x14ac:dyDescent="0.25">
      <c r="C18" s="16"/>
      <c r="D18" s="16"/>
      <c r="E18" s="16"/>
      <c r="F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3:37" x14ac:dyDescent="0.25">
      <c r="C19" s="16"/>
      <c r="D19" s="16"/>
      <c r="E19" s="16"/>
      <c r="F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AJ19" s="62"/>
      <c r="AK19" s="62"/>
    </row>
    <row r="20" spans="3:37" x14ac:dyDescent="0.25">
      <c r="C20" s="16"/>
      <c r="D20" s="16"/>
      <c r="E20" s="16"/>
      <c r="F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3:37" x14ac:dyDescent="0.25">
      <c r="C21" s="16"/>
      <c r="D21" s="16"/>
      <c r="E21" s="16"/>
      <c r="F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AJ21" s="62"/>
      <c r="AK21" s="62"/>
    </row>
    <row r="22" spans="3:37" x14ac:dyDescent="0.25">
      <c r="C22" s="16"/>
      <c r="D22" s="16"/>
      <c r="E22" s="16"/>
      <c r="F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3:37" x14ac:dyDescent="0.25">
      <c r="C23" s="16"/>
      <c r="D23" s="16"/>
      <c r="E23" s="16"/>
      <c r="F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3:37" x14ac:dyDescent="0.25">
      <c r="C24" s="16"/>
      <c r="D24" s="16"/>
      <c r="E24" s="16"/>
      <c r="F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3:37" x14ac:dyDescent="0.25">
      <c r="C25" s="16"/>
      <c r="D25" s="16"/>
      <c r="E25" s="16"/>
      <c r="F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AJ25" s="62"/>
      <c r="AK25" s="62"/>
    </row>
    <row r="26" spans="3:37" x14ac:dyDescent="0.25">
      <c r="C26" s="16"/>
      <c r="D26" s="16"/>
      <c r="E26" s="16"/>
      <c r="F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AJ26" s="62"/>
      <c r="AK26" s="62"/>
    </row>
    <row r="27" spans="3:37" x14ac:dyDescent="0.25">
      <c r="C27" s="16"/>
      <c r="D27" s="16"/>
      <c r="E27" s="16"/>
      <c r="F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3:37" x14ac:dyDescent="0.25">
      <c r="C28" s="16"/>
      <c r="D28" s="16"/>
      <c r="E28" s="16"/>
      <c r="F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3:37" x14ac:dyDescent="0.25">
      <c r="C29" s="16"/>
      <c r="D29" s="16"/>
      <c r="E29" s="16"/>
      <c r="F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3:37" x14ac:dyDescent="0.25">
      <c r="C30" s="16"/>
      <c r="D30" s="16"/>
      <c r="E30" s="16"/>
      <c r="F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3:37" x14ac:dyDescent="0.25">
      <c r="C31" s="16"/>
      <c r="D31" s="16"/>
      <c r="E31" s="16"/>
      <c r="F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AJ31" s="62"/>
      <c r="AK31" s="62"/>
    </row>
    <row r="32" spans="3:37" x14ac:dyDescent="0.25">
      <c r="C32" s="16"/>
      <c r="D32" s="16"/>
      <c r="E32" s="16"/>
      <c r="F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AJ32" s="62"/>
      <c r="AK32" s="62"/>
    </row>
    <row r="33" spans="3:37" x14ac:dyDescent="0.25">
      <c r="C33" s="16"/>
      <c r="D33" s="16"/>
      <c r="E33" s="16"/>
      <c r="F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3:37" x14ac:dyDescent="0.25">
      <c r="C34" s="16"/>
      <c r="D34" s="16"/>
      <c r="E34" s="16"/>
      <c r="F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AJ34" s="62"/>
      <c r="AK34" s="62"/>
    </row>
    <row r="35" spans="3:37" x14ac:dyDescent="0.25">
      <c r="C35" s="16"/>
      <c r="D35" s="16"/>
      <c r="E35" s="16"/>
      <c r="F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3:37" x14ac:dyDescent="0.25">
      <c r="C36" s="16"/>
      <c r="D36" s="16"/>
      <c r="E36" s="16"/>
      <c r="F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3:37" x14ac:dyDescent="0.25">
      <c r="C37" s="16"/>
      <c r="D37" s="16"/>
      <c r="E37" s="16"/>
      <c r="F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3:37" x14ac:dyDescent="0.25">
      <c r="C38" s="16"/>
      <c r="D38" s="16"/>
      <c r="E38" s="16"/>
      <c r="F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AJ38" s="16"/>
      <c r="AK38" s="16"/>
    </row>
    <row r="39" spans="3:37" x14ac:dyDescent="0.2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J39" s="16"/>
      <c r="AK39" s="16"/>
    </row>
    <row r="40" spans="3:37" x14ac:dyDescent="0.2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AJ40" s="16"/>
      <c r="AK40" s="16"/>
    </row>
    <row r="41" spans="3:37" x14ac:dyDescent="0.2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AJ41" s="16"/>
      <c r="AK41" s="16"/>
    </row>
    <row r="42" spans="3:37" x14ac:dyDescent="0.2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AJ42" s="16"/>
      <c r="AK42" s="16"/>
    </row>
    <row r="43" spans="3:37" x14ac:dyDescent="0.2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AJ43" s="16"/>
      <c r="AK43" s="16"/>
    </row>
    <row r="44" spans="3:37" x14ac:dyDescent="0.2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AJ44" s="16"/>
      <c r="AK44" s="16"/>
    </row>
    <row r="45" spans="3:37" x14ac:dyDescent="0.2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AJ45" s="16"/>
      <c r="AK45" s="16"/>
    </row>
    <row r="46" spans="3:37" x14ac:dyDescent="0.2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AJ46" s="16"/>
      <c r="AK46" s="16"/>
    </row>
    <row r="47" spans="3:37" x14ac:dyDescent="0.2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AJ47" s="16"/>
      <c r="AK47" s="16"/>
    </row>
    <row r="48" spans="3:37" x14ac:dyDescent="0.2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AJ48" s="16"/>
      <c r="AK48" s="16"/>
    </row>
    <row r="49" spans="9:37" x14ac:dyDescent="0.2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AJ49" s="16"/>
      <c r="AK49" s="16"/>
    </row>
    <row r="50" spans="9:37" x14ac:dyDescent="0.25"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AJ50" s="16"/>
      <c r="AK50" s="16"/>
    </row>
    <row r="51" spans="9:37" x14ac:dyDescent="0.25"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9:37" x14ac:dyDescent="0.25"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9:37" x14ac:dyDescent="0.25"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9:37" x14ac:dyDescent="0.25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9:37" x14ac:dyDescent="0.25"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9:37" x14ac:dyDescent="0.25"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</sheetData>
  <sheetProtection algorithmName="SHA-512" hashValue="upr7sUHD+JzMSb8Qng3yz9GRBYde5hBxCixWXxlTna11wIP9UMjkaG7L/Be96PnFJUa+U7EuDKbnA+dgS9R/Xg==" saltValue="ziG9GptmyQV6S5VLL4B98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53">
    <tabColor theme="2"/>
  </sheetPr>
  <dimension ref="A1:Z22"/>
  <sheetViews>
    <sheetView zoomScale="90" zoomScaleNormal="90" workbookViewId="0">
      <pane xSplit="7" ySplit="8" topLeftCell="L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U9" sqref="U9"/>
    </sheetView>
  </sheetViews>
  <sheetFormatPr defaultColWidth="9.42578125" defaultRowHeight="15" x14ac:dyDescent="0.25"/>
  <cols>
    <col min="2" max="2" width="36.5703125" customWidth="1"/>
    <col min="3" max="6" width="14.42578125" customWidth="1"/>
    <col min="7" max="7" width="17.5703125" customWidth="1"/>
    <col min="8" max="8" width="12.42578125" customWidth="1"/>
    <col min="9" max="9" width="12.5703125" customWidth="1"/>
    <col min="10" max="10" width="12" customWidth="1"/>
    <col min="11" max="11" width="11.5703125" customWidth="1"/>
    <col min="12" max="12" width="12.42578125" customWidth="1"/>
    <col min="13" max="13" width="12.5703125" customWidth="1"/>
    <col min="14" max="14" width="12.42578125" customWidth="1"/>
    <col min="15" max="15" width="13.42578125" customWidth="1"/>
    <col min="16" max="16" width="12.42578125" customWidth="1"/>
    <col min="17" max="17" width="13.5703125" customWidth="1"/>
    <col min="18" max="18" width="12.5703125" customWidth="1"/>
    <col min="19" max="19" width="13.42578125" customWidth="1"/>
    <col min="20" max="20" width="13" customWidth="1"/>
    <col min="21" max="22" width="15.5703125" customWidth="1"/>
    <col min="23" max="23" width="12.5703125" bestFit="1" customWidth="1"/>
    <col min="24" max="24" width="15" bestFit="1" customWidth="1"/>
    <col min="25" max="25" width="14.5703125" bestFit="1" customWidth="1"/>
    <col min="26" max="26" width="12.42578125" bestFit="1" customWidth="1"/>
  </cols>
  <sheetData>
    <row r="1" spans="1:26" ht="21" x14ac:dyDescent="0.35">
      <c r="A1" s="28" t="s">
        <v>0</v>
      </c>
      <c r="B1" s="41"/>
      <c r="C1" s="37" t="s">
        <v>278</v>
      </c>
      <c r="D1" s="37"/>
      <c r="E1" s="37"/>
      <c r="F1" s="28"/>
      <c r="G1" s="38"/>
      <c r="H1" s="42"/>
      <c r="I1" s="42"/>
      <c r="J1" s="37"/>
      <c r="K1" s="37"/>
      <c r="L1" s="28"/>
      <c r="M1" s="28"/>
      <c r="N1" s="37" t="str">
        <f>$C$1</f>
        <v>Title III PD</v>
      </c>
      <c r="O1" s="38"/>
      <c r="P1" s="42"/>
      <c r="Q1" s="37"/>
      <c r="R1" s="37"/>
      <c r="S1" s="37"/>
      <c r="T1" s="37" t="str">
        <f>$C$1</f>
        <v>Title III PD</v>
      </c>
      <c r="U1" s="28"/>
      <c r="V1" s="38"/>
      <c r="W1" s="38"/>
      <c r="X1" s="37"/>
      <c r="Y1" s="38"/>
      <c r="Z1" s="38"/>
    </row>
    <row r="2" spans="1:26" ht="21" x14ac:dyDescent="0.35">
      <c r="A2" s="28" t="s">
        <v>137</v>
      </c>
      <c r="B2" s="38"/>
      <c r="C2" s="28" t="s">
        <v>377</v>
      </c>
      <c r="D2" s="28"/>
      <c r="E2" s="28"/>
      <c r="F2" s="29"/>
      <c r="G2" s="18"/>
      <c r="H2" s="42"/>
      <c r="I2" s="42"/>
      <c r="J2" s="29"/>
      <c r="K2" s="37"/>
      <c r="L2" s="37" t="s">
        <v>32</v>
      </c>
      <c r="M2" s="39"/>
      <c r="N2" s="29" t="str">
        <f>"FY"&amp;$C$4</f>
        <v>FY2020-21</v>
      </c>
      <c r="O2" s="18"/>
      <c r="P2" s="18"/>
      <c r="Q2" s="29"/>
      <c r="R2" s="29"/>
      <c r="S2" s="37"/>
      <c r="T2" s="29" t="str">
        <f>"FY"&amp;$C$4</f>
        <v>FY2020-21</v>
      </c>
      <c r="U2" s="39"/>
      <c r="V2" s="18"/>
      <c r="W2" s="38"/>
      <c r="X2" s="29"/>
      <c r="Y2" s="38"/>
      <c r="Z2" s="38"/>
    </row>
    <row r="3" spans="1:26" ht="16.350000000000001" customHeight="1" x14ac:dyDescent="0.35">
      <c r="A3" s="29" t="s">
        <v>1</v>
      </c>
      <c r="B3" s="41"/>
      <c r="C3" s="39">
        <v>5365</v>
      </c>
      <c r="D3" s="39"/>
      <c r="E3" s="39"/>
      <c r="F3" s="29"/>
      <c r="G3" s="1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8"/>
      <c r="X3" s="38"/>
      <c r="Y3" s="38"/>
      <c r="Z3" s="38"/>
    </row>
    <row r="4" spans="1:26" ht="16.350000000000001" customHeight="1" x14ac:dyDescent="0.35">
      <c r="A4" s="29" t="s">
        <v>2</v>
      </c>
      <c r="B4" s="41"/>
      <c r="C4" s="39" t="s">
        <v>401</v>
      </c>
      <c r="D4" s="39"/>
      <c r="E4" s="39"/>
      <c r="F4" s="18"/>
      <c r="G4" s="1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38"/>
      <c r="X4" s="38"/>
      <c r="Y4" s="38"/>
      <c r="Z4" s="38"/>
    </row>
    <row r="5" spans="1:26" ht="16.350000000000001" customHeight="1" x14ac:dyDescent="0.35">
      <c r="A5" s="29" t="s">
        <v>375</v>
      </c>
      <c r="B5" s="41"/>
      <c r="C5" s="54" t="s">
        <v>571</v>
      </c>
      <c r="D5" s="101"/>
      <c r="E5" s="101"/>
      <c r="F5" s="29"/>
      <c r="G5" s="9"/>
      <c r="H5" s="9"/>
      <c r="I5" s="9"/>
      <c r="J5" s="9"/>
      <c r="K5" s="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38"/>
      <c r="X5" s="38"/>
      <c r="Y5" s="38"/>
      <c r="Z5" s="38"/>
    </row>
    <row r="6" spans="1:26" ht="16.350000000000001" customHeight="1" x14ac:dyDescent="0.35">
      <c r="A6" s="29"/>
      <c r="B6" s="41"/>
      <c r="C6" s="29"/>
      <c r="D6" s="29"/>
      <c r="E6" s="29"/>
      <c r="F6" s="29"/>
      <c r="G6" s="9"/>
      <c r="H6" s="9"/>
      <c r="I6" s="9"/>
      <c r="J6" s="9"/>
      <c r="K6" s="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38"/>
      <c r="X6" s="38"/>
      <c r="Y6" s="38"/>
      <c r="Z6" s="38"/>
    </row>
    <row r="7" spans="1:26" ht="16.350000000000001" customHeight="1" thickBot="1" x14ac:dyDescent="0.4">
      <c r="A7" s="29"/>
      <c r="B7" s="41"/>
      <c r="C7" s="29"/>
      <c r="D7" s="29"/>
      <c r="E7" s="29"/>
      <c r="F7" s="29"/>
      <c r="G7" s="9"/>
      <c r="H7" s="9"/>
      <c r="I7" s="9"/>
      <c r="J7" s="9"/>
      <c r="K7" s="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8"/>
      <c r="X7" s="38"/>
      <c r="Y7" s="38"/>
      <c r="Z7" s="38"/>
    </row>
    <row r="8" spans="1:26" s="100" customFormat="1" ht="30.75" thickBot="1" x14ac:dyDescent="0.3">
      <c r="A8" s="43" t="s">
        <v>130</v>
      </c>
      <c r="B8" s="43" t="s">
        <v>42</v>
      </c>
      <c r="C8" s="43" t="s">
        <v>14</v>
      </c>
      <c r="D8" s="43" t="s">
        <v>97</v>
      </c>
      <c r="E8" s="43" t="s">
        <v>132</v>
      </c>
      <c r="F8" s="43" t="s">
        <v>15</v>
      </c>
      <c r="G8" s="22" t="s">
        <v>16</v>
      </c>
      <c r="H8" s="23" t="s">
        <v>202</v>
      </c>
      <c r="I8" s="24" t="s">
        <v>203</v>
      </c>
      <c r="J8" s="23" t="s">
        <v>204</v>
      </c>
      <c r="K8" s="24" t="s">
        <v>313</v>
      </c>
      <c r="L8" s="23" t="s">
        <v>314</v>
      </c>
      <c r="M8" s="24" t="s">
        <v>373</v>
      </c>
      <c r="N8" s="24" t="s">
        <v>402</v>
      </c>
      <c r="O8" s="24" t="s">
        <v>403</v>
      </c>
      <c r="P8" s="24" t="s">
        <v>404</v>
      </c>
      <c r="Q8" s="24" t="s">
        <v>405</v>
      </c>
      <c r="R8" s="24" t="s">
        <v>406</v>
      </c>
      <c r="S8" s="24" t="s">
        <v>407</v>
      </c>
      <c r="T8" s="23" t="s">
        <v>408</v>
      </c>
      <c r="U8" s="24" t="s">
        <v>409</v>
      </c>
      <c r="V8" s="24" t="s">
        <v>410</v>
      </c>
      <c r="W8" s="24" t="s">
        <v>411</v>
      </c>
      <c r="X8" s="23" t="s">
        <v>412</v>
      </c>
      <c r="Y8" s="24" t="s">
        <v>122</v>
      </c>
      <c r="Z8" s="12" t="s">
        <v>144</v>
      </c>
    </row>
    <row r="9" spans="1:26" s="99" customFormat="1" ht="30.75" thickBot="1" x14ac:dyDescent="0.35">
      <c r="A9" s="114" t="s">
        <v>34</v>
      </c>
      <c r="B9" s="56" t="s">
        <v>83</v>
      </c>
      <c r="C9" s="196">
        <v>20000</v>
      </c>
      <c r="D9" s="188">
        <v>0</v>
      </c>
      <c r="E9" s="188">
        <f>SUM(C9:D9)</f>
        <v>20000</v>
      </c>
      <c r="F9" s="196">
        <f>SUM(H9:Z9)</f>
        <v>16353.51</v>
      </c>
      <c r="G9" s="196">
        <f>C9-F9</f>
        <v>3646.49</v>
      </c>
      <c r="H9" s="197"/>
      <c r="I9" s="197"/>
      <c r="J9" s="197">
        <v>10524</v>
      </c>
      <c r="K9" s="197"/>
      <c r="L9" s="197"/>
      <c r="M9" s="197"/>
      <c r="N9" s="197"/>
      <c r="O9" s="197"/>
      <c r="P9" s="197"/>
      <c r="Q9" s="197"/>
      <c r="R9" s="197">
        <v>1949</v>
      </c>
      <c r="S9" s="197">
        <v>1949</v>
      </c>
      <c r="T9" s="197">
        <v>1931.51</v>
      </c>
      <c r="U9" s="197"/>
      <c r="V9" s="197"/>
      <c r="W9" s="197"/>
      <c r="X9" s="197"/>
      <c r="Y9" s="197"/>
      <c r="Z9" s="197"/>
    </row>
    <row r="10" spans="1:26" ht="15.75" thickBot="1" x14ac:dyDescent="0.3">
      <c r="A10" s="56"/>
      <c r="B10" s="56"/>
      <c r="C10" s="198"/>
      <c r="D10" s="198"/>
      <c r="E10" s="198"/>
      <c r="F10" s="198"/>
      <c r="G10" s="198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s="98" customFormat="1" ht="15.75" thickBot="1" x14ac:dyDescent="0.3">
      <c r="A11" s="58" t="s">
        <v>44</v>
      </c>
      <c r="B11" s="58"/>
      <c r="C11" s="199">
        <f>SUM(C9:C9)</f>
        <v>20000</v>
      </c>
      <c r="D11" s="199">
        <v>0</v>
      </c>
      <c r="E11" s="199">
        <f>C11+D11</f>
        <v>20000</v>
      </c>
      <c r="F11" s="199">
        <f t="shared" ref="F11:Z11" si="0">SUM(F9:F9)</f>
        <v>16353.51</v>
      </c>
      <c r="G11" s="199">
        <f t="shared" si="0"/>
        <v>3646.49</v>
      </c>
      <c r="H11" s="199">
        <f t="shared" si="0"/>
        <v>0</v>
      </c>
      <c r="I11" s="199">
        <f t="shared" si="0"/>
        <v>0</v>
      </c>
      <c r="J11" s="199">
        <f t="shared" si="0"/>
        <v>10524</v>
      </c>
      <c r="K11" s="199">
        <f t="shared" si="0"/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199">
        <f t="shared" si="0"/>
        <v>0</v>
      </c>
      <c r="Q11" s="199">
        <f t="shared" si="0"/>
        <v>0</v>
      </c>
      <c r="R11" s="199">
        <f t="shared" si="0"/>
        <v>1949</v>
      </c>
      <c r="S11" s="199">
        <f t="shared" si="0"/>
        <v>1949</v>
      </c>
      <c r="T11" s="199">
        <f t="shared" si="0"/>
        <v>1931.51</v>
      </c>
      <c r="U11" s="199">
        <f t="shared" si="0"/>
        <v>0</v>
      </c>
      <c r="V11" s="199">
        <f t="shared" si="0"/>
        <v>0</v>
      </c>
      <c r="W11" s="199">
        <f t="shared" si="0"/>
        <v>0</v>
      </c>
      <c r="X11" s="199">
        <f t="shared" si="0"/>
        <v>0</v>
      </c>
      <c r="Y11" s="199">
        <f t="shared" si="0"/>
        <v>0</v>
      </c>
      <c r="Z11" s="199">
        <f t="shared" si="0"/>
        <v>0</v>
      </c>
    </row>
    <row r="12" spans="1:26" x14ac:dyDescent="0.25">
      <c r="C12" s="6"/>
      <c r="D12" s="6"/>
      <c r="E12" s="6"/>
      <c r="F12" s="6"/>
      <c r="G12" s="6"/>
      <c r="H12" s="6"/>
      <c r="I12" s="6"/>
      <c r="J12" s="6">
        <v>10524</v>
      </c>
      <c r="K12" s="6"/>
      <c r="L12" s="6"/>
      <c r="M12" s="6"/>
      <c r="N12" s="6"/>
      <c r="O12" s="6"/>
      <c r="P12" s="6"/>
      <c r="Q12" s="6" t="s">
        <v>32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3:26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3:26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3:26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3:26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3:26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3:26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4A87-8E92-424C-BD4B-96C252DB6044}">
  <sheetPr codeName="Sheet17"/>
  <dimension ref="A1:K67"/>
  <sheetViews>
    <sheetView workbookViewId="0">
      <selection activeCell="H22" sqref="H22"/>
    </sheetView>
  </sheetViews>
  <sheetFormatPr defaultColWidth="8.85546875" defaultRowHeight="15" x14ac:dyDescent="0.25"/>
  <cols>
    <col min="1" max="1" width="14.140625" customWidth="1"/>
    <col min="2" max="2" width="21.85546875" customWidth="1"/>
    <col min="3" max="10" width="14.140625" customWidth="1"/>
  </cols>
  <sheetData>
    <row r="1" spans="1:11" x14ac:dyDescent="0.25">
      <c r="A1" s="341" t="s">
        <v>605</v>
      </c>
      <c r="B1" s="341" t="s">
        <v>604</v>
      </c>
      <c r="C1" s="341" t="s">
        <v>603</v>
      </c>
      <c r="D1" s="341" t="s">
        <v>602</v>
      </c>
      <c r="E1" s="341" t="s">
        <v>601</v>
      </c>
      <c r="F1" s="341" t="s">
        <v>600</v>
      </c>
      <c r="G1" s="341" t="s">
        <v>599</v>
      </c>
      <c r="H1" s="341" t="s">
        <v>598</v>
      </c>
      <c r="I1" s="341" t="s">
        <v>295</v>
      </c>
      <c r="J1" s="341" t="s">
        <v>296</v>
      </c>
    </row>
    <row r="2" spans="1:11" ht="30" x14ac:dyDescent="0.25">
      <c r="A2" s="340" t="s">
        <v>595</v>
      </c>
      <c r="B2" s="340" t="s">
        <v>594</v>
      </c>
      <c r="C2" s="340" t="s">
        <v>593</v>
      </c>
      <c r="D2" s="340" t="s">
        <v>596</v>
      </c>
      <c r="E2" s="340" t="s">
        <v>592</v>
      </c>
      <c r="F2" s="339">
        <v>6387.91</v>
      </c>
      <c r="G2" s="339">
        <v>0</v>
      </c>
      <c r="H2" s="339">
        <v>6387.91015625</v>
      </c>
      <c r="I2" s="339">
        <v>0</v>
      </c>
      <c r="J2" s="339">
        <v>0</v>
      </c>
      <c r="K2">
        <f>VLOOKUP(D2,'Charter School Remote Learning'!$C$9:$E$72,3,FALSE)</f>
        <v>0</v>
      </c>
    </row>
    <row r="3" spans="1:11" ht="30" x14ac:dyDescent="0.25">
      <c r="A3" s="340" t="s">
        <v>595</v>
      </c>
      <c r="B3" s="340" t="s">
        <v>594</v>
      </c>
      <c r="C3" s="340" t="s">
        <v>593</v>
      </c>
      <c r="D3" s="340" t="s">
        <v>443</v>
      </c>
      <c r="E3" s="340" t="s">
        <v>592</v>
      </c>
      <c r="F3" s="339">
        <v>35000</v>
      </c>
      <c r="G3" s="339">
        <v>0</v>
      </c>
      <c r="H3" s="339">
        <v>35000</v>
      </c>
      <c r="I3" s="339">
        <v>0</v>
      </c>
      <c r="J3" s="339">
        <v>0</v>
      </c>
      <c r="K3">
        <f>VLOOKUP(D3,'Charter School Remote Learning'!$C$9:$E$72,3,FALSE)</f>
        <v>0</v>
      </c>
    </row>
    <row r="4" spans="1:11" ht="30" x14ac:dyDescent="0.25">
      <c r="A4" s="340" t="s">
        <v>595</v>
      </c>
      <c r="B4" s="340" t="s">
        <v>594</v>
      </c>
      <c r="C4" s="340" t="s">
        <v>593</v>
      </c>
      <c r="D4" s="340" t="s">
        <v>391</v>
      </c>
      <c r="E4" s="340" t="s">
        <v>592</v>
      </c>
      <c r="F4" s="339">
        <v>35000</v>
      </c>
      <c r="G4" s="339">
        <v>0</v>
      </c>
      <c r="H4" s="339">
        <v>35000</v>
      </c>
      <c r="I4" s="339">
        <v>0</v>
      </c>
      <c r="J4" s="339">
        <v>0</v>
      </c>
      <c r="K4">
        <f>VLOOKUP(D4,'Charter School Remote Learning'!$C$9:$E$72,3,FALSE)</f>
        <v>0</v>
      </c>
    </row>
    <row r="5" spans="1:11" ht="30" x14ac:dyDescent="0.25">
      <c r="A5" s="340" t="s">
        <v>595</v>
      </c>
      <c r="B5" s="340" t="s">
        <v>594</v>
      </c>
      <c r="C5" s="340" t="s">
        <v>593</v>
      </c>
      <c r="D5" s="340" t="s">
        <v>472</v>
      </c>
      <c r="E5" s="340" t="s">
        <v>592</v>
      </c>
      <c r="F5" s="339">
        <v>17350</v>
      </c>
      <c r="G5" s="339">
        <v>0</v>
      </c>
      <c r="H5" s="339">
        <v>17350</v>
      </c>
      <c r="I5" s="339">
        <v>0</v>
      </c>
      <c r="J5" s="339">
        <v>0</v>
      </c>
      <c r="K5">
        <f>VLOOKUP(D5,'Charter School Remote Learning'!$C$9:$E$72,3,FALSE)</f>
        <v>0</v>
      </c>
    </row>
    <row r="6" spans="1:11" ht="30" x14ac:dyDescent="0.25">
      <c r="A6" s="340" t="s">
        <v>595</v>
      </c>
      <c r="B6" s="340" t="s">
        <v>594</v>
      </c>
      <c r="C6" s="340" t="s">
        <v>593</v>
      </c>
      <c r="D6" s="340" t="s">
        <v>446</v>
      </c>
      <c r="E6" s="340" t="s">
        <v>592</v>
      </c>
      <c r="F6" s="339">
        <v>15000</v>
      </c>
      <c r="G6" s="339">
        <v>0</v>
      </c>
      <c r="H6" s="339">
        <v>15000</v>
      </c>
      <c r="I6" s="339">
        <v>0</v>
      </c>
      <c r="J6" s="339">
        <v>0</v>
      </c>
      <c r="K6">
        <f>VLOOKUP(D6,'Charter School Remote Learning'!$C$9:$E$72,3,FALSE)</f>
        <v>0</v>
      </c>
    </row>
    <row r="7" spans="1:11" ht="30" x14ac:dyDescent="0.25">
      <c r="A7" s="340" t="s">
        <v>595</v>
      </c>
      <c r="B7" s="340" t="s">
        <v>594</v>
      </c>
      <c r="C7" s="340" t="s">
        <v>593</v>
      </c>
      <c r="D7" s="340" t="s">
        <v>487</v>
      </c>
      <c r="E7" s="340" t="s">
        <v>592</v>
      </c>
      <c r="F7" s="339">
        <v>34965</v>
      </c>
      <c r="G7" s="339">
        <v>0</v>
      </c>
      <c r="H7" s="339">
        <v>34965</v>
      </c>
      <c r="I7" s="339">
        <v>0</v>
      </c>
      <c r="J7" s="339">
        <v>0</v>
      </c>
      <c r="K7">
        <f>VLOOKUP(D7,'Charter School Remote Learning'!$C$9:$E$72,3,FALSE)</f>
        <v>0</v>
      </c>
    </row>
    <row r="8" spans="1:11" ht="30" x14ac:dyDescent="0.25">
      <c r="A8" s="340" t="s">
        <v>595</v>
      </c>
      <c r="B8" s="340" t="s">
        <v>594</v>
      </c>
      <c r="C8" s="340" t="s">
        <v>593</v>
      </c>
      <c r="D8" s="340" t="s">
        <v>448</v>
      </c>
      <c r="E8" s="340" t="s">
        <v>592</v>
      </c>
      <c r="F8" s="339">
        <v>25000</v>
      </c>
      <c r="G8" s="339">
        <v>0</v>
      </c>
      <c r="H8" s="339">
        <v>25000</v>
      </c>
      <c r="I8" s="339">
        <v>0</v>
      </c>
      <c r="J8" s="339">
        <v>0</v>
      </c>
      <c r="K8">
        <f>VLOOKUP(D8,'Charter School Remote Learning'!$C$9:$E$72,3,FALSE)</f>
        <v>0</v>
      </c>
    </row>
    <row r="9" spans="1:11" ht="30" x14ac:dyDescent="0.25">
      <c r="A9" s="340" t="s">
        <v>595</v>
      </c>
      <c r="B9" s="340" t="s">
        <v>594</v>
      </c>
      <c r="C9" s="340" t="s">
        <v>593</v>
      </c>
      <c r="D9" s="340" t="s">
        <v>475</v>
      </c>
      <c r="E9" s="340" t="s">
        <v>592</v>
      </c>
      <c r="F9" s="339">
        <v>25000</v>
      </c>
      <c r="G9" s="339">
        <v>0</v>
      </c>
      <c r="H9" s="339">
        <v>25000</v>
      </c>
      <c r="I9" s="339">
        <v>0</v>
      </c>
      <c r="J9" s="339">
        <v>0</v>
      </c>
      <c r="K9">
        <f>VLOOKUP(D9,'Charter School Remote Learning'!$C$9:$E$72,3,FALSE)</f>
        <v>0</v>
      </c>
    </row>
    <row r="10" spans="1:11" ht="30" x14ac:dyDescent="0.25">
      <c r="A10" s="340" t="s">
        <v>595</v>
      </c>
      <c r="B10" s="340" t="s">
        <v>594</v>
      </c>
      <c r="C10" s="340" t="s">
        <v>593</v>
      </c>
      <c r="D10" s="340" t="s">
        <v>486</v>
      </c>
      <c r="E10" s="340" t="s">
        <v>592</v>
      </c>
      <c r="F10" s="339">
        <v>25000</v>
      </c>
      <c r="G10" s="339">
        <v>0</v>
      </c>
      <c r="H10" s="339">
        <v>25000</v>
      </c>
      <c r="I10" s="339">
        <v>0</v>
      </c>
      <c r="J10" s="339">
        <v>0</v>
      </c>
      <c r="K10">
        <f>VLOOKUP(D10,'Charter School Remote Learning'!$C$9:$E$72,3,FALSE)</f>
        <v>0</v>
      </c>
    </row>
    <row r="11" spans="1:11" ht="30" x14ac:dyDescent="0.25">
      <c r="A11" s="340" t="s">
        <v>595</v>
      </c>
      <c r="B11" s="340" t="s">
        <v>594</v>
      </c>
      <c r="C11" s="340" t="s">
        <v>593</v>
      </c>
      <c r="D11" s="340" t="s">
        <v>449</v>
      </c>
      <c r="E11" s="340" t="s">
        <v>592</v>
      </c>
      <c r="F11" s="339">
        <v>25000</v>
      </c>
      <c r="G11" s="339">
        <v>0</v>
      </c>
      <c r="H11" s="339">
        <v>25000</v>
      </c>
      <c r="I11" s="339">
        <v>0</v>
      </c>
      <c r="J11" s="339">
        <v>0</v>
      </c>
      <c r="K11">
        <f>VLOOKUP(D11,'Charter School Remote Learning'!$C$9:$E$72,3,FALSE)</f>
        <v>0</v>
      </c>
    </row>
    <row r="12" spans="1:11" ht="30" x14ac:dyDescent="0.25">
      <c r="A12" s="340" t="s">
        <v>595</v>
      </c>
      <c r="B12" s="340" t="s">
        <v>594</v>
      </c>
      <c r="C12" s="340" t="s">
        <v>593</v>
      </c>
      <c r="D12" s="340" t="s">
        <v>580</v>
      </c>
      <c r="E12" s="340" t="s">
        <v>592</v>
      </c>
      <c r="F12" s="339">
        <v>35000</v>
      </c>
      <c r="G12" s="339">
        <v>0</v>
      </c>
      <c r="H12" s="339">
        <v>35000</v>
      </c>
      <c r="I12" s="339">
        <v>0</v>
      </c>
      <c r="J12" s="339">
        <v>0</v>
      </c>
      <c r="K12" t="e">
        <f>VLOOKUP(D12,'Charter School Remote Learning'!$C$9:$E$72,3,FALSE)</f>
        <v>#N/A</v>
      </c>
    </row>
    <row r="13" spans="1:11" ht="30" x14ac:dyDescent="0.25">
      <c r="A13" s="340" t="s">
        <v>595</v>
      </c>
      <c r="B13" s="340" t="s">
        <v>594</v>
      </c>
      <c r="C13" s="340" t="s">
        <v>593</v>
      </c>
      <c r="D13" s="340" t="s">
        <v>488</v>
      </c>
      <c r="E13" s="340" t="s">
        <v>592</v>
      </c>
      <c r="F13" s="339">
        <v>25000</v>
      </c>
      <c r="G13" s="339">
        <v>0</v>
      </c>
      <c r="H13" s="339">
        <v>25000</v>
      </c>
      <c r="I13" s="339">
        <v>0</v>
      </c>
      <c r="J13" s="339">
        <v>0</v>
      </c>
      <c r="K13">
        <f>VLOOKUP(D13,'Charter School Remote Learning'!$C$9:$E$72,3,FALSE)</f>
        <v>0</v>
      </c>
    </row>
    <row r="14" spans="1:11" ht="30" x14ac:dyDescent="0.25">
      <c r="A14" s="340" t="s">
        <v>595</v>
      </c>
      <c r="B14" s="340" t="s">
        <v>594</v>
      </c>
      <c r="C14" s="340" t="s">
        <v>593</v>
      </c>
      <c r="D14" s="340" t="s">
        <v>450</v>
      </c>
      <c r="E14" s="340" t="s">
        <v>592</v>
      </c>
      <c r="F14" s="339">
        <v>35000</v>
      </c>
      <c r="G14" s="339">
        <v>0</v>
      </c>
      <c r="H14" s="339">
        <v>35000</v>
      </c>
      <c r="I14" s="339">
        <v>0</v>
      </c>
      <c r="J14" s="339">
        <v>0</v>
      </c>
      <c r="K14">
        <f>VLOOKUP(D14,'Charter School Remote Learning'!$C$9:$E$72,3,FALSE)</f>
        <v>0</v>
      </c>
    </row>
    <row r="15" spans="1:11" ht="30" x14ac:dyDescent="0.25">
      <c r="A15" s="340" t="s">
        <v>595</v>
      </c>
      <c r="B15" s="340" t="s">
        <v>594</v>
      </c>
      <c r="C15" s="340" t="s">
        <v>593</v>
      </c>
      <c r="D15" s="340" t="s">
        <v>457</v>
      </c>
      <c r="E15" s="340" t="s">
        <v>592</v>
      </c>
      <c r="F15" s="339">
        <v>10000</v>
      </c>
      <c r="G15" s="339">
        <v>0</v>
      </c>
      <c r="H15" s="339">
        <v>10000</v>
      </c>
      <c r="I15" s="339">
        <v>0</v>
      </c>
      <c r="J15" s="339">
        <v>0</v>
      </c>
      <c r="K15">
        <f>VLOOKUP(D15,'Charter School Remote Learning'!$C$9:$E$72,3,FALSE)</f>
        <v>0</v>
      </c>
    </row>
    <row r="16" spans="1:11" ht="30" x14ac:dyDescent="0.25">
      <c r="A16" s="340" t="s">
        <v>595</v>
      </c>
      <c r="B16" s="340" t="s">
        <v>594</v>
      </c>
      <c r="C16" s="340" t="s">
        <v>593</v>
      </c>
      <c r="D16" s="340" t="s">
        <v>452</v>
      </c>
      <c r="E16" s="340" t="s">
        <v>592</v>
      </c>
      <c r="F16" s="339">
        <v>10000</v>
      </c>
      <c r="G16" s="339">
        <v>0</v>
      </c>
      <c r="H16" s="339">
        <v>10000</v>
      </c>
      <c r="I16" s="339">
        <v>0</v>
      </c>
      <c r="J16" s="339">
        <v>0</v>
      </c>
      <c r="K16">
        <f>VLOOKUP(D16,'Charter School Remote Learning'!$C$9:$E$72,3,FALSE)</f>
        <v>0</v>
      </c>
    </row>
    <row r="17" spans="1:11" ht="30" x14ac:dyDescent="0.25">
      <c r="A17" s="340" t="s">
        <v>595</v>
      </c>
      <c r="B17" s="340" t="s">
        <v>594</v>
      </c>
      <c r="C17" s="340" t="s">
        <v>593</v>
      </c>
      <c r="D17" s="340" t="s">
        <v>456</v>
      </c>
      <c r="E17" s="340" t="s">
        <v>592</v>
      </c>
      <c r="F17" s="339">
        <v>10000</v>
      </c>
      <c r="G17" s="339">
        <v>0</v>
      </c>
      <c r="H17" s="339">
        <v>10000</v>
      </c>
      <c r="I17" s="339">
        <v>0</v>
      </c>
      <c r="J17" s="339">
        <v>0</v>
      </c>
      <c r="K17">
        <f>VLOOKUP(D17,'Charter School Remote Learning'!$C$9:$E$72,3,FALSE)</f>
        <v>0</v>
      </c>
    </row>
    <row r="18" spans="1:11" ht="30" x14ac:dyDescent="0.25">
      <c r="A18" s="340" t="s">
        <v>595</v>
      </c>
      <c r="B18" s="340" t="s">
        <v>594</v>
      </c>
      <c r="C18" s="340" t="s">
        <v>593</v>
      </c>
      <c r="D18" s="340" t="s">
        <v>476</v>
      </c>
      <c r="E18" s="340" t="s">
        <v>592</v>
      </c>
      <c r="F18" s="339">
        <v>35000</v>
      </c>
      <c r="G18" s="339">
        <v>0</v>
      </c>
      <c r="H18" s="339">
        <v>35000</v>
      </c>
      <c r="I18" s="339">
        <v>0</v>
      </c>
      <c r="J18" s="339">
        <v>0</v>
      </c>
      <c r="K18">
        <f>VLOOKUP(D18,'Charter School Remote Learning'!$C$9:$E$72,3,FALSE)</f>
        <v>0</v>
      </c>
    </row>
    <row r="19" spans="1:11" ht="30" x14ac:dyDescent="0.25">
      <c r="A19" s="340" t="s">
        <v>595</v>
      </c>
      <c r="B19" s="340" t="s">
        <v>594</v>
      </c>
      <c r="C19" s="340" t="s">
        <v>593</v>
      </c>
      <c r="D19" s="340" t="s">
        <v>453</v>
      </c>
      <c r="E19" s="340" t="s">
        <v>592</v>
      </c>
      <c r="F19" s="339">
        <v>10000</v>
      </c>
      <c r="G19" s="339">
        <v>0</v>
      </c>
      <c r="H19" s="339">
        <v>10000</v>
      </c>
      <c r="I19" s="339">
        <v>0</v>
      </c>
      <c r="J19" s="339">
        <v>0</v>
      </c>
      <c r="K19">
        <f>VLOOKUP(D19,'Charter School Remote Learning'!$C$9:$E$72,3,FALSE)</f>
        <v>0</v>
      </c>
    </row>
    <row r="20" spans="1:11" ht="30" x14ac:dyDescent="0.25">
      <c r="A20" s="340" t="s">
        <v>595</v>
      </c>
      <c r="B20" s="340" t="s">
        <v>594</v>
      </c>
      <c r="C20" s="340" t="s">
        <v>593</v>
      </c>
      <c r="D20" s="340" t="s">
        <v>454</v>
      </c>
      <c r="E20" s="340" t="s">
        <v>592</v>
      </c>
      <c r="F20" s="339">
        <v>10000</v>
      </c>
      <c r="G20" s="339">
        <v>0</v>
      </c>
      <c r="H20" s="339">
        <v>10000</v>
      </c>
      <c r="I20" s="339">
        <v>0</v>
      </c>
      <c r="J20" s="339">
        <v>0</v>
      </c>
      <c r="K20">
        <f>VLOOKUP(D20,'Charter School Remote Learning'!$C$9:$E$72,3,FALSE)</f>
        <v>0</v>
      </c>
    </row>
    <row r="21" spans="1:11" ht="30" x14ac:dyDescent="0.25">
      <c r="A21" s="340" t="s">
        <v>595</v>
      </c>
      <c r="B21" s="340" t="s">
        <v>594</v>
      </c>
      <c r="C21" s="340" t="s">
        <v>593</v>
      </c>
      <c r="D21" s="340" t="s">
        <v>490</v>
      </c>
      <c r="E21" s="340" t="s">
        <v>592</v>
      </c>
      <c r="F21" s="339">
        <v>35000</v>
      </c>
      <c r="G21" s="339">
        <v>0</v>
      </c>
      <c r="H21" s="339">
        <v>35000</v>
      </c>
      <c r="I21" s="339">
        <v>0</v>
      </c>
      <c r="J21" s="339">
        <v>0</v>
      </c>
      <c r="K21">
        <f>VLOOKUP(D21,'Charter School Remote Learning'!$C$9:$E$72,3,FALSE)</f>
        <v>0</v>
      </c>
    </row>
    <row r="22" spans="1:11" ht="30" x14ac:dyDescent="0.25">
      <c r="A22" s="340" t="s">
        <v>595</v>
      </c>
      <c r="B22" s="340" t="s">
        <v>594</v>
      </c>
      <c r="C22" s="340" t="s">
        <v>593</v>
      </c>
      <c r="D22" s="340" t="s">
        <v>597</v>
      </c>
      <c r="E22" s="340" t="s">
        <v>592</v>
      </c>
      <c r="F22" s="339">
        <v>35000</v>
      </c>
      <c r="G22" s="339">
        <v>0</v>
      </c>
      <c r="H22" s="339">
        <v>35000</v>
      </c>
      <c r="I22" s="339">
        <v>0</v>
      </c>
      <c r="J22" s="339">
        <v>0</v>
      </c>
      <c r="K22" t="e">
        <f>VLOOKUP(D22,'Charter School Remote Learning'!$C$9:$E$72,3,FALSE)</f>
        <v>#N/A</v>
      </c>
    </row>
    <row r="23" spans="1:11" ht="30" x14ac:dyDescent="0.25">
      <c r="A23" s="340" t="s">
        <v>595</v>
      </c>
      <c r="B23" s="340" t="s">
        <v>594</v>
      </c>
      <c r="C23" s="340" t="s">
        <v>593</v>
      </c>
      <c r="D23" s="340" t="s">
        <v>447</v>
      </c>
      <c r="E23" s="340" t="s">
        <v>592</v>
      </c>
      <c r="F23" s="339">
        <v>24875.32</v>
      </c>
      <c r="G23" s="339">
        <v>0</v>
      </c>
      <c r="H23" s="339">
        <v>24875.3203125</v>
      </c>
      <c r="I23" s="339">
        <v>0</v>
      </c>
      <c r="J23" s="339">
        <v>0</v>
      </c>
      <c r="K23">
        <f>VLOOKUP(D23,'Charter School Remote Learning'!$C$9:$E$72,3,FALSE)</f>
        <v>0</v>
      </c>
    </row>
    <row r="24" spans="1:11" ht="30" x14ac:dyDescent="0.25">
      <c r="A24" s="340" t="s">
        <v>595</v>
      </c>
      <c r="B24" s="340" t="s">
        <v>594</v>
      </c>
      <c r="C24" s="340" t="s">
        <v>593</v>
      </c>
      <c r="D24" s="340" t="s">
        <v>458</v>
      </c>
      <c r="E24" s="340" t="s">
        <v>592</v>
      </c>
      <c r="F24" s="339">
        <v>35000</v>
      </c>
      <c r="G24" s="339">
        <v>0</v>
      </c>
      <c r="H24" s="339">
        <v>35000</v>
      </c>
      <c r="I24" s="339">
        <v>0</v>
      </c>
      <c r="J24" s="339">
        <v>0</v>
      </c>
      <c r="K24">
        <f>VLOOKUP(D24,'Charter School Remote Learning'!$C$9:$E$72,3,FALSE)</f>
        <v>0</v>
      </c>
    </row>
    <row r="25" spans="1:11" ht="30" x14ac:dyDescent="0.25">
      <c r="A25" s="340" t="s">
        <v>595</v>
      </c>
      <c r="B25" s="340" t="s">
        <v>594</v>
      </c>
      <c r="C25" s="340" t="s">
        <v>593</v>
      </c>
      <c r="D25" s="340" t="s">
        <v>477</v>
      </c>
      <c r="E25" s="340" t="s">
        <v>592</v>
      </c>
      <c r="F25" s="339">
        <v>34919</v>
      </c>
      <c r="G25" s="339">
        <v>0</v>
      </c>
      <c r="H25" s="339">
        <v>34919</v>
      </c>
      <c r="I25" s="339">
        <v>0</v>
      </c>
      <c r="J25" s="339">
        <v>0</v>
      </c>
      <c r="K25">
        <f>VLOOKUP(D25,'Charter School Remote Learning'!$C$9:$E$72,3,FALSE)</f>
        <v>0</v>
      </c>
    </row>
    <row r="26" spans="1:11" ht="30" x14ac:dyDescent="0.25">
      <c r="A26" s="340" t="s">
        <v>595</v>
      </c>
      <c r="B26" s="340" t="s">
        <v>594</v>
      </c>
      <c r="C26" s="340" t="s">
        <v>593</v>
      </c>
      <c r="D26" s="340" t="s">
        <v>460</v>
      </c>
      <c r="E26" s="340" t="s">
        <v>592</v>
      </c>
      <c r="F26" s="339">
        <v>23931</v>
      </c>
      <c r="G26" s="339">
        <v>0</v>
      </c>
      <c r="H26" s="339">
        <v>23931</v>
      </c>
      <c r="I26" s="339">
        <v>0</v>
      </c>
      <c r="J26" s="339">
        <v>0</v>
      </c>
      <c r="K26">
        <f>VLOOKUP(D26,'Charter School Remote Learning'!$C$9:$E$72,3,FALSE)</f>
        <v>0</v>
      </c>
    </row>
    <row r="27" spans="1:11" ht="30" x14ac:dyDescent="0.25">
      <c r="A27" s="340" t="s">
        <v>595</v>
      </c>
      <c r="B27" s="340" t="s">
        <v>594</v>
      </c>
      <c r="C27" s="340" t="s">
        <v>593</v>
      </c>
      <c r="D27" s="340" t="s">
        <v>459</v>
      </c>
      <c r="E27" s="340" t="s">
        <v>592</v>
      </c>
      <c r="F27" s="339">
        <v>32050</v>
      </c>
      <c r="G27" s="339">
        <v>0</v>
      </c>
      <c r="H27" s="339">
        <v>32050</v>
      </c>
      <c r="I27" s="339">
        <v>0</v>
      </c>
      <c r="J27" s="339">
        <v>0</v>
      </c>
      <c r="K27">
        <f>VLOOKUP(D27,'Charter School Remote Learning'!$C$9:$E$72,3,FALSE)</f>
        <v>0</v>
      </c>
    </row>
    <row r="28" spans="1:11" ht="30" x14ac:dyDescent="0.25">
      <c r="A28" s="340" t="s">
        <v>595</v>
      </c>
      <c r="B28" s="340" t="s">
        <v>594</v>
      </c>
      <c r="C28" s="340" t="s">
        <v>593</v>
      </c>
      <c r="D28" s="340" t="s">
        <v>455</v>
      </c>
      <c r="E28" s="340" t="s">
        <v>592</v>
      </c>
      <c r="F28" s="339">
        <v>10000</v>
      </c>
      <c r="G28" s="339">
        <v>0</v>
      </c>
      <c r="H28" s="339">
        <v>10000</v>
      </c>
      <c r="I28" s="339">
        <v>0</v>
      </c>
      <c r="J28" s="339">
        <v>0</v>
      </c>
      <c r="K28">
        <f>VLOOKUP(D28,'Charter School Remote Learning'!$C$9:$E$72,3,FALSE)</f>
        <v>0</v>
      </c>
    </row>
    <row r="29" spans="1:11" ht="30" x14ac:dyDescent="0.25">
      <c r="A29" s="340" t="s">
        <v>595</v>
      </c>
      <c r="B29" s="340" t="s">
        <v>594</v>
      </c>
      <c r="C29" s="340" t="s">
        <v>593</v>
      </c>
      <c r="D29" s="340" t="s">
        <v>481</v>
      </c>
      <c r="E29" s="340" t="s">
        <v>592</v>
      </c>
      <c r="F29" s="339">
        <v>34789</v>
      </c>
      <c r="G29" s="339">
        <v>0</v>
      </c>
      <c r="H29" s="339">
        <v>34789</v>
      </c>
      <c r="I29" s="339">
        <v>0</v>
      </c>
      <c r="J29" s="339">
        <v>0</v>
      </c>
      <c r="K29">
        <f>VLOOKUP(D29,'Charter School Remote Learning'!$C$9:$E$72,3,FALSE)</f>
        <v>0</v>
      </c>
    </row>
    <row r="30" spans="1:11" ht="30" x14ac:dyDescent="0.25">
      <c r="A30" s="340" t="s">
        <v>595</v>
      </c>
      <c r="B30" s="340" t="s">
        <v>594</v>
      </c>
      <c r="C30" s="340" t="s">
        <v>593</v>
      </c>
      <c r="D30" s="340" t="s">
        <v>478</v>
      </c>
      <c r="E30" s="340" t="s">
        <v>592</v>
      </c>
      <c r="F30" s="339">
        <v>34403.53</v>
      </c>
      <c r="G30" s="339">
        <v>0</v>
      </c>
      <c r="H30" s="339">
        <v>34403.53125</v>
      </c>
      <c r="I30" s="339">
        <v>0</v>
      </c>
      <c r="J30" s="339">
        <v>0</v>
      </c>
      <c r="K30">
        <f>VLOOKUP(D30,'Charter School Remote Learning'!$C$9:$E$72,3,FALSE)</f>
        <v>0</v>
      </c>
    </row>
    <row r="31" spans="1:11" ht="30" x14ac:dyDescent="0.25">
      <c r="A31" s="340" t="s">
        <v>595</v>
      </c>
      <c r="B31" s="340" t="s">
        <v>594</v>
      </c>
      <c r="C31" s="340" t="s">
        <v>593</v>
      </c>
      <c r="D31" s="340" t="s">
        <v>596</v>
      </c>
      <c r="E31" s="340" t="s">
        <v>592</v>
      </c>
      <c r="F31" s="339">
        <v>6387.91</v>
      </c>
      <c r="G31" s="339">
        <v>0</v>
      </c>
      <c r="H31" s="339">
        <v>6387.91015625</v>
      </c>
      <c r="I31" s="339">
        <v>0</v>
      </c>
      <c r="J31" s="339">
        <v>0</v>
      </c>
      <c r="K31">
        <f>VLOOKUP(D31,'Charter School Remote Learning'!$C$9:$E$72,3,FALSE)</f>
        <v>0</v>
      </c>
    </row>
    <row r="32" spans="1:11" ht="30" x14ac:dyDescent="0.25">
      <c r="A32" s="340" t="s">
        <v>595</v>
      </c>
      <c r="B32" s="340" t="s">
        <v>594</v>
      </c>
      <c r="C32" s="340" t="s">
        <v>593</v>
      </c>
      <c r="D32" s="340" t="s">
        <v>479</v>
      </c>
      <c r="E32" s="340" t="s">
        <v>592</v>
      </c>
      <c r="F32" s="339">
        <v>12775.84</v>
      </c>
      <c r="G32" s="339">
        <v>0</v>
      </c>
      <c r="H32" s="339">
        <v>12775.83984375</v>
      </c>
      <c r="I32" s="339">
        <v>0</v>
      </c>
      <c r="J32" s="339">
        <v>0</v>
      </c>
      <c r="K32">
        <f>VLOOKUP(D32,'Charter School Remote Learning'!$C$9:$E$72,3,FALSE)</f>
        <v>0</v>
      </c>
    </row>
    <row r="33" spans="1:11" ht="30" x14ac:dyDescent="0.25">
      <c r="A33" s="340" t="s">
        <v>595</v>
      </c>
      <c r="B33" s="340" t="s">
        <v>594</v>
      </c>
      <c r="C33" s="340" t="s">
        <v>593</v>
      </c>
      <c r="D33" s="340" t="s">
        <v>451</v>
      </c>
      <c r="E33" s="340" t="s">
        <v>592</v>
      </c>
      <c r="F33" s="339">
        <v>35000</v>
      </c>
      <c r="G33" s="339">
        <v>0</v>
      </c>
      <c r="H33" s="339">
        <v>35000</v>
      </c>
      <c r="I33" s="339">
        <v>0</v>
      </c>
      <c r="J33" s="339">
        <v>0</v>
      </c>
      <c r="K33">
        <f>VLOOKUP(D33,'Charter School Remote Learning'!$C$9:$E$72,3,FALSE)</f>
        <v>0</v>
      </c>
    </row>
    <row r="34" spans="1:11" ht="30" x14ac:dyDescent="0.25">
      <c r="A34" s="340" t="s">
        <v>595</v>
      </c>
      <c r="B34" s="340" t="s">
        <v>594</v>
      </c>
      <c r="C34" s="340" t="s">
        <v>593</v>
      </c>
      <c r="D34" s="340" t="s">
        <v>233</v>
      </c>
      <c r="E34" s="340" t="s">
        <v>592</v>
      </c>
      <c r="F34" s="339">
        <v>35000</v>
      </c>
      <c r="G34" s="339">
        <v>0</v>
      </c>
      <c r="H34" s="339">
        <v>35000</v>
      </c>
      <c r="I34" s="339">
        <v>0</v>
      </c>
      <c r="J34" s="339">
        <v>0</v>
      </c>
      <c r="K34">
        <f>VLOOKUP(D34,'Charter School Remote Learning'!$C$9:$E$72,3,FALSE)</f>
        <v>0</v>
      </c>
    </row>
    <row r="35" spans="1:11" ht="30" x14ac:dyDescent="0.25">
      <c r="A35" s="340" t="s">
        <v>595</v>
      </c>
      <c r="B35" s="340" t="s">
        <v>594</v>
      </c>
      <c r="C35" s="340" t="s">
        <v>593</v>
      </c>
      <c r="D35" s="340" t="s">
        <v>573</v>
      </c>
      <c r="E35" s="340" t="s">
        <v>592</v>
      </c>
      <c r="F35" s="339">
        <v>23408</v>
      </c>
      <c r="G35" s="339">
        <v>0</v>
      </c>
      <c r="H35" s="339">
        <v>23408</v>
      </c>
      <c r="I35" s="339">
        <v>0</v>
      </c>
      <c r="J35" s="339">
        <v>0</v>
      </c>
      <c r="K35">
        <f>VLOOKUP(D35,'Charter School Remote Learning'!$C$9:$E$72,3,FALSE)</f>
        <v>0</v>
      </c>
    </row>
    <row r="36" spans="1:11" ht="30" x14ac:dyDescent="0.25">
      <c r="A36" s="340" t="s">
        <v>595</v>
      </c>
      <c r="B36" s="340" t="s">
        <v>594</v>
      </c>
      <c r="C36" s="340" t="s">
        <v>593</v>
      </c>
      <c r="D36" s="340" t="s">
        <v>491</v>
      </c>
      <c r="E36" s="340" t="s">
        <v>592</v>
      </c>
      <c r="F36" s="339">
        <v>34300</v>
      </c>
      <c r="G36" s="339">
        <v>0</v>
      </c>
      <c r="H36" s="339">
        <v>34300</v>
      </c>
      <c r="I36" s="339">
        <v>0</v>
      </c>
      <c r="J36" s="339">
        <v>0</v>
      </c>
      <c r="K36">
        <f>VLOOKUP(D36,'Charter School Remote Learning'!$C$9:$E$72,3,FALSE)</f>
        <v>0</v>
      </c>
    </row>
    <row r="37" spans="1:11" ht="30" x14ac:dyDescent="0.25">
      <c r="A37" s="340" t="s">
        <v>595</v>
      </c>
      <c r="B37" s="340" t="s">
        <v>594</v>
      </c>
      <c r="C37" s="340" t="s">
        <v>593</v>
      </c>
      <c r="D37" s="340" t="s">
        <v>492</v>
      </c>
      <c r="E37" s="340" t="s">
        <v>592</v>
      </c>
      <c r="F37" s="339">
        <v>20000</v>
      </c>
      <c r="G37" s="339">
        <v>0</v>
      </c>
      <c r="H37" s="339">
        <v>20000</v>
      </c>
      <c r="I37" s="339">
        <v>0</v>
      </c>
      <c r="J37" s="339">
        <v>0</v>
      </c>
      <c r="K37">
        <f>VLOOKUP(D37,'Charter School Remote Learning'!$C$9:$E$72,3,FALSE)</f>
        <v>0</v>
      </c>
    </row>
    <row r="38" spans="1:11" ht="30" x14ac:dyDescent="0.25">
      <c r="A38" s="340" t="s">
        <v>595</v>
      </c>
      <c r="B38" s="340" t="s">
        <v>594</v>
      </c>
      <c r="C38" s="340" t="s">
        <v>593</v>
      </c>
      <c r="D38" s="340" t="s">
        <v>489</v>
      </c>
      <c r="E38" s="340" t="s">
        <v>592</v>
      </c>
      <c r="F38" s="339">
        <v>25000</v>
      </c>
      <c r="G38" s="339">
        <v>0</v>
      </c>
      <c r="H38" s="339">
        <v>25000</v>
      </c>
      <c r="I38" s="339">
        <v>0</v>
      </c>
      <c r="J38" s="339">
        <v>0</v>
      </c>
      <c r="K38">
        <f>VLOOKUP(D38,'Charter School Remote Learning'!$C$9:$E$72,3,FALSE)</f>
        <v>0</v>
      </c>
    </row>
    <row r="39" spans="1:11" ht="30" x14ac:dyDescent="0.25">
      <c r="A39" s="340" t="s">
        <v>595</v>
      </c>
      <c r="B39" s="340" t="s">
        <v>594</v>
      </c>
      <c r="C39" s="340" t="s">
        <v>593</v>
      </c>
      <c r="D39" s="340" t="s">
        <v>482</v>
      </c>
      <c r="E39" s="340" t="s">
        <v>592</v>
      </c>
      <c r="F39" s="339">
        <v>19379</v>
      </c>
      <c r="G39" s="339">
        <v>0</v>
      </c>
      <c r="H39" s="339">
        <v>19379</v>
      </c>
      <c r="I39" s="339">
        <v>0</v>
      </c>
      <c r="J39" s="339">
        <v>0</v>
      </c>
      <c r="K39">
        <f>VLOOKUP(D39,'Charter School Remote Learning'!$C$9:$E$72,3,FALSE)</f>
        <v>0</v>
      </c>
    </row>
    <row r="40" spans="1:11" ht="30" x14ac:dyDescent="0.25">
      <c r="A40" s="340" t="s">
        <v>595</v>
      </c>
      <c r="B40" s="340" t="s">
        <v>594</v>
      </c>
      <c r="C40" s="340" t="s">
        <v>593</v>
      </c>
      <c r="D40" s="340" t="s">
        <v>493</v>
      </c>
      <c r="E40" s="340" t="s">
        <v>592</v>
      </c>
      <c r="F40" s="339">
        <v>32472</v>
      </c>
      <c r="G40" s="339">
        <v>0</v>
      </c>
      <c r="H40" s="339">
        <v>32472</v>
      </c>
      <c r="I40" s="339">
        <v>0</v>
      </c>
      <c r="J40" s="339">
        <v>0</v>
      </c>
      <c r="K40">
        <f>VLOOKUP(D40,'Charter School Remote Learning'!$C$9:$E$72,3,FALSE)</f>
        <v>0</v>
      </c>
    </row>
    <row r="41" spans="1:11" ht="30" x14ac:dyDescent="0.25">
      <c r="A41" s="340" t="s">
        <v>595</v>
      </c>
      <c r="B41" s="340" t="s">
        <v>594</v>
      </c>
      <c r="C41" s="340" t="s">
        <v>593</v>
      </c>
      <c r="D41" s="340" t="s">
        <v>591</v>
      </c>
      <c r="E41" s="340" t="s">
        <v>592</v>
      </c>
      <c r="F41" s="339">
        <v>9834</v>
      </c>
      <c r="G41" s="339">
        <v>0</v>
      </c>
      <c r="H41" s="339">
        <v>9834</v>
      </c>
      <c r="I41" s="339">
        <v>0</v>
      </c>
      <c r="J41" s="339">
        <v>0</v>
      </c>
      <c r="K41">
        <f>VLOOKUP(D41,'Charter School Remote Learning'!$C$9:$E$72,3,FALSE)</f>
        <v>0</v>
      </c>
    </row>
    <row r="42" spans="1:11" ht="30" x14ac:dyDescent="0.25">
      <c r="A42" s="340" t="s">
        <v>595</v>
      </c>
      <c r="B42" s="340" t="s">
        <v>594</v>
      </c>
      <c r="C42" s="340" t="s">
        <v>593</v>
      </c>
      <c r="D42" s="340" t="s">
        <v>494</v>
      </c>
      <c r="E42" s="340" t="s">
        <v>592</v>
      </c>
      <c r="F42" s="339">
        <v>15000</v>
      </c>
      <c r="G42" s="339">
        <v>0</v>
      </c>
      <c r="H42" s="339">
        <v>15000</v>
      </c>
      <c r="I42" s="339">
        <v>0</v>
      </c>
      <c r="J42" s="339">
        <v>0</v>
      </c>
      <c r="K42">
        <f>VLOOKUP(D42,'Charter School Remote Learning'!$C$9:$E$72,3,FALSE)</f>
        <v>0</v>
      </c>
    </row>
    <row r="43" spans="1:11" ht="30" x14ac:dyDescent="0.25">
      <c r="A43" s="340" t="s">
        <v>595</v>
      </c>
      <c r="B43" s="340" t="s">
        <v>594</v>
      </c>
      <c r="C43" s="340" t="s">
        <v>593</v>
      </c>
      <c r="D43" s="340" t="s">
        <v>445</v>
      </c>
      <c r="E43" s="340" t="s">
        <v>592</v>
      </c>
      <c r="F43" s="339">
        <v>35000</v>
      </c>
      <c r="G43" s="339">
        <v>0</v>
      </c>
      <c r="H43" s="339">
        <v>35000</v>
      </c>
      <c r="I43" s="339">
        <v>0</v>
      </c>
      <c r="J43" s="339">
        <v>0</v>
      </c>
      <c r="K43">
        <f>VLOOKUP(D43,'Charter School Remote Learning'!$C$9:$E$72,3,FALSE)</f>
        <v>0</v>
      </c>
    </row>
    <row r="44" spans="1:11" ht="30" x14ac:dyDescent="0.25">
      <c r="A44" s="340" t="s">
        <v>595</v>
      </c>
      <c r="B44" s="340" t="s">
        <v>594</v>
      </c>
      <c r="C44" s="340" t="s">
        <v>593</v>
      </c>
      <c r="D44" s="340" t="s">
        <v>483</v>
      </c>
      <c r="E44" s="340" t="s">
        <v>592</v>
      </c>
      <c r="F44" s="339">
        <v>34750</v>
      </c>
      <c r="G44" s="339">
        <v>0</v>
      </c>
      <c r="H44" s="339">
        <v>34750</v>
      </c>
      <c r="I44" s="339">
        <v>0</v>
      </c>
      <c r="J44" s="339">
        <v>0</v>
      </c>
      <c r="K44">
        <f>VLOOKUP(D44,'Charter School Remote Learning'!$C$9:$E$72,3,FALSE)</f>
        <v>0</v>
      </c>
    </row>
    <row r="45" spans="1:11" ht="30" x14ac:dyDescent="0.25">
      <c r="A45" s="340" t="s">
        <v>595</v>
      </c>
      <c r="B45" s="340" t="s">
        <v>594</v>
      </c>
      <c r="C45" s="340" t="s">
        <v>593</v>
      </c>
      <c r="D45" s="340" t="s">
        <v>484</v>
      </c>
      <c r="E45" s="340" t="s">
        <v>592</v>
      </c>
      <c r="F45" s="339">
        <v>34933</v>
      </c>
      <c r="G45" s="339">
        <v>0</v>
      </c>
      <c r="H45" s="339">
        <v>34933</v>
      </c>
      <c r="I45" s="339">
        <v>0</v>
      </c>
      <c r="J45" s="339">
        <v>0</v>
      </c>
      <c r="K45">
        <f>VLOOKUP(D45,'Charter School Remote Learning'!$C$9:$E$72,3,FALSE)</f>
        <v>0</v>
      </c>
    </row>
    <row r="46" spans="1:11" ht="30" x14ac:dyDescent="0.25">
      <c r="A46" s="340" t="s">
        <v>595</v>
      </c>
      <c r="B46" s="340" t="s">
        <v>594</v>
      </c>
      <c r="C46" s="340" t="s">
        <v>593</v>
      </c>
      <c r="D46" s="340" t="s">
        <v>248</v>
      </c>
      <c r="E46" s="340" t="s">
        <v>592</v>
      </c>
      <c r="F46" s="339">
        <v>60000</v>
      </c>
      <c r="G46" s="339">
        <v>0</v>
      </c>
      <c r="H46" s="339">
        <v>60000</v>
      </c>
      <c r="I46" s="339">
        <v>0</v>
      </c>
      <c r="J46" s="339">
        <v>0</v>
      </c>
      <c r="K46">
        <f>VLOOKUP(D46,'Charter School Remote Learning'!$C$9:$E$72,3,FALSE)</f>
        <v>0</v>
      </c>
    </row>
    <row r="47" spans="1:11" ht="30" x14ac:dyDescent="0.25">
      <c r="A47" s="340" t="s">
        <v>595</v>
      </c>
      <c r="B47" s="340" t="s">
        <v>594</v>
      </c>
      <c r="C47" s="340" t="s">
        <v>593</v>
      </c>
      <c r="D47" s="340" t="s">
        <v>495</v>
      </c>
      <c r="E47" s="340" t="s">
        <v>592</v>
      </c>
      <c r="F47" s="339">
        <v>26092</v>
      </c>
      <c r="G47" s="339">
        <v>0</v>
      </c>
      <c r="H47" s="339">
        <v>26092</v>
      </c>
      <c r="I47" s="339">
        <v>0</v>
      </c>
      <c r="J47" s="339">
        <v>0</v>
      </c>
      <c r="K47">
        <f>VLOOKUP(D47,'Charter School Remote Learning'!$C$9:$E$72,3,FALSE)</f>
        <v>0</v>
      </c>
    </row>
    <row r="48" spans="1:11" ht="30" x14ac:dyDescent="0.25">
      <c r="A48" s="340" t="s">
        <v>595</v>
      </c>
      <c r="B48" s="340" t="s">
        <v>594</v>
      </c>
      <c r="C48" s="340" t="s">
        <v>593</v>
      </c>
      <c r="D48" s="340" t="s">
        <v>461</v>
      </c>
      <c r="E48" s="340" t="s">
        <v>592</v>
      </c>
      <c r="F48" s="339">
        <v>34985</v>
      </c>
      <c r="G48" s="339">
        <v>0</v>
      </c>
      <c r="H48" s="339">
        <v>34985</v>
      </c>
      <c r="I48" s="339">
        <v>0</v>
      </c>
      <c r="J48" s="339">
        <v>0</v>
      </c>
      <c r="K48">
        <f>VLOOKUP(D48,'Charter School Remote Learning'!$C$9:$E$72,3,FALSE)</f>
        <v>0</v>
      </c>
    </row>
    <row r="49" spans="1:11" ht="30" x14ac:dyDescent="0.25">
      <c r="A49" s="340" t="s">
        <v>595</v>
      </c>
      <c r="B49" s="340" t="s">
        <v>594</v>
      </c>
      <c r="C49" s="340" t="s">
        <v>593</v>
      </c>
      <c r="D49" s="340" t="s">
        <v>480</v>
      </c>
      <c r="E49" s="340" t="s">
        <v>592</v>
      </c>
      <c r="F49" s="339">
        <v>35000</v>
      </c>
      <c r="G49" s="339">
        <v>0</v>
      </c>
      <c r="H49" s="339">
        <v>35000</v>
      </c>
      <c r="I49" s="339">
        <v>0</v>
      </c>
      <c r="J49" s="339">
        <v>0</v>
      </c>
      <c r="K49">
        <f>VLOOKUP(D49,'Charter School Remote Learning'!$C$9:$E$72,3,FALSE)</f>
        <v>0</v>
      </c>
    </row>
    <row r="50" spans="1:11" ht="30" x14ac:dyDescent="0.25">
      <c r="A50" s="340" t="s">
        <v>595</v>
      </c>
      <c r="B50" s="340" t="s">
        <v>594</v>
      </c>
      <c r="C50" s="340" t="s">
        <v>593</v>
      </c>
      <c r="D50" s="340" t="s">
        <v>462</v>
      </c>
      <c r="E50" s="340" t="s">
        <v>592</v>
      </c>
      <c r="F50" s="339">
        <v>3046.8</v>
      </c>
      <c r="G50" s="339">
        <v>0</v>
      </c>
      <c r="H50" s="339">
        <v>3046.80004882813</v>
      </c>
      <c r="I50" s="339">
        <v>0</v>
      </c>
      <c r="J50" s="339">
        <v>0</v>
      </c>
      <c r="K50">
        <f>VLOOKUP(D50,'Charter School Remote Learning'!$C$9:$E$72,3,FALSE)</f>
        <v>0</v>
      </c>
    </row>
    <row r="51" spans="1:11" ht="30" x14ac:dyDescent="0.25">
      <c r="A51" s="340" t="s">
        <v>595</v>
      </c>
      <c r="B51" s="340" t="s">
        <v>594</v>
      </c>
      <c r="C51" s="340" t="s">
        <v>593</v>
      </c>
      <c r="D51" s="340" t="s">
        <v>463</v>
      </c>
      <c r="E51" s="340" t="s">
        <v>592</v>
      </c>
      <c r="F51" s="339">
        <v>34580</v>
      </c>
      <c r="G51" s="339">
        <v>0</v>
      </c>
      <c r="H51" s="339">
        <v>34580</v>
      </c>
      <c r="I51" s="339">
        <v>0</v>
      </c>
      <c r="J51" s="339">
        <v>0</v>
      </c>
      <c r="K51">
        <f>VLOOKUP(D51,'Charter School Remote Learning'!$C$9:$E$72,3,FALSE)</f>
        <v>0</v>
      </c>
    </row>
    <row r="52" spans="1:11" ht="30" x14ac:dyDescent="0.25">
      <c r="A52" s="340" t="s">
        <v>595</v>
      </c>
      <c r="B52" s="340" t="s">
        <v>594</v>
      </c>
      <c r="C52" s="340" t="s">
        <v>593</v>
      </c>
      <c r="D52" s="340" t="s">
        <v>464</v>
      </c>
      <c r="E52" s="340" t="s">
        <v>592</v>
      </c>
      <c r="F52" s="339">
        <v>9899.4</v>
      </c>
      <c r="G52" s="339">
        <v>0</v>
      </c>
      <c r="H52" s="339">
        <v>9899.400390625</v>
      </c>
      <c r="I52" s="339">
        <v>0</v>
      </c>
      <c r="J52" s="339">
        <v>0</v>
      </c>
      <c r="K52">
        <f>VLOOKUP(D52,'Charter School Remote Learning'!$C$9:$E$72,3,FALSE)</f>
        <v>0</v>
      </c>
    </row>
    <row r="53" spans="1:11" ht="30" x14ac:dyDescent="0.25">
      <c r="A53" s="340" t="s">
        <v>595</v>
      </c>
      <c r="B53" s="340" t="s">
        <v>594</v>
      </c>
      <c r="C53" s="340" t="s">
        <v>593</v>
      </c>
      <c r="D53" s="340" t="s">
        <v>485</v>
      </c>
      <c r="E53" s="340" t="s">
        <v>592</v>
      </c>
      <c r="F53" s="339">
        <v>29124</v>
      </c>
      <c r="G53" s="339">
        <v>0</v>
      </c>
      <c r="H53" s="339">
        <v>29124</v>
      </c>
      <c r="I53" s="339">
        <v>0</v>
      </c>
      <c r="J53" s="339">
        <v>0</v>
      </c>
      <c r="K53">
        <f>VLOOKUP(D53,'Charter School Remote Learning'!$C$9:$E$72,3,FALSE)</f>
        <v>0</v>
      </c>
    </row>
    <row r="54" spans="1:11" ht="30" x14ac:dyDescent="0.25">
      <c r="A54" s="340" t="s">
        <v>595</v>
      </c>
      <c r="B54" s="340" t="s">
        <v>594</v>
      </c>
      <c r="C54" s="340" t="s">
        <v>593</v>
      </c>
      <c r="D54" s="340" t="s">
        <v>496</v>
      </c>
      <c r="E54" s="340" t="s">
        <v>592</v>
      </c>
      <c r="F54" s="339">
        <v>10000</v>
      </c>
      <c r="G54" s="339">
        <v>0</v>
      </c>
      <c r="H54" s="339">
        <v>10000</v>
      </c>
      <c r="I54" s="339">
        <v>0</v>
      </c>
      <c r="J54" s="339">
        <v>0</v>
      </c>
      <c r="K54">
        <f>VLOOKUP(D54,'Charter School Remote Learning'!$C$9:$E$72,3,FALSE)</f>
        <v>0</v>
      </c>
    </row>
    <row r="55" spans="1:11" ht="30" x14ac:dyDescent="0.25">
      <c r="A55" s="340" t="s">
        <v>595</v>
      </c>
      <c r="B55" s="340" t="s">
        <v>594</v>
      </c>
      <c r="C55" s="340" t="s">
        <v>593</v>
      </c>
      <c r="D55" s="340" t="s">
        <v>497</v>
      </c>
      <c r="E55" s="340" t="s">
        <v>592</v>
      </c>
      <c r="F55" s="339">
        <v>35000</v>
      </c>
      <c r="G55" s="339">
        <v>0</v>
      </c>
      <c r="H55" s="339">
        <v>35000</v>
      </c>
      <c r="I55" s="339">
        <v>0</v>
      </c>
      <c r="J55" s="339">
        <v>0</v>
      </c>
      <c r="K55">
        <f>VLOOKUP(D55,'Charter School Remote Learning'!$C$9:$E$72,3,FALSE)</f>
        <v>0</v>
      </c>
    </row>
    <row r="56" spans="1:11" ht="30" x14ac:dyDescent="0.25">
      <c r="A56" s="340" t="s">
        <v>595</v>
      </c>
      <c r="B56" s="340" t="s">
        <v>594</v>
      </c>
      <c r="C56" s="340" t="s">
        <v>593</v>
      </c>
      <c r="D56" s="340" t="s">
        <v>474</v>
      </c>
      <c r="E56" s="340" t="s">
        <v>592</v>
      </c>
      <c r="F56" s="339">
        <v>35000</v>
      </c>
      <c r="G56" s="339">
        <v>0</v>
      </c>
      <c r="H56" s="339">
        <v>35000</v>
      </c>
      <c r="I56" s="339">
        <v>0</v>
      </c>
      <c r="J56" s="339">
        <v>0</v>
      </c>
      <c r="K56">
        <f>VLOOKUP(D56,'Charter School Remote Learning'!$C$9:$E$72,3,FALSE)</f>
        <v>0</v>
      </c>
    </row>
    <row r="57" spans="1:11" ht="30" x14ac:dyDescent="0.25">
      <c r="A57" s="340" t="s">
        <v>595</v>
      </c>
      <c r="B57" s="340" t="s">
        <v>594</v>
      </c>
      <c r="C57" s="340" t="s">
        <v>593</v>
      </c>
      <c r="D57" s="340" t="s">
        <v>444</v>
      </c>
      <c r="E57" s="340" t="s">
        <v>592</v>
      </c>
      <c r="F57" s="339">
        <v>35000</v>
      </c>
      <c r="G57" s="339">
        <v>0</v>
      </c>
      <c r="H57" s="339">
        <v>35000</v>
      </c>
      <c r="I57" s="339">
        <v>0</v>
      </c>
      <c r="J57" s="339">
        <v>0</v>
      </c>
      <c r="K57">
        <f>VLOOKUP(D57,'Charter School Remote Learning'!$C$9:$E$72,3,FALSE)</f>
        <v>0</v>
      </c>
    </row>
    <row r="58" spans="1:11" ht="30" x14ac:dyDescent="0.25">
      <c r="A58" s="340" t="s">
        <v>595</v>
      </c>
      <c r="B58" s="340" t="s">
        <v>594</v>
      </c>
      <c r="C58" s="340" t="s">
        <v>593</v>
      </c>
      <c r="D58" s="340" t="s">
        <v>473</v>
      </c>
      <c r="E58" s="340" t="s">
        <v>592</v>
      </c>
      <c r="F58" s="339">
        <v>10000</v>
      </c>
      <c r="G58" s="339">
        <v>0</v>
      </c>
      <c r="H58" s="339">
        <v>10000</v>
      </c>
      <c r="I58" s="339">
        <v>0</v>
      </c>
      <c r="J58" s="339">
        <v>0</v>
      </c>
      <c r="K58">
        <f>VLOOKUP(D58,'Charter School Remote Learning'!$C$9:$E$72,3,FALSE)</f>
        <v>0</v>
      </c>
    </row>
    <row r="59" spans="1:11" ht="30" x14ac:dyDescent="0.25">
      <c r="A59" s="340" t="s">
        <v>595</v>
      </c>
      <c r="B59" s="340" t="s">
        <v>594</v>
      </c>
      <c r="C59" s="340" t="s">
        <v>593</v>
      </c>
      <c r="D59" s="340" t="s">
        <v>468</v>
      </c>
      <c r="E59" s="340" t="s">
        <v>592</v>
      </c>
      <c r="F59" s="339">
        <v>9899</v>
      </c>
      <c r="G59" s="339">
        <v>0</v>
      </c>
      <c r="H59" s="339">
        <v>9899</v>
      </c>
      <c r="I59" s="339">
        <v>0</v>
      </c>
      <c r="J59" s="339">
        <v>0</v>
      </c>
      <c r="K59">
        <f>VLOOKUP(D59,'Charter School Remote Learning'!$C$9:$E$72,3,FALSE)</f>
        <v>0</v>
      </c>
    </row>
    <row r="60" spans="1:11" ht="30" x14ac:dyDescent="0.25">
      <c r="A60" s="340" t="s">
        <v>595</v>
      </c>
      <c r="B60" s="340" t="s">
        <v>594</v>
      </c>
      <c r="C60" s="340" t="s">
        <v>593</v>
      </c>
      <c r="D60" s="340" t="s">
        <v>469</v>
      </c>
      <c r="E60" s="340" t="s">
        <v>592</v>
      </c>
      <c r="F60" s="339">
        <v>34883.599999999999</v>
      </c>
      <c r="G60" s="339">
        <v>0</v>
      </c>
      <c r="H60" s="339">
        <v>34883.6015625</v>
      </c>
      <c r="I60" s="339">
        <v>0</v>
      </c>
      <c r="J60" s="339">
        <v>0</v>
      </c>
      <c r="K60">
        <f>VLOOKUP(D60,'Charter School Remote Learning'!$C$9:$E$72,3,FALSE)</f>
        <v>0</v>
      </c>
    </row>
    <row r="61" spans="1:11" ht="30" x14ac:dyDescent="0.25">
      <c r="A61" s="340" t="s">
        <v>595</v>
      </c>
      <c r="B61" s="340" t="s">
        <v>594</v>
      </c>
      <c r="C61" s="340" t="s">
        <v>593</v>
      </c>
      <c r="D61" s="340" t="s">
        <v>465</v>
      </c>
      <c r="E61" s="340" t="s">
        <v>592</v>
      </c>
      <c r="F61" s="339">
        <v>24984.2</v>
      </c>
      <c r="G61" s="339">
        <v>0</v>
      </c>
      <c r="H61" s="339">
        <v>24984.19921875</v>
      </c>
      <c r="I61" s="339">
        <v>0</v>
      </c>
      <c r="J61" s="339">
        <v>0</v>
      </c>
      <c r="K61">
        <f>VLOOKUP(D61,'Charter School Remote Learning'!$C$9:$E$72,3,FALSE)</f>
        <v>0</v>
      </c>
    </row>
    <row r="62" spans="1:11" ht="30" x14ac:dyDescent="0.25">
      <c r="A62" s="340" t="s">
        <v>595</v>
      </c>
      <c r="B62" s="340" t="s">
        <v>594</v>
      </c>
      <c r="C62" s="340" t="s">
        <v>593</v>
      </c>
      <c r="D62" s="340" t="s">
        <v>471</v>
      </c>
      <c r="E62" s="340" t="s">
        <v>592</v>
      </c>
      <c r="F62" s="339">
        <v>35000</v>
      </c>
      <c r="G62" s="339">
        <v>0</v>
      </c>
      <c r="H62" s="339">
        <v>35000</v>
      </c>
      <c r="I62" s="339">
        <v>0</v>
      </c>
      <c r="J62" s="339">
        <v>0</v>
      </c>
      <c r="K62">
        <f>VLOOKUP(D62,'Charter School Remote Learning'!$C$9:$E$72,3,FALSE)</f>
        <v>0</v>
      </c>
    </row>
    <row r="63" spans="1:11" ht="30" x14ac:dyDescent="0.25">
      <c r="A63" s="340" t="s">
        <v>595</v>
      </c>
      <c r="B63" s="340" t="s">
        <v>594</v>
      </c>
      <c r="C63" s="340" t="s">
        <v>593</v>
      </c>
      <c r="D63" s="340" t="s">
        <v>467</v>
      </c>
      <c r="E63" s="340" t="s">
        <v>592</v>
      </c>
      <c r="F63" s="339">
        <v>9899.4</v>
      </c>
      <c r="G63" s="339">
        <v>0</v>
      </c>
      <c r="H63" s="339">
        <v>9899.400390625</v>
      </c>
      <c r="I63" s="339">
        <v>0</v>
      </c>
      <c r="J63" s="339">
        <v>0</v>
      </c>
      <c r="K63">
        <f>VLOOKUP(D63,'Charter School Remote Learning'!$C$9:$E$72,3,FALSE)</f>
        <v>0</v>
      </c>
    </row>
    <row r="64" spans="1:11" ht="30" x14ac:dyDescent="0.25">
      <c r="A64" s="340" t="s">
        <v>595</v>
      </c>
      <c r="B64" s="340" t="s">
        <v>594</v>
      </c>
      <c r="C64" s="340" t="s">
        <v>593</v>
      </c>
      <c r="D64" s="340" t="s">
        <v>466</v>
      </c>
      <c r="E64" s="340" t="s">
        <v>592</v>
      </c>
      <c r="F64" s="339">
        <v>9899.44</v>
      </c>
      <c r="G64" s="339">
        <v>0</v>
      </c>
      <c r="H64" s="339">
        <v>9899.4404296875</v>
      </c>
      <c r="I64" s="339">
        <v>0</v>
      </c>
      <c r="J64" s="339">
        <v>0</v>
      </c>
      <c r="K64">
        <f>VLOOKUP(D64,'Charter School Remote Learning'!$C$9:$E$72,3,FALSE)</f>
        <v>0</v>
      </c>
    </row>
    <row r="65" spans="1:11" ht="30" x14ac:dyDescent="0.25">
      <c r="A65" s="340" t="s">
        <v>595</v>
      </c>
      <c r="B65" s="340" t="s">
        <v>594</v>
      </c>
      <c r="C65" s="340" t="s">
        <v>593</v>
      </c>
      <c r="D65" s="340" t="s">
        <v>470</v>
      </c>
      <c r="E65" s="340" t="s">
        <v>592</v>
      </c>
      <c r="F65" s="339">
        <v>35000</v>
      </c>
      <c r="G65" s="339">
        <v>0</v>
      </c>
      <c r="H65" s="339">
        <v>35000</v>
      </c>
      <c r="I65" s="339">
        <v>0</v>
      </c>
      <c r="J65" s="339">
        <v>0</v>
      </c>
      <c r="K65">
        <f>VLOOKUP(D65,'Charter School Remote Learning'!$C$9:$E$72,3,FALSE)</f>
        <v>0</v>
      </c>
    </row>
    <row r="66" spans="1:11" x14ac:dyDescent="0.25">
      <c r="K66" t="e">
        <f>VLOOKUP(D66,'Charter School Remote Learning'!$C$9:$E$72,3,FALSE)</f>
        <v>#N/A</v>
      </c>
    </row>
    <row r="67" spans="1:11" x14ac:dyDescent="0.25">
      <c r="H67" s="6">
        <f>SUM(H2:H65)</f>
        <v>1614203.3537597656</v>
      </c>
    </row>
  </sheetData>
  <autoFilter ref="A1:J67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>
    <tabColor theme="2"/>
  </sheetPr>
  <dimension ref="A1:AR71"/>
  <sheetViews>
    <sheetView zoomScale="80" zoomScaleNormal="80" workbookViewId="0">
      <pane xSplit="9" ySplit="8" topLeftCell="J3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62" sqref="D62"/>
    </sheetView>
  </sheetViews>
  <sheetFormatPr defaultColWidth="0" defaultRowHeight="15" x14ac:dyDescent="0.25"/>
  <cols>
    <col min="1" max="1" width="8.5703125" style="446" customWidth="1"/>
    <col min="2" max="2" width="34.42578125" style="384" customWidth="1"/>
    <col min="3" max="3" width="11.42578125" style="446" customWidth="1"/>
    <col min="4" max="4" width="53.42578125" style="384" customWidth="1"/>
    <col min="5" max="5" width="20" style="384" bestFit="1" customWidth="1"/>
    <col min="6" max="7" width="20" style="384" customWidth="1"/>
    <col min="8" max="8" width="21.42578125" style="384" bestFit="1" customWidth="1"/>
    <col min="9" max="9" width="19.42578125" style="384" bestFit="1" customWidth="1"/>
    <col min="10" max="12" width="15.5703125" style="384" customWidth="1"/>
    <col min="13" max="13" width="19.5703125" style="384" bestFit="1" customWidth="1"/>
    <col min="14" max="14" width="21.42578125" style="384" bestFit="1" customWidth="1"/>
    <col min="15" max="15" width="15.5703125" style="384" customWidth="1"/>
    <col min="16" max="16" width="19.42578125" style="384" bestFit="1" customWidth="1"/>
    <col min="17" max="17" width="15.5703125" style="384" customWidth="1"/>
    <col min="18" max="18" width="19.42578125" style="384" customWidth="1"/>
    <col min="19" max="19" width="16.5703125" style="384" bestFit="1" customWidth="1"/>
    <col min="20" max="20" width="15.5703125" style="384" customWidth="1"/>
    <col min="21" max="21" width="18.5703125" style="384" customWidth="1"/>
    <col min="22" max="22" width="16.5703125" style="384" bestFit="1" customWidth="1"/>
    <col min="23" max="26" width="15.5703125" style="384" customWidth="1"/>
    <col min="27" max="28" width="21.42578125" style="384" customWidth="1"/>
    <col min="29" max="44" width="0" style="384" hidden="1" customWidth="1"/>
    <col min="45" max="16384" width="8.5703125" style="384" hidden="1"/>
  </cols>
  <sheetData>
    <row r="1" spans="1:29" ht="21" x14ac:dyDescent="0.35">
      <c r="A1" s="417" t="s">
        <v>0</v>
      </c>
      <c r="B1" s="418"/>
      <c r="C1" s="419" t="s">
        <v>157</v>
      </c>
      <c r="D1" s="101"/>
      <c r="E1" s="101"/>
      <c r="F1" s="101"/>
      <c r="G1" s="101"/>
      <c r="H1" s="101"/>
      <c r="I1" s="420"/>
      <c r="J1" s="418"/>
      <c r="K1" s="421"/>
      <c r="L1" s="419" t="str">
        <f>$C$1</f>
        <v>21st Century Cohort 8</v>
      </c>
      <c r="M1" s="418"/>
      <c r="N1" s="418"/>
      <c r="O1" s="421"/>
      <c r="P1" s="418"/>
      <c r="Q1" s="418"/>
      <c r="R1" s="419" t="str">
        <f>$C$1</f>
        <v>21st Century Cohort 8</v>
      </c>
      <c r="S1" s="421"/>
      <c r="T1" s="421"/>
      <c r="U1" s="418"/>
      <c r="V1" s="421"/>
      <c r="W1" s="418"/>
      <c r="X1" s="418"/>
      <c r="Y1" s="419" t="str">
        <f>$C$1</f>
        <v>21st Century Cohort 8</v>
      </c>
      <c r="Z1" s="418"/>
      <c r="AA1" s="422"/>
      <c r="AB1" s="422"/>
    </row>
    <row r="2" spans="1:29" s="425" customFormat="1" ht="21" x14ac:dyDescent="0.35">
      <c r="A2" s="422" t="s">
        <v>137</v>
      </c>
      <c r="B2" s="423"/>
      <c r="C2" s="417" t="s">
        <v>336</v>
      </c>
      <c r="D2" s="421"/>
      <c r="E2" s="421"/>
      <c r="F2" s="421"/>
      <c r="G2" s="421"/>
      <c r="H2" s="421"/>
      <c r="I2" s="424"/>
      <c r="J2" s="423"/>
      <c r="K2" s="423"/>
      <c r="L2" s="101" t="str">
        <f>"FY"&amp;$C$4</f>
        <v>FY2021-22</v>
      </c>
      <c r="M2" s="423"/>
      <c r="N2" s="423"/>
      <c r="O2" s="423"/>
      <c r="P2" s="423"/>
      <c r="Q2" s="423"/>
      <c r="R2" s="101" t="str">
        <f>"FY"&amp;$C$4</f>
        <v>FY2021-22</v>
      </c>
      <c r="S2" s="423"/>
      <c r="T2" s="423"/>
      <c r="U2" s="423"/>
      <c r="V2" s="423"/>
      <c r="W2" s="423"/>
      <c r="X2" s="423"/>
      <c r="Y2" s="101" t="str">
        <f>"FY"&amp;$C$4</f>
        <v>FY2021-22</v>
      </c>
      <c r="Z2" s="423"/>
      <c r="AA2" s="422"/>
      <c r="AB2" s="422"/>
    </row>
    <row r="3" spans="1:29" ht="15.75" x14ac:dyDescent="0.25">
      <c r="A3" s="426" t="s">
        <v>1</v>
      </c>
      <c r="B3" s="418"/>
      <c r="C3" s="427" t="s">
        <v>335</v>
      </c>
      <c r="D3" s="101"/>
      <c r="E3" s="101"/>
      <c r="F3" s="101"/>
      <c r="G3" s="101"/>
      <c r="H3" s="101"/>
      <c r="I3" s="420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20"/>
      <c r="AB3" s="420"/>
    </row>
    <row r="4" spans="1:29" ht="15.75" x14ac:dyDescent="0.25">
      <c r="A4" s="426" t="s">
        <v>2</v>
      </c>
      <c r="B4" s="418"/>
      <c r="C4" s="427" t="s">
        <v>618</v>
      </c>
      <c r="D4" s="101"/>
      <c r="E4" s="101"/>
      <c r="F4" s="101"/>
      <c r="G4" s="101"/>
      <c r="H4" s="101"/>
      <c r="I4" s="420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20"/>
      <c r="AB4" s="420"/>
    </row>
    <row r="5" spans="1:29" ht="15.75" x14ac:dyDescent="0.25">
      <c r="A5" s="426" t="s">
        <v>376</v>
      </c>
      <c r="B5" s="418"/>
      <c r="C5" s="428" t="s">
        <v>958</v>
      </c>
      <c r="D5" s="101"/>
      <c r="E5" s="101"/>
      <c r="F5" s="101"/>
      <c r="G5" s="101"/>
      <c r="H5" s="101"/>
      <c r="I5" s="429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29"/>
      <c r="AB5" s="429"/>
    </row>
    <row r="6" spans="1:29" ht="15.75" x14ac:dyDescent="0.25">
      <c r="A6" s="426"/>
      <c r="B6" s="418"/>
      <c r="C6" s="101"/>
      <c r="D6" s="101"/>
      <c r="E6" s="101"/>
      <c r="F6" s="101"/>
      <c r="G6" s="101"/>
      <c r="H6" s="101"/>
      <c r="I6" s="429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29"/>
      <c r="AB6" s="429"/>
    </row>
    <row r="7" spans="1:29" ht="24" thickBot="1" x14ac:dyDescent="0.4">
      <c r="A7" s="654"/>
      <c r="B7" s="655"/>
      <c r="C7" s="655"/>
      <c r="D7" s="655"/>
      <c r="E7" s="655"/>
      <c r="F7" s="655"/>
      <c r="G7" s="655"/>
      <c r="H7" s="656"/>
      <c r="I7" s="656"/>
      <c r="J7" s="429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29"/>
      <c r="AB7" s="429"/>
    </row>
    <row r="8" spans="1:29" ht="30.75" thickBot="1" x14ac:dyDescent="0.3">
      <c r="A8" s="430" t="s">
        <v>130</v>
      </c>
      <c r="B8" s="431" t="s">
        <v>124</v>
      </c>
      <c r="C8" s="430" t="s">
        <v>135</v>
      </c>
      <c r="D8" s="431" t="s">
        <v>41</v>
      </c>
      <c r="E8" s="432" t="s">
        <v>14</v>
      </c>
      <c r="F8" s="432" t="s">
        <v>417</v>
      </c>
      <c r="G8" s="432" t="s">
        <v>418</v>
      </c>
      <c r="H8" s="431" t="s">
        <v>15</v>
      </c>
      <c r="I8" s="433" t="s">
        <v>16</v>
      </c>
      <c r="J8" s="434" t="s">
        <v>408</v>
      </c>
      <c r="K8" s="435" t="s">
        <v>409</v>
      </c>
      <c r="L8" s="434" t="s">
        <v>410</v>
      </c>
      <c r="M8" s="435" t="s">
        <v>411</v>
      </c>
      <c r="N8" s="434" t="s">
        <v>412</v>
      </c>
      <c r="O8" s="435" t="s">
        <v>416</v>
      </c>
      <c r="P8" s="435" t="s">
        <v>606</v>
      </c>
      <c r="Q8" s="435" t="s">
        <v>607</v>
      </c>
      <c r="R8" s="435" t="s">
        <v>608</v>
      </c>
      <c r="S8" s="435" t="s">
        <v>609</v>
      </c>
      <c r="T8" s="435" t="s">
        <v>610</v>
      </c>
      <c r="U8" s="435" t="s">
        <v>611</v>
      </c>
      <c r="V8" s="434" t="s">
        <v>612</v>
      </c>
      <c r="W8" s="435" t="s">
        <v>613</v>
      </c>
      <c r="X8" s="435" t="s">
        <v>614</v>
      </c>
      <c r="Y8" s="435" t="s">
        <v>619</v>
      </c>
      <c r="Z8" s="434" t="s">
        <v>620</v>
      </c>
      <c r="AA8" s="436" t="s">
        <v>144</v>
      </c>
      <c r="AB8" s="436" t="s">
        <v>145</v>
      </c>
    </row>
    <row r="9" spans="1:29" s="414" customFormat="1" x14ac:dyDescent="0.25">
      <c r="A9" s="409" t="s">
        <v>21</v>
      </c>
      <c r="B9" s="409" t="s">
        <v>76</v>
      </c>
      <c r="C9" s="409" t="s">
        <v>570</v>
      </c>
      <c r="D9" s="409" t="s">
        <v>628</v>
      </c>
      <c r="E9" s="437">
        <v>65000</v>
      </c>
      <c r="F9" s="437">
        <v>15373</v>
      </c>
      <c r="G9" s="438">
        <f t="shared" ref="G9:G65" si="0">E9+F9</f>
        <v>80373</v>
      </c>
      <c r="H9" s="439">
        <f t="shared" ref="H9:H40" si="1">SUM(L9:Z9)</f>
        <v>37407.949999999997</v>
      </c>
      <c r="I9" s="438">
        <f t="shared" ref="I9:I65" si="2">G9-H9</f>
        <v>42965.05</v>
      </c>
      <c r="J9" s="392"/>
      <c r="K9" s="392"/>
      <c r="L9" s="396">
        <v>6849.4</v>
      </c>
      <c r="M9" s="394"/>
      <c r="N9" s="397">
        <v>4258.63</v>
      </c>
      <c r="O9" s="392"/>
      <c r="P9" s="391">
        <v>6980.88</v>
      </c>
      <c r="Q9" s="392"/>
      <c r="R9" s="393"/>
      <c r="S9" s="393"/>
      <c r="T9" s="393">
        <f>11432.72+1227.1</f>
        <v>12659.82</v>
      </c>
      <c r="U9" s="393">
        <v>6659.22</v>
      </c>
      <c r="V9" s="393"/>
      <c r="W9" s="393"/>
      <c r="X9" s="392"/>
      <c r="Y9" s="392"/>
      <c r="Z9" s="392"/>
      <c r="AA9" s="413"/>
      <c r="AB9" s="413"/>
      <c r="AC9" s="390"/>
    </row>
    <row r="10" spans="1:29" s="414" customFormat="1" x14ac:dyDescent="0.25">
      <c r="A10" s="409" t="s">
        <v>21</v>
      </c>
      <c r="B10" s="409" t="s">
        <v>76</v>
      </c>
      <c r="C10" s="409" t="s">
        <v>675</v>
      </c>
      <c r="D10" s="409" t="s">
        <v>629</v>
      </c>
      <c r="E10" s="410">
        <v>65000</v>
      </c>
      <c r="F10" s="410">
        <v>465</v>
      </c>
      <c r="G10" s="411">
        <f t="shared" si="0"/>
        <v>65465</v>
      </c>
      <c r="H10" s="412">
        <f t="shared" si="1"/>
        <v>32453.260000000002</v>
      </c>
      <c r="I10" s="411">
        <f t="shared" si="2"/>
        <v>33011.74</v>
      </c>
      <c r="J10" s="392"/>
      <c r="K10" s="392"/>
      <c r="L10" s="396">
        <v>4892.43</v>
      </c>
      <c r="M10" s="392"/>
      <c r="N10" s="397">
        <v>3041.88</v>
      </c>
      <c r="O10" s="392"/>
      <c r="P10" s="391">
        <v>4105.76</v>
      </c>
      <c r="Q10" s="392"/>
      <c r="R10" s="393"/>
      <c r="S10" s="393"/>
      <c r="T10" s="393">
        <f>13877.17+992.41</f>
        <v>14869.58</v>
      </c>
      <c r="U10" s="393">
        <v>5543.61</v>
      </c>
      <c r="V10" s="393"/>
      <c r="W10" s="393"/>
      <c r="X10" s="392"/>
      <c r="Y10" s="392"/>
      <c r="Z10" s="392"/>
      <c r="AA10" s="413"/>
      <c r="AB10" s="413"/>
      <c r="AC10" s="390"/>
    </row>
    <row r="11" spans="1:29" s="414" customFormat="1" x14ac:dyDescent="0.25">
      <c r="A11" s="409" t="s">
        <v>21</v>
      </c>
      <c r="B11" s="409" t="s">
        <v>76</v>
      </c>
      <c r="C11" s="409" t="s">
        <v>676</v>
      </c>
      <c r="D11" s="409" t="s">
        <v>630</v>
      </c>
      <c r="E11" s="410">
        <v>65000</v>
      </c>
      <c r="F11" s="410">
        <v>6171</v>
      </c>
      <c r="G11" s="411">
        <f t="shared" si="0"/>
        <v>71171</v>
      </c>
      <c r="H11" s="412">
        <f t="shared" si="1"/>
        <v>38712.379999999997</v>
      </c>
      <c r="I11" s="411">
        <f t="shared" si="2"/>
        <v>32458.620000000003</v>
      </c>
      <c r="J11" s="394"/>
      <c r="K11" s="394"/>
      <c r="L11" s="396">
        <v>7827.88</v>
      </c>
      <c r="M11" s="394"/>
      <c r="N11" s="397">
        <v>4367.01</v>
      </c>
      <c r="O11" s="394"/>
      <c r="P11" s="391">
        <v>7754.45</v>
      </c>
      <c r="Q11" s="394"/>
      <c r="R11" s="395"/>
      <c r="S11" s="395"/>
      <c r="T11" s="395">
        <f>3237.12+10133.91</f>
        <v>13371.029999999999</v>
      </c>
      <c r="U11" s="395">
        <v>5392.01</v>
      </c>
      <c r="V11" s="395"/>
      <c r="W11" s="395"/>
      <c r="X11" s="394"/>
      <c r="Y11" s="394"/>
      <c r="Z11" s="394"/>
      <c r="AA11" s="413"/>
      <c r="AB11" s="413"/>
      <c r="AC11" s="390"/>
    </row>
    <row r="12" spans="1:29" s="414" customFormat="1" x14ac:dyDescent="0.25">
      <c r="A12" s="409" t="s">
        <v>214</v>
      </c>
      <c r="B12" s="409" t="s">
        <v>225</v>
      </c>
      <c r="C12" s="409" t="s">
        <v>214</v>
      </c>
      <c r="D12" s="409" t="s">
        <v>225</v>
      </c>
      <c r="E12" s="410">
        <v>108475</v>
      </c>
      <c r="F12" s="410"/>
      <c r="G12" s="411">
        <f t="shared" si="0"/>
        <v>108475</v>
      </c>
      <c r="H12" s="412">
        <f t="shared" si="1"/>
        <v>108475</v>
      </c>
      <c r="I12" s="411">
        <f t="shared" si="2"/>
        <v>0</v>
      </c>
      <c r="J12" s="392"/>
      <c r="K12" s="392"/>
      <c r="L12" s="392"/>
      <c r="M12" s="392"/>
      <c r="N12" s="392"/>
      <c r="O12" s="392"/>
      <c r="P12" s="392"/>
      <c r="Q12" s="392"/>
      <c r="R12" s="393">
        <v>11526.24</v>
      </c>
      <c r="S12" s="393"/>
      <c r="T12" s="393"/>
      <c r="U12" s="393">
        <v>96948.76</v>
      </c>
      <c r="V12" s="393"/>
      <c r="W12" s="393"/>
      <c r="X12" s="392"/>
      <c r="Y12" s="392"/>
      <c r="Z12" s="392"/>
      <c r="AA12" s="413"/>
      <c r="AB12" s="413"/>
      <c r="AC12" s="390"/>
    </row>
    <row r="13" spans="1:29" s="414" customFormat="1" x14ac:dyDescent="0.25">
      <c r="A13" s="409" t="s">
        <v>70</v>
      </c>
      <c r="B13" s="409" t="s">
        <v>155</v>
      </c>
      <c r="C13" s="409" t="s">
        <v>70</v>
      </c>
      <c r="D13" s="409" t="s">
        <v>155</v>
      </c>
      <c r="E13" s="410">
        <v>150000</v>
      </c>
      <c r="F13" s="410">
        <v>22500</v>
      </c>
      <c r="G13" s="411">
        <f t="shared" si="0"/>
        <v>172500</v>
      </c>
      <c r="H13" s="412">
        <f t="shared" si="1"/>
        <v>172499.90000000002</v>
      </c>
      <c r="I13" s="411">
        <f t="shared" si="2"/>
        <v>9.9999999976716936E-2</v>
      </c>
      <c r="J13" s="392"/>
      <c r="K13" s="392"/>
      <c r="L13" s="392">
        <v>4388.1000000000004</v>
      </c>
      <c r="M13" s="454">
        <v>9151.7199999999993</v>
      </c>
      <c r="N13" s="392">
        <v>10368.35</v>
      </c>
      <c r="O13" s="392">
        <f>18804.71+9266.2</f>
        <v>28070.91</v>
      </c>
      <c r="P13" s="392"/>
      <c r="Q13" s="392">
        <v>13172.71</v>
      </c>
      <c r="R13" s="393">
        <f>10469.35+13784.84</f>
        <v>24254.190000000002</v>
      </c>
      <c r="S13" s="393">
        <v>12434.35</v>
      </c>
      <c r="T13" s="393">
        <f>16957.47+22295.38</f>
        <v>39252.850000000006</v>
      </c>
      <c r="U13" s="393">
        <v>13262.18</v>
      </c>
      <c r="V13" s="393">
        <v>18144.54</v>
      </c>
      <c r="W13" s="393"/>
      <c r="X13" s="392"/>
      <c r="Y13" s="392"/>
      <c r="Z13" s="392"/>
      <c r="AA13" s="413"/>
      <c r="AB13" s="413"/>
      <c r="AC13" s="390"/>
    </row>
    <row r="14" spans="1:29" s="414" customFormat="1" x14ac:dyDescent="0.25">
      <c r="A14" s="409" t="s">
        <v>4</v>
      </c>
      <c r="B14" s="409" t="s">
        <v>88</v>
      </c>
      <c r="C14" s="409" t="s">
        <v>232</v>
      </c>
      <c r="D14" s="409" t="s">
        <v>631</v>
      </c>
      <c r="E14" s="410">
        <v>149997</v>
      </c>
      <c r="F14" s="410">
        <v>19445</v>
      </c>
      <c r="G14" s="411">
        <f t="shared" si="0"/>
        <v>169442</v>
      </c>
      <c r="H14" s="412">
        <f t="shared" si="1"/>
        <v>155579.42000000001</v>
      </c>
      <c r="I14" s="411">
        <f t="shared" si="2"/>
        <v>13862.579999999987</v>
      </c>
      <c r="J14" s="392"/>
      <c r="K14" s="392"/>
      <c r="L14" s="392"/>
      <c r="M14" s="454">
        <v>9045.15</v>
      </c>
      <c r="N14" s="392">
        <v>13564.69</v>
      </c>
      <c r="O14" s="392">
        <v>10142.25</v>
      </c>
      <c r="P14" s="391">
        <v>9485.43</v>
      </c>
      <c r="Q14" s="392">
        <v>6076.77</v>
      </c>
      <c r="R14" s="393">
        <v>12752.5</v>
      </c>
      <c r="S14" s="393">
        <v>10757.58</v>
      </c>
      <c r="T14" s="393">
        <v>14854.61</v>
      </c>
      <c r="U14" s="393">
        <v>25311.77</v>
      </c>
      <c r="V14" s="393">
        <f>15508.69+28079.98</f>
        <v>43588.67</v>
      </c>
      <c r="W14" s="393"/>
      <c r="X14" s="392"/>
      <c r="Y14" s="392"/>
      <c r="Z14" s="392"/>
      <c r="AA14" s="413"/>
      <c r="AB14" s="413"/>
      <c r="AC14" s="390"/>
    </row>
    <row r="15" spans="1:29" s="414" customFormat="1" x14ac:dyDescent="0.25">
      <c r="A15" s="409" t="s">
        <v>4</v>
      </c>
      <c r="B15" s="409" t="s">
        <v>88</v>
      </c>
      <c r="C15" s="409" t="s">
        <v>677</v>
      </c>
      <c r="D15" s="409" t="s">
        <v>632</v>
      </c>
      <c r="E15" s="410">
        <v>149929</v>
      </c>
      <c r="F15" s="410">
        <v>9120</v>
      </c>
      <c r="G15" s="411">
        <f t="shared" si="0"/>
        <v>159049</v>
      </c>
      <c r="H15" s="412">
        <f t="shared" si="1"/>
        <v>141560.38</v>
      </c>
      <c r="I15" s="411">
        <f t="shared" si="2"/>
        <v>17488.619999999995</v>
      </c>
      <c r="J15" s="392"/>
      <c r="K15" s="392"/>
      <c r="L15" s="392"/>
      <c r="M15" s="392"/>
      <c r="N15" s="391">
        <v>10437.76</v>
      </c>
      <c r="O15" s="392">
        <v>10340.5</v>
      </c>
      <c r="P15" s="391">
        <v>5882.88</v>
      </c>
      <c r="Q15" s="396">
        <v>4315.25</v>
      </c>
      <c r="R15" s="397">
        <v>19599.63</v>
      </c>
      <c r="S15" s="397">
        <v>10028.11</v>
      </c>
      <c r="T15" s="393">
        <v>10658.46</v>
      </c>
      <c r="U15" s="393">
        <v>20803.3</v>
      </c>
      <c r="V15" s="393">
        <f>18739.66+30754.83</f>
        <v>49494.490000000005</v>
      </c>
      <c r="W15" s="393"/>
      <c r="X15" s="392"/>
      <c r="Y15" s="392"/>
      <c r="Z15" s="392"/>
      <c r="AA15" s="413"/>
      <c r="AB15" s="413"/>
      <c r="AC15" s="390"/>
    </row>
    <row r="16" spans="1:29" s="414" customFormat="1" x14ac:dyDescent="0.25">
      <c r="A16" s="409" t="s">
        <v>5</v>
      </c>
      <c r="B16" s="409" t="s">
        <v>152</v>
      </c>
      <c r="C16" s="409" t="s">
        <v>233</v>
      </c>
      <c r="D16" s="409" t="s">
        <v>633</v>
      </c>
      <c r="E16" s="410">
        <v>144577</v>
      </c>
      <c r="F16" s="410">
        <v>0</v>
      </c>
      <c r="G16" s="411">
        <f t="shared" si="0"/>
        <v>144577</v>
      </c>
      <c r="H16" s="412">
        <f t="shared" si="1"/>
        <v>93453.440000000002</v>
      </c>
      <c r="I16" s="411">
        <f t="shared" si="2"/>
        <v>51123.56</v>
      </c>
      <c r="J16" s="392"/>
      <c r="K16" s="392"/>
      <c r="L16" s="392"/>
      <c r="M16" s="454">
        <v>25726.5</v>
      </c>
      <c r="N16" s="392">
        <v>7361.61</v>
      </c>
      <c r="O16" s="392">
        <v>2488.4699999999998</v>
      </c>
      <c r="P16" s="391">
        <f>13615.45</f>
        <v>13615.45</v>
      </c>
      <c r="Q16" s="392">
        <v>5009.3500000000004</v>
      </c>
      <c r="R16" s="393">
        <v>8128.45</v>
      </c>
      <c r="S16" s="393">
        <v>10105.700000000001</v>
      </c>
      <c r="T16" s="393"/>
      <c r="U16" s="393">
        <v>21017.91</v>
      </c>
      <c r="V16" s="393"/>
      <c r="W16" s="393"/>
      <c r="X16" s="392"/>
      <c r="Y16" s="392"/>
      <c r="Z16" s="392"/>
      <c r="AA16" s="415"/>
      <c r="AB16" s="415"/>
      <c r="AC16" s="390"/>
    </row>
    <row r="17" spans="1:29" s="414" customFormat="1" ht="12.75" customHeight="1" x14ac:dyDescent="0.25">
      <c r="A17" s="409" t="s">
        <v>219</v>
      </c>
      <c r="B17" s="409" t="s">
        <v>621</v>
      </c>
      <c r="C17" s="409" t="s">
        <v>969</v>
      </c>
      <c r="D17" s="409" t="s">
        <v>634</v>
      </c>
      <c r="E17" s="410">
        <v>147945</v>
      </c>
      <c r="F17" s="410">
        <v>0</v>
      </c>
      <c r="G17" s="411">
        <f t="shared" si="0"/>
        <v>147945</v>
      </c>
      <c r="H17" s="412">
        <f t="shared" si="1"/>
        <v>129105.26</v>
      </c>
      <c r="I17" s="411">
        <f t="shared" si="2"/>
        <v>18839.740000000005</v>
      </c>
      <c r="J17" s="392"/>
      <c r="K17" s="392"/>
      <c r="L17" s="454"/>
      <c r="M17" s="392"/>
      <c r="N17" s="391">
        <v>20274.86</v>
      </c>
      <c r="O17" s="392">
        <v>28278.55</v>
      </c>
      <c r="P17" s="391">
        <v>13677.64</v>
      </c>
      <c r="Q17" s="392">
        <v>10388.25</v>
      </c>
      <c r="R17" s="393">
        <v>9728.15</v>
      </c>
      <c r="S17" s="393">
        <v>12691.32</v>
      </c>
      <c r="T17" s="393">
        <v>11003.33</v>
      </c>
      <c r="U17" s="393">
        <v>11469.89</v>
      </c>
      <c r="V17" s="393">
        <v>11593.27</v>
      </c>
      <c r="W17" s="393"/>
      <c r="X17" s="392"/>
      <c r="Y17" s="392"/>
      <c r="Z17" s="392"/>
      <c r="AA17" s="413"/>
      <c r="AB17" s="413"/>
      <c r="AC17" s="390"/>
    </row>
    <row r="18" spans="1:29" s="414" customFormat="1" x14ac:dyDescent="0.25">
      <c r="A18" s="409" t="s">
        <v>219</v>
      </c>
      <c r="B18" s="409" t="s">
        <v>621</v>
      </c>
      <c r="C18" s="409" t="s">
        <v>970</v>
      </c>
      <c r="D18" s="409" t="s">
        <v>635</v>
      </c>
      <c r="E18" s="410">
        <v>147945</v>
      </c>
      <c r="F18" s="410">
        <v>11264</v>
      </c>
      <c r="G18" s="411">
        <f t="shared" si="0"/>
        <v>159209</v>
      </c>
      <c r="H18" s="412">
        <f t="shared" si="1"/>
        <v>151037.98000000001</v>
      </c>
      <c r="I18" s="411">
        <f t="shared" si="2"/>
        <v>8171.0199999999895</v>
      </c>
      <c r="J18" s="392"/>
      <c r="K18" s="392"/>
      <c r="L18" s="391">
        <v>26893.52</v>
      </c>
      <c r="M18" s="392"/>
      <c r="N18" s="391">
        <v>9419.2900000000009</v>
      </c>
      <c r="O18" s="392">
        <v>30794.5</v>
      </c>
      <c r="P18" s="391">
        <v>11600.61</v>
      </c>
      <c r="Q18" s="392">
        <v>7100.51</v>
      </c>
      <c r="R18" s="393">
        <v>11124.22</v>
      </c>
      <c r="S18" s="393">
        <v>12947.49</v>
      </c>
      <c r="T18" s="393">
        <v>10240.09</v>
      </c>
      <c r="U18" s="393">
        <v>16751.46</v>
      </c>
      <c r="V18" s="393">
        <v>14166.29</v>
      </c>
      <c r="W18" s="393"/>
      <c r="X18" s="392"/>
      <c r="Y18" s="392"/>
      <c r="Z18" s="392"/>
      <c r="AA18" s="413"/>
      <c r="AB18" s="413"/>
      <c r="AC18" s="390"/>
    </row>
    <row r="19" spans="1:29" s="414" customFormat="1" ht="12.75" customHeight="1" x14ac:dyDescent="0.25">
      <c r="A19" s="409" t="s">
        <v>90</v>
      </c>
      <c r="B19" s="409" t="s">
        <v>622</v>
      </c>
      <c r="C19" s="409" t="s">
        <v>971</v>
      </c>
      <c r="D19" s="409" t="s">
        <v>636</v>
      </c>
      <c r="E19" s="410">
        <v>90000</v>
      </c>
      <c r="F19" s="410">
        <v>21207</v>
      </c>
      <c r="G19" s="411">
        <f t="shared" si="0"/>
        <v>111207</v>
      </c>
      <c r="H19" s="412">
        <f t="shared" si="1"/>
        <v>111207</v>
      </c>
      <c r="I19" s="411">
        <f t="shared" si="2"/>
        <v>0</v>
      </c>
      <c r="J19" s="392"/>
      <c r="K19" s="392"/>
      <c r="L19" s="392"/>
      <c r="M19" s="392"/>
      <c r="N19" s="391">
        <v>4077.82</v>
      </c>
      <c r="O19" s="392"/>
      <c r="P19" s="391">
        <v>18205.310000000001</v>
      </c>
      <c r="Q19" s="392">
        <v>6833.52</v>
      </c>
      <c r="R19" s="397">
        <v>11073.5</v>
      </c>
      <c r="S19" s="397">
        <v>14714.05</v>
      </c>
      <c r="T19" s="393">
        <v>15904.94</v>
      </c>
      <c r="U19" s="393">
        <v>13988.6</v>
      </c>
      <c r="V19" s="393">
        <f>14130.46+12278.8</f>
        <v>26409.26</v>
      </c>
      <c r="W19" s="393"/>
      <c r="X19" s="392"/>
      <c r="Y19" s="392"/>
      <c r="Z19" s="392"/>
      <c r="AA19" s="413"/>
      <c r="AB19" s="413"/>
      <c r="AC19" s="390"/>
    </row>
    <row r="20" spans="1:29" s="414" customFormat="1" ht="12.75" customHeight="1" x14ac:dyDescent="0.25">
      <c r="A20" s="409" t="s">
        <v>90</v>
      </c>
      <c r="B20" s="409" t="s">
        <v>622</v>
      </c>
      <c r="C20" s="409" t="s">
        <v>972</v>
      </c>
      <c r="D20" s="409" t="s">
        <v>638</v>
      </c>
      <c r="E20" s="410">
        <v>150000</v>
      </c>
      <c r="F20" s="410">
        <v>3320</v>
      </c>
      <c r="G20" s="411">
        <f t="shared" si="0"/>
        <v>153320</v>
      </c>
      <c r="H20" s="412">
        <f t="shared" si="1"/>
        <v>153320</v>
      </c>
      <c r="I20" s="411">
        <f t="shared" si="2"/>
        <v>0</v>
      </c>
      <c r="J20" s="392"/>
      <c r="K20" s="392"/>
      <c r="L20" s="392"/>
      <c r="M20" s="392"/>
      <c r="N20" s="391">
        <v>6876.32</v>
      </c>
      <c r="O20" s="392"/>
      <c r="P20" s="398">
        <v>31390.81</v>
      </c>
      <c r="Q20" s="396">
        <v>13372.06</v>
      </c>
      <c r="R20" s="397">
        <v>14499.64</v>
      </c>
      <c r="S20" s="397">
        <v>19412.79</v>
      </c>
      <c r="T20" s="393">
        <v>13363.8</v>
      </c>
      <c r="U20" s="393">
        <v>14754.79</v>
      </c>
      <c r="V20" s="393">
        <f>26734.58+12915.21</f>
        <v>39649.79</v>
      </c>
      <c r="W20" s="393"/>
      <c r="X20" s="392"/>
      <c r="Y20" s="392"/>
      <c r="Z20" s="392"/>
      <c r="AA20" s="440"/>
      <c r="AB20" s="440"/>
      <c r="AC20" s="390"/>
    </row>
    <row r="21" spans="1:29" s="414" customFormat="1" ht="12.75" customHeight="1" x14ac:dyDescent="0.25">
      <c r="A21" s="409" t="s">
        <v>90</v>
      </c>
      <c r="B21" s="409" t="s">
        <v>622</v>
      </c>
      <c r="C21" s="409" t="s">
        <v>973</v>
      </c>
      <c r="D21" s="409" t="s">
        <v>637</v>
      </c>
      <c r="E21" s="410">
        <v>100000</v>
      </c>
      <c r="F21" s="410">
        <v>21172</v>
      </c>
      <c r="G21" s="411">
        <f t="shared" si="0"/>
        <v>121172</v>
      </c>
      <c r="H21" s="412">
        <f t="shared" si="1"/>
        <v>121172</v>
      </c>
      <c r="I21" s="411">
        <f t="shared" si="2"/>
        <v>0</v>
      </c>
      <c r="J21" s="392"/>
      <c r="K21" s="392"/>
      <c r="L21" s="392"/>
      <c r="M21" s="392"/>
      <c r="N21" s="391">
        <v>5328.13</v>
      </c>
      <c r="O21" s="392"/>
      <c r="P21" s="392">
        <v>21318.19</v>
      </c>
      <c r="Q21" s="396">
        <v>9561.35</v>
      </c>
      <c r="R21" s="397">
        <v>12213.14</v>
      </c>
      <c r="S21" s="397">
        <v>13087.07</v>
      </c>
      <c r="T21" s="393">
        <v>11105.63</v>
      </c>
      <c r="U21" s="393">
        <v>11050.74</v>
      </c>
      <c r="V21" s="393">
        <f>18014.54+19493.21</f>
        <v>37507.75</v>
      </c>
      <c r="W21" s="393"/>
      <c r="X21" s="392"/>
      <c r="Y21" s="392"/>
      <c r="Z21" s="392"/>
      <c r="AA21" s="413"/>
      <c r="AB21" s="413"/>
      <c r="AC21" s="441"/>
    </row>
    <row r="22" spans="1:29" s="414" customFormat="1" x14ac:dyDescent="0.25">
      <c r="A22" s="409" t="s">
        <v>220</v>
      </c>
      <c r="B22" s="409" t="s">
        <v>623</v>
      </c>
      <c r="C22" s="409" t="s">
        <v>974</v>
      </c>
      <c r="D22" s="409" t="s">
        <v>639</v>
      </c>
      <c r="E22" s="410">
        <v>150000</v>
      </c>
      <c r="F22" s="410">
        <v>22315</v>
      </c>
      <c r="G22" s="411">
        <f t="shared" si="0"/>
        <v>172315</v>
      </c>
      <c r="H22" s="412">
        <f t="shared" si="1"/>
        <v>94851.85</v>
      </c>
      <c r="I22" s="411">
        <f t="shared" si="2"/>
        <v>77463.149999999994</v>
      </c>
      <c r="J22" s="392"/>
      <c r="K22" s="392"/>
      <c r="L22" s="392"/>
      <c r="M22" s="392"/>
      <c r="N22" s="391">
        <v>8151.54</v>
      </c>
      <c r="O22" s="392"/>
      <c r="P22" s="391">
        <v>50740.35</v>
      </c>
      <c r="Q22" s="392"/>
      <c r="R22" s="393"/>
      <c r="S22" s="393">
        <v>35959.96</v>
      </c>
      <c r="T22" s="393"/>
      <c r="U22" s="393"/>
      <c r="V22" s="393"/>
      <c r="W22" s="393"/>
      <c r="X22" s="392"/>
      <c r="Y22" s="392"/>
      <c r="Z22" s="392"/>
      <c r="AA22" s="413"/>
      <c r="AB22" s="413"/>
      <c r="AC22" s="390"/>
    </row>
    <row r="23" spans="1:29" s="414" customFormat="1" x14ac:dyDescent="0.25">
      <c r="A23" s="409" t="s">
        <v>220</v>
      </c>
      <c r="B23" s="409" t="s">
        <v>623</v>
      </c>
      <c r="C23" s="409" t="s">
        <v>975</v>
      </c>
      <c r="D23" s="409" t="s">
        <v>640</v>
      </c>
      <c r="E23" s="410">
        <v>150000</v>
      </c>
      <c r="F23" s="410">
        <v>1094</v>
      </c>
      <c r="G23" s="411">
        <f t="shared" si="0"/>
        <v>151094</v>
      </c>
      <c r="H23" s="412">
        <f t="shared" si="1"/>
        <v>151094</v>
      </c>
      <c r="I23" s="411">
        <f t="shared" si="2"/>
        <v>0</v>
      </c>
      <c r="J23" s="392"/>
      <c r="K23" s="392"/>
      <c r="L23" s="392"/>
      <c r="M23" s="392"/>
      <c r="N23" s="391">
        <v>8990.1299999999992</v>
      </c>
      <c r="O23" s="392"/>
      <c r="P23" s="391">
        <v>37802.18</v>
      </c>
      <c r="Q23" s="392"/>
      <c r="R23" s="393"/>
      <c r="S23" s="393">
        <v>60897.29</v>
      </c>
      <c r="T23" s="393"/>
      <c r="U23" s="393">
        <f>33607+9797.4</f>
        <v>43404.4</v>
      </c>
      <c r="V23" s="393"/>
      <c r="W23" s="393"/>
      <c r="X23" s="392"/>
      <c r="Y23" s="392"/>
      <c r="Z23" s="392"/>
      <c r="AA23" s="413"/>
      <c r="AB23" s="413"/>
      <c r="AC23" s="390"/>
    </row>
    <row r="24" spans="1:29" s="414" customFormat="1" ht="12.75" customHeight="1" x14ac:dyDescent="0.25">
      <c r="A24" s="409" t="s">
        <v>963</v>
      </c>
      <c r="B24" s="409" t="s">
        <v>624</v>
      </c>
      <c r="C24" s="409" t="s">
        <v>683</v>
      </c>
      <c r="D24" s="409" t="s">
        <v>641</v>
      </c>
      <c r="E24" s="410">
        <v>105757</v>
      </c>
      <c r="F24" s="410">
        <v>28075</v>
      </c>
      <c r="G24" s="411">
        <f t="shared" si="0"/>
        <v>133832</v>
      </c>
      <c r="H24" s="412">
        <f t="shared" si="1"/>
        <v>113248</v>
      </c>
      <c r="I24" s="411">
        <f t="shared" si="2"/>
        <v>20584</v>
      </c>
      <c r="J24" s="392"/>
      <c r="K24" s="392"/>
      <c r="L24" s="392">
        <v>16941</v>
      </c>
      <c r="M24" s="454">
        <v>9556</v>
      </c>
      <c r="N24" s="391">
        <v>12343</v>
      </c>
      <c r="O24" s="392">
        <v>10086</v>
      </c>
      <c r="P24" s="391">
        <v>8333</v>
      </c>
      <c r="Q24" s="396">
        <v>9490</v>
      </c>
      <c r="R24" s="397">
        <v>12256</v>
      </c>
      <c r="S24" s="397">
        <v>9601</v>
      </c>
      <c r="T24" s="393">
        <v>7985</v>
      </c>
      <c r="U24" s="393">
        <v>9789</v>
      </c>
      <c r="V24" s="393"/>
      <c r="W24" s="393">
        <v>6868</v>
      </c>
      <c r="X24" s="392"/>
      <c r="Y24" s="392"/>
      <c r="Z24" s="392"/>
      <c r="AA24" s="413"/>
      <c r="AB24" s="413"/>
      <c r="AC24" s="390"/>
    </row>
    <row r="25" spans="1:29" s="414" customFormat="1" x14ac:dyDescent="0.25">
      <c r="A25" s="409">
        <v>8001</v>
      </c>
      <c r="B25" s="409" t="s">
        <v>156</v>
      </c>
      <c r="C25" s="409" t="s">
        <v>591</v>
      </c>
      <c r="D25" s="409" t="s">
        <v>960</v>
      </c>
      <c r="E25" s="442">
        <v>140900.67000000001</v>
      </c>
      <c r="F25" s="443">
        <v>30013</v>
      </c>
      <c r="G25" s="411">
        <f t="shared" si="0"/>
        <v>170913.67</v>
      </c>
      <c r="H25" s="412">
        <f t="shared" si="1"/>
        <v>131476.92000000001</v>
      </c>
      <c r="I25" s="411">
        <f t="shared" si="2"/>
        <v>39436.75</v>
      </c>
      <c r="J25" s="392"/>
      <c r="K25" s="392"/>
      <c r="L25" s="392"/>
      <c r="M25" s="392"/>
      <c r="N25" s="392"/>
      <c r="O25" s="392"/>
      <c r="P25" s="392"/>
      <c r="Q25" s="392"/>
      <c r="R25" s="393"/>
      <c r="S25" s="393"/>
      <c r="T25" s="393">
        <v>7648.13</v>
      </c>
      <c r="U25" s="393">
        <f>51503.29+8030.47+7723</f>
        <v>67256.760000000009</v>
      </c>
      <c r="V25" s="393">
        <v>11770.29</v>
      </c>
      <c r="W25" s="393">
        <v>44801.74</v>
      </c>
      <c r="X25" s="392"/>
      <c r="Y25" s="392"/>
      <c r="Z25" s="392"/>
      <c r="AA25" s="413"/>
      <c r="AB25" s="413"/>
      <c r="AC25" s="390"/>
    </row>
    <row r="26" spans="1:29" s="414" customFormat="1" x14ac:dyDescent="0.25">
      <c r="A26" s="409">
        <v>8001</v>
      </c>
      <c r="B26" s="409" t="s">
        <v>156</v>
      </c>
      <c r="C26" s="409" t="s">
        <v>684</v>
      </c>
      <c r="D26" s="409" t="s">
        <v>642</v>
      </c>
      <c r="E26" s="410">
        <v>150000</v>
      </c>
      <c r="F26" s="410">
        <v>6543</v>
      </c>
      <c r="G26" s="411">
        <f t="shared" si="0"/>
        <v>156543</v>
      </c>
      <c r="H26" s="412">
        <f t="shared" si="1"/>
        <v>127868.79999999999</v>
      </c>
      <c r="I26" s="411">
        <f t="shared" si="2"/>
        <v>28674.200000000012</v>
      </c>
      <c r="J26" s="392"/>
      <c r="K26" s="392"/>
      <c r="L26" s="392"/>
      <c r="M26" s="392"/>
      <c r="N26" s="392"/>
      <c r="O26" s="392"/>
      <c r="P26" s="392"/>
      <c r="Q26" s="392"/>
      <c r="R26" s="393"/>
      <c r="S26" s="393"/>
      <c r="T26" s="393">
        <v>53282</v>
      </c>
      <c r="U26" s="393">
        <v>16821.87</v>
      </c>
      <c r="V26" s="393">
        <v>10548.59</v>
      </c>
      <c r="W26" s="393">
        <v>47216.34</v>
      </c>
      <c r="X26" s="392"/>
      <c r="Y26" s="392"/>
      <c r="Z26" s="392"/>
      <c r="AA26" s="413"/>
      <c r="AB26" s="413"/>
      <c r="AC26" s="390"/>
    </row>
    <row r="27" spans="1:29" s="414" customFormat="1" x14ac:dyDescent="0.25">
      <c r="A27" s="409">
        <v>8001</v>
      </c>
      <c r="B27" s="409" t="s">
        <v>156</v>
      </c>
      <c r="C27" s="409" t="s">
        <v>444</v>
      </c>
      <c r="D27" s="409" t="s">
        <v>644</v>
      </c>
      <c r="E27" s="442">
        <v>150000</v>
      </c>
      <c r="F27" s="443">
        <v>0</v>
      </c>
      <c r="G27" s="411">
        <f t="shared" si="0"/>
        <v>150000</v>
      </c>
      <c r="H27" s="412">
        <f t="shared" si="1"/>
        <v>83816.33</v>
      </c>
      <c r="I27" s="411">
        <f t="shared" si="2"/>
        <v>66183.67</v>
      </c>
      <c r="J27" s="392"/>
      <c r="K27" s="392"/>
      <c r="L27" s="392"/>
      <c r="M27" s="392"/>
      <c r="N27" s="392"/>
      <c r="O27" s="392"/>
      <c r="P27" s="392"/>
      <c r="Q27" s="392"/>
      <c r="R27" s="393"/>
      <c r="S27" s="393"/>
      <c r="T27" s="393">
        <v>57369.86</v>
      </c>
      <c r="U27" s="393">
        <v>26446.47</v>
      </c>
      <c r="V27" s="393"/>
      <c r="W27" s="393"/>
      <c r="X27" s="392"/>
      <c r="Y27" s="392"/>
      <c r="Z27" s="392"/>
      <c r="AA27" s="413"/>
      <c r="AB27" s="413"/>
      <c r="AC27" s="390"/>
    </row>
    <row r="28" spans="1:29" s="414" customFormat="1" x14ac:dyDescent="0.25">
      <c r="A28" s="409" t="s">
        <v>52</v>
      </c>
      <c r="B28" s="409" t="s">
        <v>156</v>
      </c>
      <c r="C28" s="409" t="s">
        <v>493</v>
      </c>
      <c r="D28" s="409" t="s">
        <v>961</v>
      </c>
      <c r="E28" s="410">
        <v>150000</v>
      </c>
      <c r="F28" s="410">
        <v>11892</v>
      </c>
      <c r="G28" s="411">
        <f t="shared" si="0"/>
        <v>161892</v>
      </c>
      <c r="H28" s="412">
        <f t="shared" si="1"/>
        <v>116640.78</v>
      </c>
      <c r="I28" s="411">
        <f t="shared" si="2"/>
        <v>45251.22</v>
      </c>
      <c r="J28" s="392"/>
      <c r="K28" s="392"/>
      <c r="L28" s="392"/>
      <c r="M28" s="392"/>
      <c r="N28" s="392"/>
      <c r="O28" s="392"/>
      <c r="P28" s="392"/>
      <c r="Q28" s="392"/>
      <c r="R28" s="393"/>
      <c r="S28" s="393"/>
      <c r="T28" s="393">
        <v>38898.76</v>
      </c>
      <c r="U28" s="393">
        <f>14654</f>
        <v>14654</v>
      </c>
      <c r="V28" s="393">
        <v>25047.93</v>
      </c>
      <c r="W28" s="393">
        <v>38040.089999999997</v>
      </c>
      <c r="X28" s="392"/>
      <c r="Y28" s="392"/>
      <c r="Z28" s="392"/>
      <c r="AA28" s="413"/>
      <c r="AB28" s="413"/>
      <c r="AC28" s="390"/>
    </row>
    <row r="29" spans="1:29" s="414" customFormat="1" x14ac:dyDescent="0.25">
      <c r="A29" s="409" t="s">
        <v>52</v>
      </c>
      <c r="B29" s="409" t="s">
        <v>156</v>
      </c>
      <c r="C29" s="409" t="s">
        <v>248</v>
      </c>
      <c r="D29" s="409" t="s">
        <v>643</v>
      </c>
      <c r="E29" s="442">
        <v>149895</v>
      </c>
      <c r="F29" s="443">
        <v>0</v>
      </c>
      <c r="G29" s="411">
        <f t="shared" si="0"/>
        <v>149895</v>
      </c>
      <c r="H29" s="412">
        <f t="shared" si="1"/>
        <v>149795</v>
      </c>
      <c r="I29" s="411">
        <f t="shared" si="2"/>
        <v>100</v>
      </c>
      <c r="J29" s="392"/>
      <c r="K29" s="392"/>
      <c r="L29" s="392"/>
      <c r="M29" s="392"/>
      <c r="N29" s="392"/>
      <c r="O29" s="392"/>
      <c r="P29" s="392"/>
      <c r="Q29" s="392"/>
      <c r="R29" s="393"/>
      <c r="S29" s="393"/>
      <c r="T29" s="393"/>
      <c r="U29" s="393">
        <f>58313.22+27119.76</f>
        <v>85432.98</v>
      </c>
      <c r="V29" s="393">
        <v>10922.39</v>
      </c>
      <c r="W29" s="393">
        <v>53439.63</v>
      </c>
      <c r="X29" s="392"/>
      <c r="Y29" s="392"/>
      <c r="Z29" s="392"/>
      <c r="AA29" s="413"/>
      <c r="AB29" s="413"/>
      <c r="AC29" s="390"/>
    </row>
    <row r="30" spans="1:29" s="414" customFormat="1" x14ac:dyDescent="0.25">
      <c r="A30" s="409" t="s">
        <v>22</v>
      </c>
      <c r="B30" s="409" t="s">
        <v>625</v>
      </c>
      <c r="C30" s="409" t="s">
        <v>569</v>
      </c>
      <c r="D30" s="409" t="s">
        <v>650</v>
      </c>
      <c r="E30" s="443">
        <v>150000</v>
      </c>
      <c r="F30" s="443">
        <v>8733</v>
      </c>
      <c r="G30" s="411">
        <f t="shared" si="0"/>
        <v>158733</v>
      </c>
      <c r="H30" s="412">
        <f t="shared" si="1"/>
        <v>139963.45000000001</v>
      </c>
      <c r="I30" s="411">
        <f t="shared" si="2"/>
        <v>18769.549999999988</v>
      </c>
      <c r="J30" s="392"/>
      <c r="K30" s="392"/>
      <c r="L30" s="454">
        <v>908.45</v>
      </c>
      <c r="M30" s="392"/>
      <c r="N30" s="392"/>
      <c r="O30" s="392">
        <v>5179.38</v>
      </c>
      <c r="P30" s="392"/>
      <c r="Q30" s="392"/>
      <c r="R30" s="393"/>
      <c r="S30" s="393">
        <v>22275.13</v>
      </c>
      <c r="T30" s="393">
        <v>23742.42</v>
      </c>
      <c r="U30" s="393">
        <v>7639.86</v>
      </c>
      <c r="V30" s="393">
        <v>64843.21</v>
      </c>
      <c r="W30" s="393">
        <v>15375</v>
      </c>
      <c r="X30" s="392"/>
      <c r="Y30" s="392"/>
      <c r="Z30" s="392"/>
      <c r="AA30" s="413"/>
      <c r="AB30" s="413"/>
      <c r="AC30" s="390"/>
    </row>
    <row r="31" spans="1:29" s="414" customFormat="1" ht="12.75" customHeight="1" x14ac:dyDescent="0.25">
      <c r="A31" s="409" t="s">
        <v>211</v>
      </c>
      <c r="B31" s="409" t="s">
        <v>222</v>
      </c>
      <c r="C31" s="409" t="s">
        <v>211</v>
      </c>
      <c r="D31" s="409" t="s">
        <v>222</v>
      </c>
      <c r="E31" s="443">
        <v>127688</v>
      </c>
      <c r="F31" s="443">
        <v>0</v>
      </c>
      <c r="G31" s="411">
        <f t="shared" si="0"/>
        <v>127688</v>
      </c>
      <c r="H31" s="412">
        <f t="shared" si="1"/>
        <v>53805.48</v>
      </c>
      <c r="I31" s="411">
        <f t="shared" si="2"/>
        <v>73882.51999999999</v>
      </c>
      <c r="J31" s="392"/>
      <c r="K31" s="392"/>
      <c r="L31" s="392"/>
      <c r="M31" s="392"/>
      <c r="N31" s="392"/>
      <c r="O31" s="392"/>
      <c r="P31" s="392"/>
      <c r="Q31" s="392">
        <v>53805.48</v>
      </c>
      <c r="R31" s="393"/>
      <c r="S31" s="393"/>
      <c r="T31" s="393"/>
      <c r="U31" s="393"/>
      <c r="V31" s="393"/>
      <c r="W31" s="393"/>
      <c r="X31" s="392"/>
      <c r="Y31" s="392"/>
      <c r="Z31" s="392"/>
      <c r="AA31" s="413"/>
      <c r="AB31" s="413"/>
      <c r="AC31" s="390"/>
    </row>
    <row r="32" spans="1:29" s="414" customFormat="1" x14ac:dyDescent="0.25">
      <c r="A32" s="409" t="s">
        <v>216</v>
      </c>
      <c r="B32" s="409" t="s">
        <v>227</v>
      </c>
      <c r="C32" s="409" t="s">
        <v>976</v>
      </c>
      <c r="D32" s="409" t="s">
        <v>655</v>
      </c>
      <c r="E32" s="443">
        <v>150000</v>
      </c>
      <c r="F32" s="443">
        <v>0</v>
      </c>
      <c r="G32" s="411">
        <f t="shared" si="0"/>
        <v>150000</v>
      </c>
      <c r="H32" s="412">
        <f t="shared" si="1"/>
        <v>82838.109999999986</v>
      </c>
      <c r="I32" s="411">
        <f t="shared" si="2"/>
        <v>67161.890000000014</v>
      </c>
      <c r="J32" s="392"/>
      <c r="K32" s="392"/>
      <c r="L32" s="392"/>
      <c r="M32" s="454">
        <v>41603.769999999997</v>
      </c>
      <c r="N32" s="392"/>
      <c r="O32" s="392"/>
      <c r="P32" s="391">
        <v>41234.339999999997</v>
      </c>
      <c r="Q32" s="392"/>
      <c r="R32" s="393"/>
      <c r="S32" s="393"/>
      <c r="T32" s="393"/>
      <c r="U32" s="393"/>
      <c r="V32" s="393"/>
      <c r="W32" s="393"/>
      <c r="X32" s="392"/>
      <c r="Y32" s="392"/>
      <c r="Z32" s="392"/>
      <c r="AA32" s="413"/>
      <c r="AB32" s="413"/>
      <c r="AC32" s="390"/>
    </row>
    <row r="33" spans="1:42" s="414" customFormat="1" ht="16.149999999999999" customHeight="1" x14ac:dyDescent="0.25">
      <c r="A33" s="409" t="s">
        <v>965</v>
      </c>
      <c r="B33" s="409" t="s">
        <v>228</v>
      </c>
      <c r="C33" s="409" t="s">
        <v>977</v>
      </c>
      <c r="D33" s="409" t="s">
        <v>656</v>
      </c>
      <c r="E33" s="443">
        <v>132714</v>
      </c>
      <c r="F33" s="443">
        <v>0</v>
      </c>
      <c r="G33" s="411">
        <f t="shared" si="0"/>
        <v>132714</v>
      </c>
      <c r="H33" s="412">
        <f t="shared" si="1"/>
        <v>132714</v>
      </c>
      <c r="I33" s="411">
        <f t="shared" si="2"/>
        <v>0</v>
      </c>
      <c r="J33" s="392"/>
      <c r="K33" s="392"/>
      <c r="L33" s="392"/>
      <c r="M33" s="454">
        <v>27004.82</v>
      </c>
      <c r="N33" s="392"/>
      <c r="O33" s="392">
        <v>11778.14</v>
      </c>
      <c r="P33" s="392"/>
      <c r="Q33" s="392">
        <v>31740.44</v>
      </c>
      <c r="R33" s="393">
        <v>22954.53</v>
      </c>
      <c r="S33" s="393"/>
      <c r="T33" s="393"/>
      <c r="U33" s="393">
        <f>28743.92+10492.15</f>
        <v>39236.07</v>
      </c>
      <c r="V33" s="393"/>
      <c r="W33" s="393"/>
      <c r="X33" s="392"/>
      <c r="Y33" s="392"/>
      <c r="Z33" s="392"/>
      <c r="AA33" s="413"/>
      <c r="AB33" s="413"/>
      <c r="AC33" s="390"/>
    </row>
    <row r="34" spans="1:42" s="414" customFormat="1" x14ac:dyDescent="0.25">
      <c r="A34" s="409" t="s">
        <v>212</v>
      </c>
      <c r="B34" s="409" t="s">
        <v>223</v>
      </c>
      <c r="C34" s="409" t="s">
        <v>236</v>
      </c>
      <c r="D34" s="409" t="s">
        <v>657</v>
      </c>
      <c r="E34" s="443">
        <v>120596</v>
      </c>
      <c r="F34" s="443">
        <v>0</v>
      </c>
      <c r="G34" s="411">
        <f t="shared" si="0"/>
        <v>120596</v>
      </c>
      <c r="H34" s="412">
        <f t="shared" si="1"/>
        <v>120596</v>
      </c>
      <c r="I34" s="411">
        <f t="shared" si="2"/>
        <v>0</v>
      </c>
      <c r="J34" s="392"/>
      <c r="K34" s="392"/>
      <c r="L34" s="392"/>
      <c r="M34" s="392"/>
      <c r="N34" s="391">
        <v>8117.58</v>
      </c>
      <c r="O34" s="392">
        <v>21326.31</v>
      </c>
      <c r="P34" s="392"/>
      <c r="Q34" s="392">
        <v>6251.23</v>
      </c>
      <c r="R34" s="393">
        <v>3602.72</v>
      </c>
      <c r="S34" s="393"/>
      <c r="T34" s="393">
        <v>6151.07</v>
      </c>
      <c r="U34" s="393">
        <f>20064+8323.53</f>
        <v>28387.53</v>
      </c>
      <c r="V34" s="393">
        <v>46759.56</v>
      </c>
      <c r="W34" s="393"/>
      <c r="X34" s="392"/>
      <c r="Y34" s="392"/>
      <c r="Z34" s="392"/>
      <c r="AA34" s="413"/>
      <c r="AB34" s="413"/>
      <c r="AC34" s="390"/>
    </row>
    <row r="35" spans="1:42" s="414" customFormat="1" x14ac:dyDescent="0.25">
      <c r="A35" s="409" t="s">
        <v>28</v>
      </c>
      <c r="B35" s="409" t="s">
        <v>78</v>
      </c>
      <c r="C35" s="409" t="s">
        <v>237</v>
      </c>
      <c r="D35" s="409" t="s">
        <v>658</v>
      </c>
      <c r="E35" s="443">
        <v>150000</v>
      </c>
      <c r="F35" s="443">
        <v>19977</v>
      </c>
      <c r="G35" s="411">
        <f t="shared" si="0"/>
        <v>169977</v>
      </c>
      <c r="H35" s="412">
        <f t="shared" si="1"/>
        <v>157084.5</v>
      </c>
      <c r="I35" s="411">
        <f t="shared" si="2"/>
        <v>12892.5</v>
      </c>
      <c r="J35" s="392"/>
      <c r="K35" s="392"/>
      <c r="L35" s="392"/>
      <c r="M35" s="454">
        <v>24362.6</v>
      </c>
      <c r="N35" s="396">
        <f>12277.25+7699.59</f>
        <v>19976.84</v>
      </c>
      <c r="O35" s="392">
        <f>4144.54</f>
        <v>4144.54</v>
      </c>
      <c r="P35" s="391">
        <v>10513.69</v>
      </c>
      <c r="Q35" s="392">
        <v>9255.83</v>
      </c>
      <c r="R35" s="393">
        <v>11530.32</v>
      </c>
      <c r="S35" s="393">
        <v>13676.78</v>
      </c>
      <c r="T35" s="399">
        <v>15869.09</v>
      </c>
      <c r="U35" s="393">
        <v>14254.2</v>
      </c>
      <c r="V35" s="393">
        <v>33500.61</v>
      </c>
      <c r="W35" s="393"/>
      <c r="X35" s="392"/>
      <c r="Y35" s="392"/>
      <c r="Z35" s="392"/>
      <c r="AA35" s="413"/>
      <c r="AB35" s="413"/>
      <c r="AC35" s="390"/>
    </row>
    <row r="36" spans="1:42" s="414" customFormat="1" x14ac:dyDescent="0.25">
      <c r="A36" s="409" t="s">
        <v>28</v>
      </c>
      <c r="B36" s="409" t="s">
        <v>78</v>
      </c>
      <c r="C36" s="409" t="s">
        <v>238</v>
      </c>
      <c r="D36" s="409" t="s">
        <v>659</v>
      </c>
      <c r="E36" s="443">
        <v>150000</v>
      </c>
      <c r="F36" s="443">
        <v>22500</v>
      </c>
      <c r="G36" s="411">
        <f t="shared" si="0"/>
        <v>172500</v>
      </c>
      <c r="H36" s="412">
        <f t="shared" si="1"/>
        <v>140231.83999999997</v>
      </c>
      <c r="I36" s="411">
        <f t="shared" si="2"/>
        <v>32268.160000000033</v>
      </c>
      <c r="J36" s="392"/>
      <c r="K36" s="392"/>
      <c r="L36" s="392"/>
      <c r="M36" s="454">
        <v>33783.65</v>
      </c>
      <c r="N36" s="396">
        <v>10625.93</v>
      </c>
      <c r="O36" s="396">
        <v>12468.92</v>
      </c>
      <c r="P36" s="391">
        <v>14073.76</v>
      </c>
      <c r="Q36" s="396">
        <v>9661.7199999999993</v>
      </c>
      <c r="R36" s="397">
        <v>14658.81</v>
      </c>
      <c r="S36" s="397">
        <v>13377.11</v>
      </c>
      <c r="T36" s="393">
        <v>12390.4</v>
      </c>
      <c r="U36" s="393">
        <v>13825.02</v>
      </c>
      <c r="V36" s="393">
        <v>5366.52</v>
      </c>
      <c r="W36" s="393"/>
      <c r="X36" s="392"/>
      <c r="Y36" s="392"/>
      <c r="Z36" s="392"/>
      <c r="AA36" s="413"/>
      <c r="AB36" s="413"/>
      <c r="AC36" s="390"/>
    </row>
    <row r="37" spans="1:42" s="414" customFormat="1" ht="12.75" customHeight="1" x14ac:dyDescent="0.25">
      <c r="A37" s="409" t="s">
        <v>28</v>
      </c>
      <c r="B37" s="409" t="s">
        <v>78</v>
      </c>
      <c r="C37" s="409" t="s">
        <v>693</v>
      </c>
      <c r="D37" s="409" t="s">
        <v>628</v>
      </c>
      <c r="E37" s="443">
        <v>150000</v>
      </c>
      <c r="F37" s="443">
        <v>22500</v>
      </c>
      <c r="G37" s="411">
        <f t="shared" si="0"/>
        <v>172500</v>
      </c>
      <c r="H37" s="412">
        <f t="shared" si="1"/>
        <v>145067.79999999999</v>
      </c>
      <c r="I37" s="411">
        <f t="shared" si="2"/>
        <v>27432.200000000012</v>
      </c>
      <c r="J37" s="392"/>
      <c r="K37" s="392"/>
      <c r="L37" s="392"/>
      <c r="M37" s="392"/>
      <c r="N37" s="396">
        <v>26944.18</v>
      </c>
      <c r="O37" s="392">
        <v>14571.27</v>
      </c>
      <c r="P37" s="391">
        <v>17054.759999999998</v>
      </c>
      <c r="Q37" s="396">
        <v>11112.28</v>
      </c>
      <c r="R37" s="397">
        <v>10942.16</v>
      </c>
      <c r="S37" s="397">
        <v>18565.3</v>
      </c>
      <c r="T37" s="393">
        <v>18987.03</v>
      </c>
      <c r="U37" s="393">
        <v>18372.38</v>
      </c>
      <c r="V37" s="393">
        <v>8518.44</v>
      </c>
      <c r="W37" s="393"/>
      <c r="X37" s="392"/>
      <c r="Y37" s="392"/>
      <c r="Z37" s="392"/>
      <c r="AA37" s="413"/>
      <c r="AB37" s="413"/>
      <c r="AC37" s="390"/>
    </row>
    <row r="38" spans="1:42" s="414" customFormat="1" x14ac:dyDescent="0.25">
      <c r="A38" s="409" t="s">
        <v>33</v>
      </c>
      <c r="B38" s="409" t="s">
        <v>154</v>
      </c>
      <c r="C38" s="409" t="s">
        <v>239</v>
      </c>
      <c r="D38" s="409" t="s">
        <v>660</v>
      </c>
      <c r="E38" s="442">
        <v>136202</v>
      </c>
      <c r="F38" s="443">
        <v>0</v>
      </c>
      <c r="G38" s="411">
        <f t="shared" si="0"/>
        <v>136202</v>
      </c>
      <c r="H38" s="412">
        <f t="shared" si="1"/>
        <v>108188.83000000002</v>
      </c>
      <c r="I38" s="411">
        <f t="shared" si="2"/>
        <v>28013.169999999984</v>
      </c>
      <c r="J38" s="400"/>
      <c r="K38" s="400"/>
      <c r="L38" s="400"/>
      <c r="M38" s="400"/>
      <c r="N38" s="400"/>
      <c r="O38" s="400">
        <v>37453.68</v>
      </c>
      <c r="P38" s="391">
        <v>12000.62</v>
      </c>
      <c r="Q38" s="400">
        <v>8454.5400000000009</v>
      </c>
      <c r="R38" s="401">
        <v>13720.17</v>
      </c>
      <c r="S38" s="401">
        <v>12361.88</v>
      </c>
      <c r="T38" s="401">
        <v>24197.94</v>
      </c>
      <c r="U38" s="401"/>
      <c r="V38" s="401"/>
      <c r="W38" s="401"/>
      <c r="X38" s="400"/>
      <c r="Y38" s="400"/>
      <c r="Z38" s="400"/>
      <c r="AA38" s="444"/>
      <c r="AB38" s="444"/>
      <c r="AC38" s="390"/>
    </row>
    <row r="39" spans="1:42" s="414" customFormat="1" ht="15" customHeight="1" x14ac:dyDescent="0.25">
      <c r="A39" s="409" t="s">
        <v>63</v>
      </c>
      <c r="B39" s="409" t="s">
        <v>626</v>
      </c>
      <c r="C39" s="409" t="s">
        <v>230</v>
      </c>
      <c r="D39" s="409" t="s">
        <v>661</v>
      </c>
      <c r="E39" s="442">
        <v>142702</v>
      </c>
      <c r="F39" s="443">
        <v>26227</v>
      </c>
      <c r="G39" s="411">
        <f t="shared" si="0"/>
        <v>168929</v>
      </c>
      <c r="H39" s="412">
        <f t="shared" si="1"/>
        <v>133952.76999999999</v>
      </c>
      <c r="I39" s="411">
        <f t="shared" si="2"/>
        <v>34976.23000000001</v>
      </c>
      <c r="J39" s="455"/>
      <c r="K39" s="455"/>
      <c r="L39" s="455"/>
      <c r="M39" s="456">
        <v>12202.69</v>
      </c>
      <c r="N39" s="455"/>
      <c r="O39" s="396">
        <v>15774.66</v>
      </c>
      <c r="P39" s="391">
        <v>14919.67</v>
      </c>
      <c r="Q39" s="396">
        <f>9449.44+7866.42</f>
        <v>17315.86</v>
      </c>
      <c r="R39" s="397">
        <v>17322.810000000001</v>
      </c>
      <c r="S39" s="395">
        <v>8342.61</v>
      </c>
      <c r="T39" s="395">
        <v>7866.71</v>
      </c>
      <c r="U39" s="395">
        <v>10284.34</v>
      </c>
      <c r="V39" s="402">
        <v>22171.31</v>
      </c>
      <c r="W39" s="402">
        <v>7752.11</v>
      </c>
      <c r="X39" s="455"/>
      <c r="Y39" s="455"/>
      <c r="Z39" s="455"/>
      <c r="AA39" s="416"/>
      <c r="AB39" s="416"/>
      <c r="AC39" s="390"/>
    </row>
    <row r="40" spans="1:42" s="414" customFormat="1" ht="15" customHeight="1" x14ac:dyDescent="0.25">
      <c r="A40" s="409" t="s">
        <v>63</v>
      </c>
      <c r="B40" s="409" t="s">
        <v>626</v>
      </c>
      <c r="C40" s="409" t="s">
        <v>231</v>
      </c>
      <c r="D40" s="409" t="s">
        <v>662</v>
      </c>
      <c r="E40" s="442">
        <v>149790</v>
      </c>
      <c r="F40" s="443">
        <v>24880</v>
      </c>
      <c r="G40" s="411">
        <f t="shared" si="0"/>
        <v>174670</v>
      </c>
      <c r="H40" s="412">
        <f t="shared" si="1"/>
        <v>154104.29000000004</v>
      </c>
      <c r="I40" s="411">
        <f t="shared" si="2"/>
        <v>20565.709999999963</v>
      </c>
      <c r="J40" s="400"/>
      <c r="K40" s="403"/>
      <c r="L40" s="457"/>
      <c r="M40" s="391">
        <v>13003.09</v>
      </c>
      <c r="N40" s="403"/>
      <c r="O40" s="400">
        <v>12059.39</v>
      </c>
      <c r="P40" s="391">
        <v>11474.74</v>
      </c>
      <c r="Q40" s="403">
        <f>21272.95+10914.07</f>
        <v>32187.02</v>
      </c>
      <c r="R40" s="401">
        <v>17508.490000000002</v>
      </c>
      <c r="S40" s="404">
        <v>12829.24</v>
      </c>
      <c r="T40" s="401">
        <v>15147.74</v>
      </c>
      <c r="U40" s="405">
        <v>17195.39</v>
      </c>
      <c r="V40" s="401">
        <v>13756.41</v>
      </c>
      <c r="W40" s="401">
        <v>8942.7800000000007</v>
      </c>
      <c r="X40" s="400"/>
      <c r="Y40" s="400"/>
      <c r="Z40" s="400"/>
      <c r="AA40" s="444"/>
      <c r="AB40" s="444"/>
      <c r="AC40" s="390"/>
    </row>
    <row r="41" spans="1:42" s="414" customFormat="1" x14ac:dyDescent="0.25">
      <c r="A41" s="409" t="s">
        <v>210</v>
      </c>
      <c r="B41" s="409" t="s">
        <v>221</v>
      </c>
      <c r="C41" s="409" t="s">
        <v>210</v>
      </c>
      <c r="D41" s="409" t="s">
        <v>221</v>
      </c>
      <c r="E41" s="443">
        <v>145200</v>
      </c>
      <c r="F41" s="443">
        <v>6587</v>
      </c>
      <c r="G41" s="411">
        <f t="shared" si="0"/>
        <v>151787</v>
      </c>
      <c r="H41" s="412">
        <f t="shared" ref="H41:H65" si="3">SUM(L41:Z41)</f>
        <v>151787</v>
      </c>
      <c r="I41" s="411">
        <f t="shared" si="2"/>
        <v>0</v>
      </c>
      <c r="J41" s="400"/>
      <c r="K41" s="400"/>
      <c r="L41" s="457"/>
      <c r="M41" s="403"/>
      <c r="N41" s="400"/>
      <c r="O41" s="403"/>
      <c r="P41" s="391">
        <v>41089.089999999997</v>
      </c>
      <c r="Q41" s="403"/>
      <c r="R41" s="401"/>
      <c r="S41" s="406">
        <v>30540.14</v>
      </c>
      <c r="T41" s="401"/>
      <c r="U41" s="401">
        <v>69880.86</v>
      </c>
      <c r="V41" s="401">
        <v>10276.91</v>
      </c>
      <c r="W41" s="401"/>
      <c r="X41" s="400"/>
      <c r="Y41" s="400"/>
      <c r="Z41" s="400"/>
      <c r="AA41" s="444"/>
      <c r="AB41" s="444"/>
      <c r="AC41" s="390"/>
    </row>
    <row r="42" spans="1:42" s="414" customFormat="1" x14ac:dyDescent="0.25">
      <c r="A42" s="409" t="s">
        <v>80</v>
      </c>
      <c r="B42" s="409" t="s">
        <v>81</v>
      </c>
      <c r="C42" s="409">
        <v>2224</v>
      </c>
      <c r="D42" s="409" t="s">
        <v>957</v>
      </c>
      <c r="E42" s="443">
        <v>150000</v>
      </c>
      <c r="F42" s="443">
        <v>4436</v>
      </c>
      <c r="G42" s="411">
        <f t="shared" si="0"/>
        <v>154436</v>
      </c>
      <c r="H42" s="412">
        <f t="shared" si="3"/>
        <v>84371.16</v>
      </c>
      <c r="I42" s="411">
        <f t="shared" si="2"/>
        <v>70064.84</v>
      </c>
      <c r="J42" s="400"/>
      <c r="K42" s="400"/>
      <c r="L42" s="458"/>
      <c r="M42" s="403"/>
      <c r="N42" s="400">
        <v>26577.07</v>
      </c>
      <c r="O42" s="400">
        <v>11383.69</v>
      </c>
      <c r="P42" s="400">
        <v>17455.25</v>
      </c>
      <c r="Q42" s="400">
        <v>4358.0200000000004</v>
      </c>
      <c r="R42" s="407">
        <v>6452.49</v>
      </c>
      <c r="S42" s="406"/>
      <c r="T42" s="401">
        <v>10688.8</v>
      </c>
      <c r="U42" s="401">
        <v>7455.84</v>
      </c>
      <c r="V42" s="401"/>
      <c r="W42" s="401"/>
      <c r="X42" s="400"/>
      <c r="Y42" s="400"/>
      <c r="Z42" s="400"/>
      <c r="AA42" s="444"/>
      <c r="AB42" s="444"/>
      <c r="AC42" s="390"/>
    </row>
    <row r="43" spans="1:42" s="414" customFormat="1" ht="12.75" customHeight="1" x14ac:dyDescent="0.25">
      <c r="A43" s="409" t="s">
        <v>217</v>
      </c>
      <c r="B43" s="409" t="s">
        <v>627</v>
      </c>
      <c r="C43" s="409" t="s">
        <v>978</v>
      </c>
      <c r="D43" s="409" t="s">
        <v>663</v>
      </c>
      <c r="E43" s="443">
        <v>149996</v>
      </c>
      <c r="F43" s="443">
        <v>2857</v>
      </c>
      <c r="G43" s="411">
        <f t="shared" si="0"/>
        <v>152853</v>
      </c>
      <c r="H43" s="412">
        <f t="shared" si="3"/>
        <v>141184.18</v>
      </c>
      <c r="I43" s="411">
        <f t="shared" si="2"/>
        <v>11668.820000000007</v>
      </c>
      <c r="J43" s="400"/>
      <c r="K43" s="400"/>
      <c r="L43" s="459">
        <v>3051.86</v>
      </c>
      <c r="M43" s="396">
        <v>16610.900000000001</v>
      </c>
      <c r="N43" s="396"/>
      <c r="O43" s="396">
        <v>6696.32</v>
      </c>
      <c r="P43" s="396">
        <v>20531.39</v>
      </c>
      <c r="Q43" s="400"/>
      <c r="R43" s="397">
        <v>9108.8700000000008</v>
      </c>
      <c r="S43" s="397">
        <v>20739.34</v>
      </c>
      <c r="T43" s="401">
        <v>18612.64</v>
      </c>
      <c r="U43" s="405">
        <v>16546.919999999998</v>
      </c>
      <c r="V43" s="401"/>
      <c r="W43" s="401">
        <v>29285.94</v>
      </c>
      <c r="X43" s="400"/>
      <c r="Y43" s="400"/>
      <c r="Z43" s="400"/>
      <c r="AA43" s="444"/>
      <c r="AB43" s="444"/>
      <c r="AC43" s="390"/>
    </row>
    <row r="44" spans="1:42" s="390" customFormat="1" ht="12.75" customHeight="1" x14ac:dyDescent="0.25">
      <c r="A44" s="409" t="s">
        <v>218</v>
      </c>
      <c r="B44" s="409" t="s">
        <v>627</v>
      </c>
      <c r="C44" s="409" t="s">
        <v>979</v>
      </c>
      <c r="D44" s="409" t="s">
        <v>664</v>
      </c>
      <c r="E44" s="443">
        <v>95776</v>
      </c>
      <c r="F44" s="443">
        <v>9595</v>
      </c>
      <c r="G44" s="411">
        <f t="shared" si="0"/>
        <v>105371</v>
      </c>
      <c r="H44" s="412">
        <f t="shared" si="3"/>
        <v>102193.44</v>
      </c>
      <c r="I44" s="411">
        <f t="shared" si="2"/>
        <v>3177.5599999999977</v>
      </c>
      <c r="J44" s="400"/>
      <c r="K44" s="400"/>
      <c r="L44" s="396">
        <v>2921.24</v>
      </c>
      <c r="M44" s="396">
        <v>11321.6</v>
      </c>
      <c r="N44" s="391">
        <v>4766.24</v>
      </c>
      <c r="O44" s="400">
        <v>5858.41</v>
      </c>
      <c r="P44" s="396">
        <v>11790.19</v>
      </c>
      <c r="Q44" s="403"/>
      <c r="R44" s="397">
        <v>5761.86</v>
      </c>
      <c r="S44" s="397">
        <v>8856.58</v>
      </c>
      <c r="T44" s="407">
        <v>8415.2999999999993</v>
      </c>
      <c r="U44" s="405">
        <v>11282.6</v>
      </c>
      <c r="V44" s="401"/>
      <c r="W44" s="401">
        <v>31219.42</v>
      </c>
      <c r="X44" s="400"/>
      <c r="Y44" s="400"/>
      <c r="Z44" s="400"/>
      <c r="AA44" s="444"/>
      <c r="AB44" s="44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</row>
    <row r="45" spans="1:42" s="414" customFormat="1" x14ac:dyDescent="0.25">
      <c r="A45" s="409" t="s">
        <v>51</v>
      </c>
      <c r="B45" s="409" t="s">
        <v>53</v>
      </c>
      <c r="C45" s="409" t="s">
        <v>240</v>
      </c>
      <c r="D45" s="409" t="s">
        <v>665</v>
      </c>
      <c r="E45" s="443">
        <v>113471</v>
      </c>
      <c r="F45" s="443">
        <v>22473</v>
      </c>
      <c r="G45" s="411">
        <f t="shared" si="0"/>
        <v>135944</v>
      </c>
      <c r="H45" s="412">
        <f t="shared" si="3"/>
        <v>98823.63</v>
      </c>
      <c r="I45" s="411">
        <f t="shared" si="2"/>
        <v>37120.369999999995</v>
      </c>
      <c r="J45" s="400"/>
      <c r="K45" s="403"/>
      <c r="L45" s="400"/>
      <c r="M45" s="391">
        <v>62681.47</v>
      </c>
      <c r="N45" s="400"/>
      <c r="O45" s="400"/>
      <c r="P45" s="400"/>
      <c r="Q45" s="400"/>
      <c r="R45" s="401"/>
      <c r="S45" s="393"/>
      <c r="T45" s="401"/>
      <c r="U45" s="401">
        <v>7285.98</v>
      </c>
      <c r="V45" s="401">
        <v>28856.18</v>
      </c>
      <c r="W45" s="401"/>
      <c r="X45" s="400"/>
      <c r="Y45" s="400"/>
      <c r="Z45" s="400"/>
      <c r="AA45" s="444"/>
      <c r="AB45" s="444"/>
      <c r="AC45" s="390"/>
    </row>
    <row r="46" spans="1:42" s="414" customFormat="1" ht="15" customHeight="1" x14ac:dyDescent="0.25">
      <c r="A46" s="409" t="s">
        <v>51</v>
      </c>
      <c r="B46" s="409" t="s">
        <v>53</v>
      </c>
      <c r="C46" s="409" t="s">
        <v>696</v>
      </c>
      <c r="D46" s="409" t="s">
        <v>666</v>
      </c>
      <c r="E46" s="443">
        <v>95238</v>
      </c>
      <c r="F46" s="443">
        <v>10605</v>
      </c>
      <c r="G46" s="411">
        <f t="shared" si="0"/>
        <v>105843</v>
      </c>
      <c r="H46" s="412">
        <f t="shared" si="3"/>
        <v>87592.93</v>
      </c>
      <c r="I46" s="411">
        <f t="shared" si="2"/>
        <v>18250.070000000007</v>
      </c>
      <c r="J46" s="400"/>
      <c r="K46" s="400"/>
      <c r="L46" s="400"/>
      <c r="M46" s="400"/>
      <c r="N46" s="400"/>
      <c r="O46" s="400"/>
      <c r="P46" s="391">
        <v>31049.06</v>
      </c>
      <c r="Q46" s="400"/>
      <c r="R46" s="401">
        <v>27681.03</v>
      </c>
      <c r="S46" s="406"/>
      <c r="T46" s="401"/>
      <c r="U46" s="401">
        <v>4860.33</v>
      </c>
      <c r="V46" s="401">
        <v>24002.51</v>
      </c>
      <c r="W46" s="401"/>
      <c r="X46" s="400"/>
      <c r="Y46" s="400"/>
      <c r="Z46" s="400"/>
      <c r="AA46" s="444"/>
      <c r="AB46" s="444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</row>
    <row r="47" spans="1:42" s="390" customFormat="1" ht="15.75" customHeight="1" thickBot="1" x14ac:dyDescent="0.3">
      <c r="A47" s="409" t="s">
        <v>213</v>
      </c>
      <c r="B47" s="409" t="s">
        <v>224</v>
      </c>
      <c r="C47" s="409" t="s">
        <v>213</v>
      </c>
      <c r="D47" s="409" t="s">
        <v>224</v>
      </c>
      <c r="E47" s="443">
        <v>149483</v>
      </c>
      <c r="F47" s="443">
        <v>11594</v>
      </c>
      <c r="G47" s="411">
        <f t="shared" si="0"/>
        <v>161077</v>
      </c>
      <c r="H47" s="412">
        <f t="shared" si="3"/>
        <v>161077</v>
      </c>
      <c r="I47" s="411">
        <f t="shared" si="2"/>
        <v>0</v>
      </c>
      <c r="J47" s="400"/>
      <c r="K47" s="400"/>
      <c r="L47" s="400"/>
      <c r="M47" s="400"/>
      <c r="N47" s="400"/>
      <c r="O47" s="400">
        <v>368.74</v>
      </c>
      <c r="P47" s="400">
        <v>34944.44</v>
      </c>
      <c r="Q47" s="400"/>
      <c r="R47" s="401">
        <v>13734.74</v>
      </c>
      <c r="S47" s="401">
        <v>7199.19</v>
      </c>
      <c r="T47" s="401"/>
      <c r="U47" s="401">
        <v>9673.9699999999993</v>
      </c>
      <c r="V47" s="401">
        <v>95155.92</v>
      </c>
      <c r="W47" s="401"/>
      <c r="X47" s="400"/>
      <c r="Y47" s="400"/>
      <c r="Z47" s="400"/>
      <c r="AA47" s="444"/>
      <c r="AB47" s="444"/>
    </row>
    <row r="48" spans="1:42" s="414" customFormat="1" ht="15.75" thickBot="1" x14ac:dyDescent="0.3">
      <c r="A48" s="409" t="s">
        <v>966</v>
      </c>
      <c r="B48" s="409" t="s">
        <v>229</v>
      </c>
      <c r="C48" s="409" t="s">
        <v>980</v>
      </c>
      <c r="D48" s="409" t="s">
        <v>667</v>
      </c>
      <c r="E48" s="443">
        <v>150000</v>
      </c>
      <c r="F48" s="443">
        <v>1654</v>
      </c>
      <c r="G48" s="411">
        <f t="shared" si="0"/>
        <v>151654</v>
      </c>
      <c r="H48" s="412">
        <f t="shared" si="3"/>
        <v>145131.79999999999</v>
      </c>
      <c r="I48" s="411">
        <f t="shared" si="2"/>
        <v>6522.2000000000116</v>
      </c>
      <c r="J48" s="400"/>
      <c r="K48" s="400"/>
      <c r="L48" s="460">
        <f>2586.04+5155.95</f>
        <v>7741.99</v>
      </c>
      <c r="M48" s="396">
        <v>6599.76</v>
      </c>
      <c r="N48" s="396">
        <v>19184.84</v>
      </c>
      <c r="O48" s="400">
        <v>3897.82</v>
      </c>
      <c r="P48" s="391">
        <v>12582.35</v>
      </c>
      <c r="Q48" s="396">
        <v>12044.16</v>
      </c>
      <c r="R48" s="397">
        <v>13946.63</v>
      </c>
      <c r="S48" s="397">
        <v>21242.59</v>
      </c>
      <c r="T48" s="401">
        <v>15585.32</v>
      </c>
      <c r="U48" s="405">
        <v>13985.39</v>
      </c>
      <c r="V48" s="401">
        <v>18320.95</v>
      </c>
      <c r="W48" s="401"/>
      <c r="X48" s="400"/>
      <c r="Y48" s="400"/>
      <c r="Z48" s="400"/>
      <c r="AA48" s="453"/>
      <c r="AB48" s="445"/>
    </row>
    <row r="49" spans="1:28" s="390" customFormat="1" ht="12.75" customHeight="1" x14ac:dyDescent="0.25">
      <c r="A49" s="409" t="s">
        <v>966</v>
      </c>
      <c r="B49" s="409" t="s">
        <v>229</v>
      </c>
      <c r="C49" s="409" t="s">
        <v>981</v>
      </c>
      <c r="D49" s="409" t="s">
        <v>668</v>
      </c>
      <c r="E49" s="443">
        <v>150000</v>
      </c>
      <c r="F49" s="443">
        <v>7708</v>
      </c>
      <c r="G49" s="411">
        <f t="shared" si="0"/>
        <v>157708</v>
      </c>
      <c r="H49" s="412">
        <f t="shared" si="3"/>
        <v>157707.97000000003</v>
      </c>
      <c r="I49" s="411">
        <f t="shared" si="2"/>
        <v>2.9999999969732016E-2</v>
      </c>
      <c r="J49" s="400"/>
      <c r="K49" s="400"/>
      <c r="L49" s="396">
        <f>2898.36+5048.54</f>
        <v>7946.9</v>
      </c>
      <c r="M49" s="396">
        <v>5198.6499999999996</v>
      </c>
      <c r="N49" s="396">
        <v>17001.41</v>
      </c>
      <c r="O49" s="400">
        <v>5369.07</v>
      </c>
      <c r="P49" s="391">
        <v>16315.19</v>
      </c>
      <c r="Q49" s="396">
        <v>12418.67</v>
      </c>
      <c r="R49" s="397">
        <v>17713.419999999998</v>
      </c>
      <c r="S49" s="397">
        <v>25085.33</v>
      </c>
      <c r="T49" s="401">
        <v>14428.41</v>
      </c>
      <c r="U49" s="405">
        <v>15521.49</v>
      </c>
      <c r="V49" s="401">
        <v>17672.95</v>
      </c>
      <c r="W49" s="401">
        <f>0.01+3036.47</f>
        <v>3036.48</v>
      </c>
      <c r="X49" s="400"/>
      <c r="Y49" s="400"/>
      <c r="Z49" s="400"/>
      <c r="AA49" s="444"/>
      <c r="AB49" s="444"/>
    </row>
    <row r="50" spans="1:28" s="390" customFormat="1" ht="12.6" customHeight="1" x14ac:dyDescent="0.25">
      <c r="A50" s="409" t="s">
        <v>966</v>
      </c>
      <c r="B50" s="409" t="s">
        <v>229</v>
      </c>
      <c r="C50" s="409" t="s">
        <v>982</v>
      </c>
      <c r="D50" s="409" t="s">
        <v>669</v>
      </c>
      <c r="E50" s="443">
        <v>150000</v>
      </c>
      <c r="F50" s="443">
        <v>6331</v>
      </c>
      <c r="G50" s="411">
        <f t="shared" si="0"/>
        <v>156331</v>
      </c>
      <c r="H50" s="412">
        <f t="shared" si="3"/>
        <v>156330.99</v>
      </c>
      <c r="I50" s="411">
        <f t="shared" si="2"/>
        <v>1.0000000009313226E-2</v>
      </c>
      <c r="J50" s="400"/>
      <c r="K50" s="400"/>
      <c r="L50" s="459">
        <f>2833.23+6174.09</f>
        <v>9007.32</v>
      </c>
      <c r="M50" s="396">
        <v>8310.25</v>
      </c>
      <c r="N50" s="396">
        <v>22657.78</v>
      </c>
      <c r="O50" s="400">
        <v>5068.4799999999996</v>
      </c>
      <c r="P50" s="391">
        <v>13999.08</v>
      </c>
      <c r="Q50" s="396">
        <v>10090.469999999999</v>
      </c>
      <c r="R50" s="397">
        <v>17556.41</v>
      </c>
      <c r="S50" s="397">
        <v>23172.05</v>
      </c>
      <c r="T50" s="401">
        <v>15748.08</v>
      </c>
      <c r="U50" s="405">
        <v>14674.93</v>
      </c>
      <c r="V50" s="401">
        <v>16046.14</v>
      </c>
      <c r="W50" s="401"/>
      <c r="X50" s="400"/>
      <c r="Y50" s="400"/>
      <c r="Z50" s="400"/>
      <c r="AA50" s="444"/>
      <c r="AB50" s="444"/>
    </row>
    <row r="51" spans="1:28" s="390" customFormat="1" ht="15" customHeight="1" x14ac:dyDescent="0.25">
      <c r="A51" s="409" t="s">
        <v>966</v>
      </c>
      <c r="B51" s="409" t="s">
        <v>229</v>
      </c>
      <c r="C51" s="409" t="s">
        <v>983</v>
      </c>
      <c r="D51" s="409" t="s">
        <v>630</v>
      </c>
      <c r="E51" s="443">
        <v>150000</v>
      </c>
      <c r="F51" s="443">
        <v>0</v>
      </c>
      <c r="G51" s="411">
        <f t="shared" si="0"/>
        <v>150000</v>
      </c>
      <c r="H51" s="412">
        <f t="shared" si="3"/>
        <v>149999.99999999997</v>
      </c>
      <c r="I51" s="411">
        <f t="shared" si="2"/>
        <v>0</v>
      </c>
      <c r="J51" s="400"/>
      <c r="K51" s="400"/>
      <c r="L51" s="396">
        <f>2665.75+2825.19</f>
        <v>5490.9400000000005</v>
      </c>
      <c r="M51" s="396">
        <v>3446.48</v>
      </c>
      <c r="N51" s="396">
        <v>16601.03</v>
      </c>
      <c r="O51" s="400">
        <v>4779.7299999999996</v>
      </c>
      <c r="P51" s="391">
        <v>9494.31</v>
      </c>
      <c r="Q51" s="396">
        <v>12390.89</v>
      </c>
      <c r="R51" s="397">
        <v>17296.419999999998</v>
      </c>
      <c r="S51" s="397">
        <v>22109.05</v>
      </c>
      <c r="T51" s="401">
        <f>11341.69+10961.17</f>
        <v>22302.86</v>
      </c>
      <c r="U51" s="401">
        <v>14215.23</v>
      </c>
      <c r="V51" s="401">
        <v>8160.23</v>
      </c>
      <c r="W51" s="401">
        <v>13712.83</v>
      </c>
      <c r="X51" s="400"/>
      <c r="Y51" s="400"/>
      <c r="Z51" s="400"/>
    </row>
    <row r="52" spans="1:28" s="390" customFormat="1" x14ac:dyDescent="0.25">
      <c r="A52" s="409" t="s">
        <v>49</v>
      </c>
      <c r="B52" s="409" t="s">
        <v>153</v>
      </c>
      <c r="C52" s="409" t="s">
        <v>234</v>
      </c>
      <c r="D52" s="409" t="s">
        <v>645</v>
      </c>
      <c r="E52" s="442">
        <v>123800</v>
      </c>
      <c r="F52" s="443">
        <v>16795</v>
      </c>
      <c r="G52" s="411">
        <f t="shared" si="0"/>
        <v>140595</v>
      </c>
      <c r="H52" s="412">
        <f t="shared" si="3"/>
        <v>34473.56</v>
      </c>
      <c r="I52" s="411">
        <f t="shared" si="2"/>
        <v>106121.44</v>
      </c>
      <c r="J52" s="392"/>
      <c r="K52" s="392"/>
      <c r="L52" s="392"/>
      <c r="M52" s="392"/>
      <c r="N52" s="392">
        <v>-16125.43</v>
      </c>
      <c r="O52" s="392"/>
      <c r="P52" s="391">
        <v>3959.72</v>
      </c>
      <c r="Q52" s="392"/>
      <c r="R52" s="393">
        <v>15710.95</v>
      </c>
      <c r="S52" s="393"/>
      <c r="T52" s="393"/>
      <c r="U52" s="393"/>
      <c r="V52" s="393">
        <v>30928.32</v>
      </c>
      <c r="W52" s="393"/>
      <c r="X52" s="392"/>
      <c r="Y52" s="392"/>
      <c r="Z52" s="392"/>
      <c r="AA52" s="413"/>
      <c r="AB52" s="413"/>
    </row>
    <row r="53" spans="1:28" s="390" customFormat="1" ht="12.75" customHeight="1" x14ac:dyDescent="0.25">
      <c r="A53" s="409" t="s">
        <v>49</v>
      </c>
      <c r="B53" s="409" t="s">
        <v>153</v>
      </c>
      <c r="C53" s="409" t="s">
        <v>685</v>
      </c>
      <c r="D53" s="409" t="s">
        <v>646</v>
      </c>
      <c r="E53" s="443">
        <v>150000</v>
      </c>
      <c r="F53" s="443">
        <v>2378</v>
      </c>
      <c r="G53" s="411">
        <f t="shared" si="0"/>
        <v>152378</v>
      </c>
      <c r="H53" s="412">
        <f t="shared" si="3"/>
        <v>100144.22</v>
      </c>
      <c r="I53" s="411">
        <f t="shared" si="2"/>
        <v>52233.78</v>
      </c>
      <c r="J53" s="392"/>
      <c r="K53" s="392"/>
      <c r="L53" s="392"/>
      <c r="M53" s="392"/>
      <c r="N53" s="392"/>
      <c r="O53" s="392"/>
      <c r="P53" s="392">
        <v>16477.62</v>
      </c>
      <c r="Q53" s="392"/>
      <c r="R53" s="393">
        <v>15744.77</v>
      </c>
      <c r="S53" s="393">
        <v>55565.95</v>
      </c>
      <c r="T53" s="408"/>
      <c r="U53" s="393"/>
      <c r="V53" s="393">
        <v>12355.88</v>
      </c>
      <c r="W53" s="393"/>
      <c r="X53" s="392"/>
      <c r="Y53" s="392"/>
      <c r="Z53" s="392"/>
      <c r="AA53" s="413"/>
      <c r="AB53" s="413"/>
    </row>
    <row r="54" spans="1:28" s="390" customFormat="1" ht="15" customHeight="1" x14ac:dyDescent="0.25">
      <c r="A54" s="409" t="s">
        <v>49</v>
      </c>
      <c r="B54" s="409" t="s">
        <v>153</v>
      </c>
      <c r="C54" s="409" t="s">
        <v>686</v>
      </c>
      <c r="D54" s="409" t="s">
        <v>647</v>
      </c>
      <c r="E54" s="443">
        <v>105176</v>
      </c>
      <c r="F54" s="443">
        <v>5973</v>
      </c>
      <c r="G54" s="411">
        <f t="shared" si="0"/>
        <v>111149</v>
      </c>
      <c r="H54" s="412">
        <f t="shared" si="3"/>
        <v>61890.179999999993</v>
      </c>
      <c r="I54" s="411">
        <f t="shared" si="2"/>
        <v>49258.820000000007</v>
      </c>
      <c r="J54" s="392"/>
      <c r="K54" s="392"/>
      <c r="L54" s="392"/>
      <c r="M54" s="392"/>
      <c r="N54" s="392"/>
      <c r="O54" s="392"/>
      <c r="P54" s="392">
        <v>13930.04</v>
      </c>
      <c r="Q54" s="392"/>
      <c r="R54" s="393">
        <v>7556.62</v>
      </c>
      <c r="S54" s="393"/>
      <c r="T54" s="393"/>
      <c r="U54" s="393"/>
      <c r="V54" s="393">
        <v>40403.519999999997</v>
      </c>
      <c r="W54" s="393"/>
      <c r="X54" s="392"/>
      <c r="Y54" s="392"/>
      <c r="Z54" s="392"/>
      <c r="AA54" s="413"/>
      <c r="AB54" s="413"/>
    </row>
    <row r="55" spans="1:28" s="390" customFormat="1" ht="15" customHeight="1" x14ac:dyDescent="0.25">
      <c r="A55" s="409" t="s">
        <v>49</v>
      </c>
      <c r="B55" s="409" t="s">
        <v>153</v>
      </c>
      <c r="C55" s="409" t="s">
        <v>687</v>
      </c>
      <c r="D55" s="409" t="s">
        <v>648</v>
      </c>
      <c r="E55" s="443">
        <v>105817</v>
      </c>
      <c r="F55" s="443">
        <v>14139</v>
      </c>
      <c r="G55" s="411">
        <f t="shared" si="0"/>
        <v>119956</v>
      </c>
      <c r="H55" s="412">
        <f t="shared" si="3"/>
        <v>63050.590000000004</v>
      </c>
      <c r="I55" s="411">
        <f t="shared" si="2"/>
        <v>56905.409999999996</v>
      </c>
      <c r="J55" s="392"/>
      <c r="K55" s="392"/>
      <c r="L55" s="392"/>
      <c r="M55" s="392"/>
      <c r="N55" s="392"/>
      <c r="O55" s="392"/>
      <c r="P55" s="392">
        <v>12895.94</v>
      </c>
      <c r="Q55" s="392"/>
      <c r="R55" s="393">
        <v>16653.61</v>
      </c>
      <c r="S55" s="393"/>
      <c r="T55" s="393"/>
      <c r="U55" s="393"/>
      <c r="V55" s="393">
        <v>33501.040000000001</v>
      </c>
      <c r="W55" s="393"/>
      <c r="X55" s="392"/>
      <c r="Y55" s="392"/>
      <c r="Z55" s="392"/>
      <c r="AA55" s="413"/>
      <c r="AB55" s="413"/>
    </row>
    <row r="56" spans="1:28" s="390" customFormat="1" x14ac:dyDescent="0.25">
      <c r="A56" s="409" t="s">
        <v>49</v>
      </c>
      <c r="B56" s="409" t="s">
        <v>153</v>
      </c>
      <c r="C56" s="409" t="s">
        <v>235</v>
      </c>
      <c r="D56" s="409" t="s">
        <v>649</v>
      </c>
      <c r="E56" s="443">
        <v>150000</v>
      </c>
      <c r="F56" s="443">
        <v>22500</v>
      </c>
      <c r="G56" s="411">
        <f t="shared" si="0"/>
        <v>172500</v>
      </c>
      <c r="H56" s="412">
        <f t="shared" si="3"/>
        <v>0</v>
      </c>
      <c r="I56" s="411">
        <f t="shared" si="2"/>
        <v>172500</v>
      </c>
      <c r="J56" s="392"/>
      <c r="K56" s="392"/>
      <c r="L56" s="392"/>
      <c r="M56" s="392"/>
      <c r="N56" s="392"/>
      <c r="O56" s="392"/>
      <c r="P56" s="392"/>
      <c r="Q56" s="392"/>
      <c r="R56" s="393"/>
      <c r="S56" s="393"/>
      <c r="T56" s="393"/>
      <c r="U56" s="393"/>
      <c r="V56" s="393"/>
      <c r="W56" s="393"/>
      <c r="X56" s="392"/>
      <c r="Y56" s="392"/>
      <c r="Z56" s="392"/>
      <c r="AA56" s="413"/>
      <c r="AB56" s="413"/>
    </row>
    <row r="57" spans="1:28" s="390" customFormat="1" ht="12.75" customHeight="1" x14ac:dyDescent="0.25">
      <c r="A57" s="409" t="s">
        <v>215</v>
      </c>
      <c r="B57" s="409" t="s">
        <v>226</v>
      </c>
      <c r="C57" s="409" t="s">
        <v>699</v>
      </c>
      <c r="D57" s="409" t="s">
        <v>670</v>
      </c>
      <c r="E57" s="443">
        <v>100000</v>
      </c>
      <c r="F57" s="443">
        <v>0</v>
      </c>
      <c r="G57" s="411">
        <f t="shared" si="0"/>
        <v>100000</v>
      </c>
      <c r="H57" s="412">
        <f t="shared" si="3"/>
        <v>100000</v>
      </c>
      <c r="I57" s="411">
        <f t="shared" si="2"/>
        <v>0</v>
      </c>
      <c r="J57" s="400"/>
      <c r="K57" s="400"/>
      <c r="L57" s="400"/>
      <c r="M57" s="400"/>
      <c r="N57" s="400"/>
      <c r="O57" s="400">
        <v>52554.46</v>
      </c>
      <c r="P57" s="400"/>
      <c r="Q57" s="400"/>
      <c r="R57" s="397">
        <v>25142.85</v>
      </c>
      <c r="S57" s="401"/>
      <c r="T57" s="401"/>
      <c r="U57" s="401">
        <v>22302.69</v>
      </c>
      <c r="V57" s="401"/>
      <c r="W57" s="401"/>
      <c r="X57" s="400"/>
      <c r="Y57" s="400"/>
      <c r="Z57" s="400"/>
    </row>
    <row r="58" spans="1:28" s="390" customFormat="1" ht="15" customHeight="1" x14ac:dyDescent="0.25">
      <c r="A58" s="409" t="s">
        <v>215</v>
      </c>
      <c r="B58" s="409" t="s">
        <v>226</v>
      </c>
      <c r="C58" s="409" t="s">
        <v>700</v>
      </c>
      <c r="D58" s="409" t="s">
        <v>671</v>
      </c>
      <c r="E58" s="443">
        <v>75000</v>
      </c>
      <c r="F58" s="443">
        <v>0</v>
      </c>
      <c r="G58" s="411">
        <f t="shared" si="0"/>
        <v>75000</v>
      </c>
      <c r="H58" s="412">
        <f t="shared" si="3"/>
        <v>75000</v>
      </c>
      <c r="I58" s="411">
        <f t="shared" si="2"/>
        <v>0</v>
      </c>
      <c r="J58" s="400"/>
      <c r="K58" s="400"/>
      <c r="L58" s="400"/>
      <c r="M58" s="400"/>
      <c r="N58" s="400"/>
      <c r="O58" s="400">
        <v>29250.37</v>
      </c>
      <c r="P58" s="400"/>
      <c r="Q58" s="400"/>
      <c r="R58" s="397">
        <v>22391.11</v>
      </c>
      <c r="S58" s="401"/>
      <c r="T58" s="401"/>
      <c r="U58" s="401">
        <v>23358.52</v>
      </c>
      <c r="V58" s="401"/>
      <c r="W58" s="401"/>
      <c r="X58" s="400"/>
      <c r="Y58" s="400"/>
      <c r="Z58" s="400"/>
    </row>
    <row r="59" spans="1:28" s="390" customFormat="1" ht="15" customHeight="1" x14ac:dyDescent="0.25">
      <c r="A59" s="409" t="s">
        <v>967</v>
      </c>
      <c r="B59" s="409" t="s">
        <v>23</v>
      </c>
      <c r="C59" s="409" t="s">
        <v>967</v>
      </c>
      <c r="D59" s="409" t="s">
        <v>673</v>
      </c>
      <c r="E59" s="443">
        <v>150000</v>
      </c>
      <c r="F59" s="443">
        <v>0</v>
      </c>
      <c r="G59" s="411">
        <f t="shared" si="0"/>
        <v>150000</v>
      </c>
      <c r="H59" s="412">
        <f t="shared" si="3"/>
        <v>89658</v>
      </c>
      <c r="I59" s="411">
        <f t="shared" si="2"/>
        <v>60342</v>
      </c>
      <c r="J59" s="400"/>
      <c r="K59" s="400"/>
      <c r="L59" s="400"/>
      <c r="M59" s="400">
        <v>23813</v>
      </c>
      <c r="N59" s="400">
        <v>6255</v>
      </c>
      <c r="O59" s="400">
        <v>6295</v>
      </c>
      <c r="P59" s="391">
        <v>6823</v>
      </c>
      <c r="Q59" s="400">
        <f>7638+6206</f>
        <v>13844</v>
      </c>
      <c r="R59" s="401">
        <v>6876</v>
      </c>
      <c r="S59" s="401">
        <v>5043</v>
      </c>
      <c r="T59" s="401">
        <v>5113</v>
      </c>
      <c r="U59" s="405">
        <v>8777</v>
      </c>
      <c r="V59" s="401">
        <v>6819</v>
      </c>
      <c r="W59" s="401"/>
      <c r="X59" s="400"/>
      <c r="Y59" s="400"/>
      <c r="Z59" s="400"/>
    </row>
    <row r="60" spans="1:28" s="390" customFormat="1" ht="15" customHeight="1" x14ac:dyDescent="0.25">
      <c r="A60" s="409" t="s">
        <v>967</v>
      </c>
      <c r="B60" s="409" t="s">
        <v>23</v>
      </c>
      <c r="C60" s="409" t="s">
        <v>978</v>
      </c>
      <c r="D60" s="409" t="s">
        <v>674</v>
      </c>
      <c r="E60" s="443">
        <v>150000</v>
      </c>
      <c r="F60" s="443">
        <v>22500</v>
      </c>
      <c r="G60" s="411">
        <f t="shared" si="0"/>
        <v>172500</v>
      </c>
      <c r="H60" s="412">
        <f t="shared" si="3"/>
        <v>65974</v>
      </c>
      <c r="I60" s="411">
        <f t="shared" si="2"/>
        <v>106526</v>
      </c>
      <c r="J60" s="400"/>
      <c r="K60" s="400"/>
      <c r="L60" s="400"/>
      <c r="M60" s="400"/>
      <c r="N60" s="391">
        <v>13512</v>
      </c>
      <c r="O60" s="400">
        <f>5131+5140</f>
        <v>10271</v>
      </c>
      <c r="P60" s="391">
        <v>5905</v>
      </c>
      <c r="Q60" s="400"/>
      <c r="R60" s="401">
        <v>4154</v>
      </c>
      <c r="S60" s="401">
        <v>5489</v>
      </c>
      <c r="T60" s="401">
        <v>6443</v>
      </c>
      <c r="U60" s="405">
        <v>11624</v>
      </c>
      <c r="V60" s="401">
        <v>8576</v>
      </c>
      <c r="W60" s="401"/>
      <c r="X60" s="400"/>
      <c r="Y60" s="400"/>
      <c r="Z60" s="400"/>
    </row>
    <row r="61" spans="1:28" s="390" customFormat="1" ht="15" customHeight="1" x14ac:dyDescent="0.25">
      <c r="A61" s="409" t="s">
        <v>968</v>
      </c>
      <c r="B61" s="409" t="s">
        <v>23</v>
      </c>
      <c r="C61" s="409" t="s">
        <v>968</v>
      </c>
      <c r="D61" s="409" t="s">
        <v>672</v>
      </c>
      <c r="E61" s="443">
        <v>150000</v>
      </c>
      <c r="F61" s="443">
        <v>4858</v>
      </c>
      <c r="G61" s="411">
        <f t="shared" si="0"/>
        <v>154858</v>
      </c>
      <c r="H61" s="412">
        <f t="shared" si="3"/>
        <v>107280</v>
      </c>
      <c r="I61" s="411">
        <f t="shared" si="2"/>
        <v>47578</v>
      </c>
      <c r="J61" s="400"/>
      <c r="K61" s="400"/>
      <c r="L61" s="400"/>
      <c r="M61" s="400">
        <v>20101</v>
      </c>
      <c r="N61" s="400">
        <v>9440</v>
      </c>
      <c r="O61" s="400">
        <v>6775</v>
      </c>
      <c r="P61" s="391">
        <v>10188</v>
      </c>
      <c r="Q61" s="400">
        <v>8769</v>
      </c>
      <c r="R61" s="401">
        <v>12773</v>
      </c>
      <c r="S61" s="401">
        <v>10862</v>
      </c>
      <c r="T61" s="401">
        <v>8915</v>
      </c>
      <c r="U61" s="405">
        <v>10491</v>
      </c>
      <c r="V61" s="401">
        <v>8966</v>
      </c>
      <c r="W61" s="401"/>
      <c r="X61" s="400"/>
      <c r="Y61" s="400"/>
      <c r="Z61" s="400"/>
    </row>
    <row r="62" spans="1:28" s="390" customFormat="1" x14ac:dyDescent="0.25">
      <c r="A62" s="409">
        <v>3120</v>
      </c>
      <c r="B62" s="409" t="s">
        <v>82</v>
      </c>
      <c r="C62" s="409" t="s">
        <v>690</v>
      </c>
      <c r="D62" s="409" t="s">
        <v>654</v>
      </c>
      <c r="E62" s="443">
        <v>144000</v>
      </c>
      <c r="F62" s="443">
        <v>21600</v>
      </c>
      <c r="G62" s="411">
        <f t="shared" si="0"/>
        <v>165600</v>
      </c>
      <c r="H62" s="412">
        <f t="shared" si="3"/>
        <v>134884.26999999999</v>
      </c>
      <c r="I62" s="411">
        <f t="shared" si="2"/>
        <v>30715.73000000001</v>
      </c>
      <c r="J62" s="392"/>
      <c r="K62" s="392"/>
      <c r="L62" s="392"/>
      <c r="M62" s="392"/>
      <c r="N62" s="391">
        <v>26911.63</v>
      </c>
      <c r="O62" s="392">
        <v>9142.44</v>
      </c>
      <c r="P62" s="391">
        <v>10590.89</v>
      </c>
      <c r="Q62" s="396">
        <v>6104.64</v>
      </c>
      <c r="R62" s="393"/>
      <c r="S62" s="397">
        <v>33283.980000000003</v>
      </c>
      <c r="T62" s="393">
        <v>15898.82</v>
      </c>
      <c r="U62" s="393">
        <v>8362.64</v>
      </c>
      <c r="V62" s="393">
        <v>24589.23</v>
      </c>
      <c r="W62" s="393"/>
      <c r="X62" s="392"/>
      <c r="Y62" s="392"/>
      <c r="Z62" s="392"/>
      <c r="AA62" s="415"/>
      <c r="AB62" s="415"/>
    </row>
    <row r="63" spans="1:28" s="390" customFormat="1" ht="12.75" customHeight="1" x14ac:dyDescent="0.25">
      <c r="A63" s="409" t="s">
        <v>27</v>
      </c>
      <c r="B63" s="409" t="s">
        <v>82</v>
      </c>
      <c r="C63" s="409" t="s">
        <v>241</v>
      </c>
      <c r="D63" s="409" t="s">
        <v>651</v>
      </c>
      <c r="E63" s="443">
        <v>150000</v>
      </c>
      <c r="F63" s="443">
        <v>22500</v>
      </c>
      <c r="G63" s="411">
        <f t="shared" si="0"/>
        <v>172500</v>
      </c>
      <c r="H63" s="412">
        <f t="shared" si="3"/>
        <v>146412.43</v>
      </c>
      <c r="I63" s="411">
        <f t="shared" si="2"/>
        <v>26087.570000000007</v>
      </c>
      <c r="J63" s="392"/>
      <c r="K63" s="392"/>
      <c r="L63" s="392"/>
      <c r="M63" s="392"/>
      <c r="N63" s="392">
        <v>29764.41</v>
      </c>
      <c r="O63" s="396">
        <v>11231.05</v>
      </c>
      <c r="P63" s="391">
        <v>7911.24</v>
      </c>
      <c r="Q63" s="396">
        <v>2506.64</v>
      </c>
      <c r="R63" s="393"/>
      <c r="S63" s="397">
        <v>34620.239999999998</v>
      </c>
      <c r="T63" s="393">
        <v>14398.92</v>
      </c>
      <c r="U63" s="393">
        <v>13720.86</v>
      </c>
      <c r="V63" s="393">
        <v>32259.07</v>
      </c>
      <c r="W63" s="393"/>
      <c r="X63" s="392"/>
      <c r="Y63" s="392"/>
      <c r="Z63" s="392"/>
      <c r="AA63" s="413"/>
      <c r="AB63" s="413"/>
    </row>
    <row r="64" spans="1:28" s="390" customFormat="1" x14ac:dyDescent="0.25">
      <c r="A64" s="409" t="s">
        <v>27</v>
      </c>
      <c r="B64" s="409" t="s">
        <v>82</v>
      </c>
      <c r="C64" s="409" t="s">
        <v>688</v>
      </c>
      <c r="D64" s="409" t="s">
        <v>652</v>
      </c>
      <c r="E64" s="442">
        <v>141000</v>
      </c>
      <c r="F64" s="443">
        <v>21150</v>
      </c>
      <c r="G64" s="411">
        <f t="shared" si="0"/>
        <v>162150</v>
      </c>
      <c r="H64" s="412">
        <f t="shared" si="3"/>
        <v>132735.69</v>
      </c>
      <c r="I64" s="411">
        <f t="shared" si="2"/>
        <v>29414.309999999998</v>
      </c>
      <c r="J64" s="392"/>
      <c r="K64" s="392"/>
      <c r="L64" s="392"/>
      <c r="M64" s="392"/>
      <c r="N64" s="391">
        <v>21897.67</v>
      </c>
      <c r="O64" s="392">
        <v>10859.25</v>
      </c>
      <c r="P64" s="391">
        <v>7591.97</v>
      </c>
      <c r="Q64" s="396">
        <v>3849.14</v>
      </c>
      <c r="R64" s="393"/>
      <c r="S64" s="397">
        <v>31553.62</v>
      </c>
      <c r="T64" s="393">
        <v>22720.69</v>
      </c>
      <c r="U64" s="393">
        <v>11450.41</v>
      </c>
      <c r="V64" s="393">
        <v>22812.94</v>
      </c>
      <c r="W64" s="393"/>
      <c r="X64" s="392"/>
      <c r="Y64" s="392"/>
      <c r="Z64" s="392"/>
      <c r="AA64" s="413"/>
      <c r="AB64" s="413"/>
    </row>
    <row r="65" spans="1:28" s="390" customFormat="1" x14ac:dyDescent="0.25">
      <c r="A65" s="409" t="s">
        <v>27</v>
      </c>
      <c r="B65" s="409" t="s">
        <v>82</v>
      </c>
      <c r="C65" s="409" t="s">
        <v>689</v>
      </c>
      <c r="D65" s="409" t="s">
        <v>653</v>
      </c>
      <c r="E65" s="442">
        <v>147000</v>
      </c>
      <c r="F65" s="443">
        <v>22050</v>
      </c>
      <c r="G65" s="411">
        <f t="shared" si="0"/>
        <v>169050</v>
      </c>
      <c r="H65" s="412">
        <f t="shared" si="3"/>
        <v>133634.04999999999</v>
      </c>
      <c r="I65" s="411">
        <f t="shared" si="2"/>
        <v>35415.950000000012</v>
      </c>
      <c r="J65" s="392"/>
      <c r="K65" s="392"/>
      <c r="L65" s="392"/>
      <c r="M65" s="392"/>
      <c r="N65" s="391">
        <v>17003.490000000002</v>
      </c>
      <c r="O65" s="392">
        <v>8478.6200000000008</v>
      </c>
      <c r="P65" s="391">
        <v>8342.1299999999992</v>
      </c>
      <c r="Q65" s="396">
        <v>3677.97</v>
      </c>
      <c r="R65" s="393"/>
      <c r="S65" s="397">
        <v>20033.21</v>
      </c>
      <c r="T65" s="393">
        <v>26285.93</v>
      </c>
      <c r="U65" s="393">
        <v>14914.7</v>
      </c>
      <c r="V65" s="393">
        <v>34898</v>
      </c>
      <c r="W65" s="393"/>
      <c r="X65" s="392"/>
      <c r="Y65" s="392"/>
      <c r="Z65" s="392"/>
      <c r="AA65" s="415"/>
      <c r="AB65" s="415"/>
    </row>
    <row r="66" spans="1:28" x14ac:dyDescent="0.25">
      <c r="E66" s="447"/>
      <c r="F66" s="447"/>
      <c r="G66" s="447"/>
      <c r="H66" s="447"/>
      <c r="I66" s="447"/>
    </row>
    <row r="67" spans="1:28" ht="15.75" thickBot="1" x14ac:dyDescent="0.3">
      <c r="E67" s="447"/>
      <c r="F67" s="447"/>
      <c r="G67" s="447"/>
      <c r="H67" s="447"/>
      <c r="I67" s="447"/>
    </row>
    <row r="68" spans="1:28" s="449" customFormat="1" ht="19.5" thickBot="1" x14ac:dyDescent="0.35">
      <c r="A68" s="448"/>
      <c r="C68" s="450"/>
      <c r="D68" s="449" t="s">
        <v>44</v>
      </c>
      <c r="E68" s="451">
        <f>SUM(E9:E67)</f>
        <v>7581069.6699999999</v>
      </c>
      <c r="F68" s="451">
        <f t="shared" ref="F68:AB68" si="4">SUM(F9:F67)</f>
        <v>615069</v>
      </c>
      <c r="G68" s="451">
        <f t="shared" si="4"/>
        <v>8196138.6699999999</v>
      </c>
      <c r="H68" s="451">
        <f t="shared" si="4"/>
        <v>6464659.8099999977</v>
      </c>
      <c r="I68" s="451">
        <f t="shared" si="4"/>
        <v>1731478.8599999996</v>
      </c>
      <c r="J68" s="451">
        <f t="shared" si="4"/>
        <v>0</v>
      </c>
      <c r="K68" s="451">
        <f t="shared" si="4"/>
        <v>0</v>
      </c>
      <c r="L68" s="451">
        <f t="shared" si="4"/>
        <v>104861.03</v>
      </c>
      <c r="M68" s="451">
        <f t="shared" si="4"/>
        <v>363523.1</v>
      </c>
      <c r="N68" s="451">
        <f t="shared" si="4"/>
        <v>409972.69</v>
      </c>
      <c r="O68" s="451">
        <f t="shared" si="4"/>
        <v>443236.92</v>
      </c>
      <c r="P68" s="452">
        <f t="shared" si="4"/>
        <v>676030.41999999993</v>
      </c>
      <c r="Q68" s="452">
        <f t="shared" si="4"/>
        <v>355157.77</v>
      </c>
      <c r="R68" s="452">
        <f t="shared" si="4"/>
        <v>515650.44999999984</v>
      </c>
      <c r="S68" s="452">
        <f t="shared" si="4"/>
        <v>679460.03</v>
      </c>
      <c r="T68" s="452">
        <f t="shared" si="4"/>
        <v>662377.05999999994</v>
      </c>
      <c r="U68" s="452">
        <f t="shared" si="4"/>
        <v>986339.86999999976</v>
      </c>
      <c r="V68" s="452">
        <f t="shared" si="4"/>
        <v>968360.10999999987</v>
      </c>
      <c r="W68" s="452">
        <f t="shared" si="4"/>
        <v>299690.36</v>
      </c>
      <c r="X68" s="451">
        <f t="shared" si="4"/>
        <v>0</v>
      </c>
      <c r="Y68" s="451">
        <f t="shared" si="4"/>
        <v>0</v>
      </c>
      <c r="Z68" s="451">
        <f t="shared" si="4"/>
        <v>0</v>
      </c>
      <c r="AA68" s="451">
        <f t="shared" si="4"/>
        <v>0</v>
      </c>
      <c r="AB68" s="451">
        <f t="shared" si="4"/>
        <v>0</v>
      </c>
    </row>
    <row r="69" spans="1:28" x14ac:dyDescent="0.25">
      <c r="H69" s="447"/>
      <c r="I69" s="447"/>
    </row>
    <row r="70" spans="1:28" x14ac:dyDescent="0.25">
      <c r="H70" s="447"/>
      <c r="I70" s="447"/>
    </row>
    <row r="71" spans="1:28" x14ac:dyDescent="0.25">
      <c r="H71" s="447"/>
      <c r="I71" s="447"/>
    </row>
  </sheetData>
  <sheetProtection algorithmName="SHA-512" hashValue="e5CNS1fyFUaMg8O6Vy+VJWFNMa9g8nm367vUIvGBX7W7Gi+pw1/jv681+KaY5lliK/YveLu5gIAdXCqQlZrP4A==" saltValue="FSwXNjkdo23GogF1miUcOw==" spinCount="100000" sheet="1" objects="1" scenarios="1"/>
  <sortState xmlns:xlrd2="http://schemas.microsoft.com/office/spreadsheetml/2017/richdata2" ref="A9:AA48">
    <sortCondition ref="A9:A48"/>
    <sortCondition ref="C9:C48"/>
  </sortState>
  <mergeCells count="1">
    <mergeCell ref="A7:I7"/>
  </mergeCells>
  <hyperlinks>
    <hyperlink ref="C5" r:id="rId1" xr:uid="{7C61DE78-DB9A-4AF9-BFA8-B7FC687DF0E4}"/>
  </hyperlinks>
  <pageMargins left="0.7" right="0.7" top="0.75" bottom="0.75" header="0.3" footer="0.3"/>
  <pageSetup orientation="portrait"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0B42-95A0-45B0-9F0E-F23F6B8D9F82}">
  <sheetPr codeName="Sheet10">
    <tabColor theme="2"/>
  </sheetPr>
  <dimension ref="A1:CA97"/>
  <sheetViews>
    <sheetView workbookViewId="0">
      <selection activeCell="F13" sqref="F13"/>
    </sheetView>
  </sheetViews>
  <sheetFormatPr defaultColWidth="9.42578125" defaultRowHeight="15" x14ac:dyDescent="0.25"/>
  <cols>
    <col min="2" max="2" width="34.42578125" customWidth="1"/>
    <col min="3" max="3" width="9.5703125" customWidth="1"/>
    <col min="4" max="4" width="44.5703125" customWidth="1"/>
    <col min="5" max="8" width="14.5703125" customWidth="1"/>
    <col min="9" max="19" width="12.5703125" customWidth="1"/>
    <col min="20" max="20" width="12.5703125" style="338" customWidth="1"/>
    <col min="21" max="21" width="12.5703125" customWidth="1"/>
  </cols>
  <sheetData>
    <row r="1" spans="1:79" ht="21" x14ac:dyDescent="0.35">
      <c r="A1" s="28" t="s">
        <v>0</v>
      </c>
      <c r="B1" s="41"/>
      <c r="C1" s="37" t="s">
        <v>433</v>
      </c>
      <c r="D1" s="37"/>
      <c r="E1" s="42"/>
      <c r="F1" s="42"/>
      <c r="G1" s="42"/>
      <c r="H1" s="41"/>
      <c r="I1" s="41"/>
      <c r="J1" s="37" t="str">
        <f>$C$1</f>
        <v>Title V-B Charter School Grant Program Remote Learning Grant</v>
      </c>
      <c r="K1" s="41"/>
      <c r="L1" s="41"/>
      <c r="M1" s="41"/>
      <c r="N1" s="41"/>
      <c r="O1" s="37"/>
      <c r="P1" s="37" t="str">
        <f>$C$1</f>
        <v>Title V-B Charter School Grant Program Remote Learning Grant</v>
      </c>
      <c r="Q1" s="41"/>
      <c r="R1" s="41"/>
      <c r="S1" s="41"/>
      <c r="T1" s="333"/>
      <c r="U1" s="41"/>
    </row>
    <row r="2" spans="1:79" ht="21" x14ac:dyDescent="0.35">
      <c r="A2" s="28" t="s">
        <v>137</v>
      </c>
      <c r="B2" s="38"/>
      <c r="C2" s="37" t="s">
        <v>561</v>
      </c>
      <c r="D2" s="37"/>
      <c r="E2" s="42"/>
      <c r="F2" s="42"/>
      <c r="G2" s="42"/>
      <c r="H2" s="41"/>
      <c r="I2" s="41"/>
      <c r="J2" s="29" t="str">
        <f>"FY"&amp;$C$4</f>
        <v>FY2021-22</v>
      </c>
      <c r="K2" s="41"/>
      <c r="L2" s="41"/>
      <c r="M2" s="41"/>
      <c r="N2" s="41"/>
      <c r="O2" s="44"/>
      <c r="P2" s="29" t="str">
        <f>"FY"&amp;$C$4</f>
        <v>FY2021-22</v>
      </c>
      <c r="Q2" s="41"/>
      <c r="R2" s="41"/>
      <c r="S2" s="41"/>
      <c r="T2" s="333"/>
      <c r="U2" s="41"/>
    </row>
    <row r="3" spans="1:79" ht="15.75" x14ac:dyDescent="0.25">
      <c r="A3" s="29" t="s">
        <v>1</v>
      </c>
      <c r="B3" s="41"/>
      <c r="C3" s="39">
        <v>8282</v>
      </c>
      <c r="D3" s="39" t="s">
        <v>32</v>
      </c>
      <c r="E3" s="42"/>
      <c r="F3" s="42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33"/>
      <c r="U3" s="41"/>
    </row>
    <row r="4" spans="1:79" ht="15.75" x14ac:dyDescent="0.25">
      <c r="A4" s="29" t="s">
        <v>2</v>
      </c>
      <c r="B4" s="41"/>
      <c r="C4" s="39" t="s">
        <v>618</v>
      </c>
      <c r="D4" s="39"/>
      <c r="E4" s="29"/>
      <c r="F4" s="2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33"/>
      <c r="U4" s="41"/>
    </row>
    <row r="5" spans="1:79" ht="15.75" x14ac:dyDescent="0.25">
      <c r="A5" s="29" t="s">
        <v>376</v>
      </c>
      <c r="B5" s="41"/>
      <c r="C5" s="292" t="s">
        <v>572</v>
      </c>
      <c r="D5" s="29"/>
      <c r="E5" s="42"/>
      <c r="F5" s="42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333"/>
      <c r="U5" s="41"/>
    </row>
    <row r="6" spans="1:79" ht="15.75" x14ac:dyDescent="0.25">
      <c r="A6" s="29"/>
      <c r="B6" s="41"/>
      <c r="C6" s="54"/>
      <c r="D6" s="29"/>
      <c r="E6" s="42"/>
      <c r="F6" s="42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333"/>
      <c r="U6" s="41"/>
    </row>
    <row r="7" spans="1:79" ht="15.75" thickBot="1" x14ac:dyDescent="0.3">
      <c r="A7" s="41"/>
      <c r="B7" s="41"/>
      <c r="C7" s="41"/>
      <c r="D7" s="41"/>
      <c r="E7" s="41"/>
      <c r="F7" s="41"/>
      <c r="G7" s="41" t="s">
        <v>32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333"/>
      <c r="U7" s="41"/>
    </row>
    <row r="8" spans="1:79" ht="30.75" thickBot="1" x14ac:dyDescent="0.3">
      <c r="A8" s="45" t="s">
        <v>130</v>
      </c>
      <c r="B8" s="45" t="s">
        <v>131</v>
      </c>
      <c r="C8" s="45" t="s">
        <v>135</v>
      </c>
      <c r="D8" s="45" t="s">
        <v>41</v>
      </c>
      <c r="E8" s="43" t="s">
        <v>317</v>
      </c>
      <c r="F8" s="43" t="s">
        <v>144</v>
      </c>
      <c r="G8" s="43" t="s">
        <v>15</v>
      </c>
      <c r="H8" s="22" t="s">
        <v>16</v>
      </c>
      <c r="I8" s="24" t="s">
        <v>411</v>
      </c>
      <c r="J8" s="23" t="s">
        <v>412</v>
      </c>
      <c r="K8" s="24" t="s">
        <v>416</v>
      </c>
      <c r="L8" s="24" t="s">
        <v>606</v>
      </c>
      <c r="M8" s="24" t="s">
        <v>607</v>
      </c>
      <c r="N8" s="24" t="s">
        <v>608</v>
      </c>
      <c r="O8" s="24" t="s">
        <v>609</v>
      </c>
      <c r="P8" s="24" t="s">
        <v>610</v>
      </c>
      <c r="Q8" s="24" t="s">
        <v>611</v>
      </c>
      <c r="R8" s="23" t="s">
        <v>612</v>
      </c>
      <c r="S8" s="24" t="s">
        <v>613</v>
      </c>
      <c r="T8" s="24" t="s">
        <v>614</v>
      </c>
      <c r="U8" s="26" t="s">
        <v>144</v>
      </c>
    </row>
    <row r="9" spans="1:79" ht="15.75" thickBot="1" x14ac:dyDescent="0.3">
      <c r="A9" s="133" t="s">
        <v>52</v>
      </c>
      <c r="B9" s="150" t="s">
        <v>156</v>
      </c>
      <c r="C9" s="133" t="s">
        <v>573</v>
      </c>
      <c r="D9" s="283" t="s">
        <v>498</v>
      </c>
      <c r="E9" s="291"/>
      <c r="F9" s="342"/>
      <c r="G9" s="287">
        <f t="shared" ref="G9:G40" si="0">SUM(I9:U9)</f>
        <v>0</v>
      </c>
      <c r="H9" s="178">
        <f t="shared" ref="H9:H40" si="1">E9-G9</f>
        <v>0</v>
      </c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45.75" thickBot="1" x14ac:dyDescent="0.3">
      <c r="A10" s="133" t="s">
        <v>4</v>
      </c>
      <c r="B10" s="150" t="s">
        <v>434</v>
      </c>
      <c r="C10" s="133" t="s">
        <v>443</v>
      </c>
      <c r="D10" s="283" t="s">
        <v>499</v>
      </c>
      <c r="E10" s="289"/>
      <c r="F10" s="342"/>
      <c r="G10" s="287">
        <f t="shared" si="0"/>
        <v>0</v>
      </c>
      <c r="H10" s="178">
        <f t="shared" si="1"/>
        <v>0</v>
      </c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45.75" thickBot="1" x14ac:dyDescent="0.3">
      <c r="A11" s="133" t="s">
        <v>4</v>
      </c>
      <c r="B11" s="150" t="s">
        <v>434</v>
      </c>
      <c r="C11" s="153" t="s">
        <v>563</v>
      </c>
      <c r="D11" s="283" t="s">
        <v>568</v>
      </c>
      <c r="E11" s="289"/>
      <c r="F11" s="342"/>
      <c r="G11" s="287">
        <f t="shared" si="0"/>
        <v>0</v>
      </c>
      <c r="H11" s="178">
        <f t="shared" si="1"/>
        <v>0</v>
      </c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45.75" thickBot="1" x14ac:dyDescent="0.3">
      <c r="A12" s="133" t="s">
        <v>4</v>
      </c>
      <c r="B12" s="150" t="s">
        <v>434</v>
      </c>
      <c r="C12" s="133" t="s">
        <v>444</v>
      </c>
      <c r="D12" s="283" t="s">
        <v>243</v>
      </c>
      <c r="E12" s="289"/>
      <c r="F12" s="342"/>
      <c r="G12" s="287">
        <f t="shared" si="0"/>
        <v>0</v>
      </c>
      <c r="H12" s="178">
        <f t="shared" si="1"/>
        <v>0</v>
      </c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5.75" thickBot="1" x14ac:dyDescent="0.3">
      <c r="A13" s="133" t="s">
        <v>435</v>
      </c>
      <c r="B13" s="150" t="s">
        <v>436</v>
      </c>
      <c r="C13" s="133" t="s">
        <v>445</v>
      </c>
      <c r="D13" s="283" t="s">
        <v>500</v>
      </c>
      <c r="E13" s="289"/>
      <c r="F13" s="342"/>
      <c r="G13" s="287">
        <f t="shared" si="0"/>
        <v>0</v>
      </c>
      <c r="H13" s="178">
        <f t="shared" si="1"/>
        <v>0</v>
      </c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15.75" thickBot="1" x14ac:dyDescent="0.3">
      <c r="A14" s="133" t="s">
        <v>5</v>
      </c>
      <c r="B14" s="150" t="s">
        <v>152</v>
      </c>
      <c r="C14" s="133" t="s">
        <v>446</v>
      </c>
      <c r="D14" s="283" t="s">
        <v>501</v>
      </c>
      <c r="E14" s="289"/>
      <c r="F14" s="342"/>
      <c r="G14" s="287">
        <f t="shared" si="0"/>
        <v>0</v>
      </c>
      <c r="H14" s="178">
        <f t="shared" si="1"/>
        <v>0</v>
      </c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5.75" thickBot="1" x14ac:dyDescent="0.3">
      <c r="A15" s="133" t="s">
        <v>5</v>
      </c>
      <c r="B15" s="150" t="s">
        <v>152</v>
      </c>
      <c r="C15" s="133" t="s">
        <v>233</v>
      </c>
      <c r="D15" s="283" t="s">
        <v>242</v>
      </c>
      <c r="E15" s="289"/>
      <c r="F15" s="342"/>
      <c r="G15" s="287">
        <f t="shared" si="0"/>
        <v>0</v>
      </c>
      <c r="H15" s="178">
        <f t="shared" si="1"/>
        <v>0</v>
      </c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.75" thickBot="1" x14ac:dyDescent="0.3">
      <c r="A16" s="133" t="s">
        <v>437</v>
      </c>
      <c r="B16" s="150" t="s">
        <v>438</v>
      </c>
      <c r="C16" s="133" t="s">
        <v>447</v>
      </c>
      <c r="D16" s="283" t="s">
        <v>502</v>
      </c>
      <c r="E16" s="289"/>
      <c r="F16" s="342"/>
      <c r="G16" s="287">
        <f t="shared" si="0"/>
        <v>0</v>
      </c>
      <c r="H16" s="178">
        <f t="shared" si="1"/>
        <v>0</v>
      </c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45.75" thickBot="1" x14ac:dyDescent="0.3">
      <c r="A17" s="133" t="s">
        <v>49</v>
      </c>
      <c r="B17" s="150" t="s">
        <v>153</v>
      </c>
      <c r="C17" s="133" t="s">
        <v>448</v>
      </c>
      <c r="D17" s="283" t="s">
        <v>553</v>
      </c>
      <c r="E17" s="289"/>
      <c r="F17" s="342"/>
      <c r="G17" s="287">
        <f t="shared" si="0"/>
        <v>0</v>
      </c>
      <c r="H17" s="178">
        <f t="shared" si="1"/>
        <v>0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45.75" thickBot="1" x14ac:dyDescent="0.3">
      <c r="A18" s="133" t="s">
        <v>49</v>
      </c>
      <c r="B18" s="150" t="s">
        <v>153</v>
      </c>
      <c r="C18" s="133" t="s">
        <v>449</v>
      </c>
      <c r="D18" s="283" t="s">
        <v>503</v>
      </c>
      <c r="E18" s="289"/>
      <c r="F18" s="342"/>
      <c r="G18" s="287">
        <f t="shared" si="0"/>
        <v>0</v>
      </c>
      <c r="H18" s="178">
        <f t="shared" si="1"/>
        <v>0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ht="45.75" thickBot="1" x14ac:dyDescent="0.3">
      <c r="A19" s="133" t="s">
        <v>49</v>
      </c>
      <c r="B19" s="150" t="s">
        <v>153</v>
      </c>
      <c r="C19" s="133" t="s">
        <v>450</v>
      </c>
      <c r="D19" s="283" t="s">
        <v>504</v>
      </c>
      <c r="E19" s="289"/>
      <c r="F19" s="342"/>
      <c r="G19" s="287">
        <f t="shared" si="0"/>
        <v>0</v>
      </c>
      <c r="H19" s="178">
        <f t="shared" si="1"/>
        <v>0</v>
      </c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45.75" thickBot="1" x14ac:dyDescent="0.3">
      <c r="A20" s="133" t="s">
        <v>49</v>
      </c>
      <c r="B20" s="150" t="s">
        <v>153</v>
      </c>
      <c r="C20" s="133" t="s">
        <v>451</v>
      </c>
      <c r="D20" s="283" t="s">
        <v>505</v>
      </c>
      <c r="E20" s="289"/>
      <c r="F20" s="342"/>
      <c r="G20" s="287">
        <f t="shared" si="0"/>
        <v>0</v>
      </c>
      <c r="H20" s="178">
        <f t="shared" si="1"/>
        <v>0</v>
      </c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45.75" thickBot="1" x14ac:dyDescent="0.3">
      <c r="A21" s="133" t="s">
        <v>49</v>
      </c>
      <c r="B21" s="150" t="s">
        <v>153</v>
      </c>
      <c r="C21" s="133" t="s">
        <v>452</v>
      </c>
      <c r="D21" s="283" t="s">
        <v>506</v>
      </c>
      <c r="E21" s="289"/>
      <c r="F21" s="342"/>
      <c r="G21" s="287">
        <f t="shared" si="0"/>
        <v>0</v>
      </c>
      <c r="H21" s="178">
        <f t="shared" si="1"/>
        <v>0</v>
      </c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79" ht="45.75" thickBot="1" x14ac:dyDescent="0.3">
      <c r="A22" s="133" t="s">
        <v>49</v>
      </c>
      <c r="B22" s="150" t="s">
        <v>153</v>
      </c>
      <c r="C22" s="133" t="s">
        <v>453</v>
      </c>
      <c r="D22" s="283" t="s">
        <v>507</v>
      </c>
      <c r="E22" s="289"/>
      <c r="F22" s="342"/>
      <c r="G22" s="287">
        <f t="shared" si="0"/>
        <v>0</v>
      </c>
      <c r="H22" s="178">
        <f t="shared" si="1"/>
        <v>0</v>
      </c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ht="45.75" thickBot="1" x14ac:dyDescent="0.3">
      <c r="A23" s="133" t="s">
        <v>49</v>
      </c>
      <c r="B23" s="150" t="s">
        <v>153</v>
      </c>
      <c r="C23" s="133" t="s">
        <v>454</v>
      </c>
      <c r="D23" s="283" t="s">
        <v>508</v>
      </c>
      <c r="E23" s="289"/>
      <c r="F23" s="342"/>
      <c r="G23" s="287">
        <f t="shared" si="0"/>
        <v>0</v>
      </c>
      <c r="H23" s="178">
        <f t="shared" si="1"/>
        <v>0</v>
      </c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ht="45.75" thickBot="1" x14ac:dyDescent="0.3">
      <c r="A24" s="133" t="s">
        <v>49</v>
      </c>
      <c r="B24" s="150" t="s">
        <v>153</v>
      </c>
      <c r="C24" s="133" t="s">
        <v>455</v>
      </c>
      <c r="D24" s="283" t="s">
        <v>509</v>
      </c>
      <c r="E24" s="289"/>
      <c r="F24" s="342"/>
      <c r="G24" s="287">
        <f t="shared" si="0"/>
        <v>0</v>
      </c>
      <c r="H24" s="178">
        <f t="shared" si="1"/>
        <v>0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ht="45.75" thickBot="1" x14ac:dyDescent="0.3">
      <c r="A25" s="133" t="s">
        <v>49</v>
      </c>
      <c r="B25" s="150" t="s">
        <v>153</v>
      </c>
      <c r="C25" s="133" t="s">
        <v>456</v>
      </c>
      <c r="D25" s="283" t="s">
        <v>510</v>
      </c>
      <c r="E25" s="289"/>
      <c r="F25" s="342"/>
      <c r="G25" s="287">
        <f t="shared" si="0"/>
        <v>0</v>
      </c>
      <c r="H25" s="178">
        <f t="shared" si="1"/>
        <v>0</v>
      </c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ht="45.75" thickBot="1" x14ac:dyDescent="0.3">
      <c r="A26" s="133" t="s">
        <v>49</v>
      </c>
      <c r="B26" s="150" t="s">
        <v>153</v>
      </c>
      <c r="C26" s="133" t="s">
        <v>457</v>
      </c>
      <c r="D26" s="283" t="s">
        <v>511</v>
      </c>
      <c r="E26" s="289"/>
      <c r="F26" s="342"/>
      <c r="G26" s="287">
        <f t="shared" si="0"/>
        <v>0</v>
      </c>
      <c r="H26" s="178">
        <f t="shared" si="1"/>
        <v>0</v>
      </c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45.75" thickBot="1" x14ac:dyDescent="0.3">
      <c r="A27" s="133" t="s">
        <v>49</v>
      </c>
      <c r="B27" s="150" t="s">
        <v>153</v>
      </c>
      <c r="C27" s="133" t="s">
        <v>458</v>
      </c>
      <c r="D27" s="283" t="s">
        <v>512</v>
      </c>
      <c r="E27" s="289"/>
      <c r="F27" s="342"/>
      <c r="G27" s="287">
        <f t="shared" si="0"/>
        <v>0</v>
      </c>
      <c r="H27" s="178">
        <f t="shared" si="1"/>
        <v>0</v>
      </c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ht="45.75" thickBot="1" x14ac:dyDescent="0.3">
      <c r="A28" s="133" t="s">
        <v>49</v>
      </c>
      <c r="B28" s="150" t="s">
        <v>153</v>
      </c>
      <c r="C28" s="133" t="s">
        <v>459</v>
      </c>
      <c r="D28" s="283" t="s">
        <v>513</v>
      </c>
      <c r="E28" s="289"/>
      <c r="F28" s="342"/>
      <c r="G28" s="287">
        <f t="shared" si="0"/>
        <v>0</v>
      </c>
      <c r="H28" s="178">
        <f t="shared" si="1"/>
        <v>0</v>
      </c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ht="45.75" thickBot="1" x14ac:dyDescent="0.3">
      <c r="A29" s="133" t="s">
        <v>49</v>
      </c>
      <c r="B29" s="150" t="s">
        <v>153</v>
      </c>
      <c r="C29" s="133" t="s">
        <v>460</v>
      </c>
      <c r="D29" s="283" t="s">
        <v>514</v>
      </c>
      <c r="E29" s="289"/>
      <c r="F29" s="342"/>
      <c r="G29" s="287">
        <f t="shared" si="0"/>
        <v>0</v>
      </c>
      <c r="H29" s="178">
        <f t="shared" si="1"/>
        <v>0</v>
      </c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45.75" thickBot="1" x14ac:dyDescent="0.3">
      <c r="A30" s="133" t="s">
        <v>49</v>
      </c>
      <c r="B30" s="150" t="s">
        <v>153</v>
      </c>
      <c r="C30" s="133" t="s">
        <v>461</v>
      </c>
      <c r="D30" s="283" t="s">
        <v>515</v>
      </c>
      <c r="E30" s="289"/>
      <c r="F30" s="342"/>
      <c r="G30" s="287">
        <f t="shared" si="0"/>
        <v>0</v>
      </c>
      <c r="H30" s="178">
        <f t="shared" si="1"/>
        <v>0</v>
      </c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</row>
    <row r="31" spans="1:79" ht="45.75" thickBot="1" x14ac:dyDescent="0.3">
      <c r="A31" s="133" t="s">
        <v>49</v>
      </c>
      <c r="B31" s="150" t="s">
        <v>153</v>
      </c>
      <c r="C31" s="153" t="s">
        <v>564</v>
      </c>
      <c r="D31" s="283" t="s">
        <v>566</v>
      </c>
      <c r="E31" s="289"/>
      <c r="F31" s="342"/>
      <c r="G31" s="287">
        <f t="shared" si="0"/>
        <v>0</v>
      </c>
      <c r="H31" s="178">
        <f t="shared" si="1"/>
        <v>0</v>
      </c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ht="45.75" thickBot="1" x14ac:dyDescent="0.3">
      <c r="A32" s="133" t="s">
        <v>49</v>
      </c>
      <c r="B32" s="150" t="s">
        <v>153</v>
      </c>
      <c r="C32" s="153" t="s">
        <v>564</v>
      </c>
      <c r="D32" s="283" t="s">
        <v>565</v>
      </c>
      <c r="E32" s="289"/>
      <c r="F32" s="342"/>
      <c r="G32" s="287">
        <f t="shared" si="0"/>
        <v>0</v>
      </c>
      <c r="H32" s="178">
        <f t="shared" si="1"/>
        <v>0</v>
      </c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ht="45.75" thickBot="1" x14ac:dyDescent="0.3">
      <c r="A33" s="133" t="s">
        <v>49</v>
      </c>
      <c r="B33" s="150" t="s">
        <v>153</v>
      </c>
      <c r="C33" s="133" t="s">
        <v>462</v>
      </c>
      <c r="D33" s="283" t="s">
        <v>567</v>
      </c>
      <c r="E33" s="289"/>
      <c r="F33" s="342"/>
      <c r="G33" s="287">
        <f t="shared" si="0"/>
        <v>0</v>
      </c>
      <c r="H33" s="178">
        <f t="shared" si="1"/>
        <v>0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ht="45.75" thickBot="1" x14ac:dyDescent="0.3">
      <c r="A34" s="133" t="s">
        <v>49</v>
      </c>
      <c r="B34" s="150" t="s">
        <v>153</v>
      </c>
      <c r="C34" s="133" t="s">
        <v>463</v>
      </c>
      <c r="D34" s="283" t="s">
        <v>516</v>
      </c>
      <c r="E34" s="289"/>
      <c r="F34" s="342"/>
      <c r="G34" s="287">
        <f t="shared" si="0"/>
        <v>0</v>
      </c>
      <c r="H34" s="178">
        <f t="shared" si="1"/>
        <v>0</v>
      </c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45.75" thickBot="1" x14ac:dyDescent="0.3">
      <c r="A35" s="133" t="s">
        <v>49</v>
      </c>
      <c r="B35" s="150" t="s">
        <v>153</v>
      </c>
      <c r="C35" s="133" t="s">
        <v>464</v>
      </c>
      <c r="D35" s="283" t="s">
        <v>517</v>
      </c>
      <c r="E35" s="289"/>
      <c r="F35" s="342"/>
      <c r="G35" s="287">
        <f t="shared" si="0"/>
        <v>0</v>
      </c>
      <c r="H35" s="178">
        <f t="shared" si="1"/>
        <v>0</v>
      </c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pans="1:79" ht="45.75" thickBot="1" x14ac:dyDescent="0.3">
      <c r="A36" s="133" t="s">
        <v>49</v>
      </c>
      <c r="B36" s="150" t="s">
        <v>153</v>
      </c>
      <c r="C36" s="133" t="s">
        <v>465</v>
      </c>
      <c r="D36" s="283" t="s">
        <v>518</v>
      </c>
      <c r="E36" s="289"/>
      <c r="F36" s="342"/>
      <c r="G36" s="287">
        <f t="shared" si="0"/>
        <v>0</v>
      </c>
      <c r="H36" s="178">
        <f t="shared" si="1"/>
        <v>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ht="45.75" thickBot="1" x14ac:dyDescent="0.3">
      <c r="A37" s="133" t="s">
        <v>49</v>
      </c>
      <c r="B37" s="150" t="s">
        <v>153</v>
      </c>
      <c r="C37" s="133" t="s">
        <v>466</v>
      </c>
      <c r="D37" s="283" t="s">
        <v>519</v>
      </c>
      <c r="E37" s="289"/>
      <c r="F37" s="342"/>
      <c r="G37" s="287">
        <f t="shared" si="0"/>
        <v>0</v>
      </c>
      <c r="H37" s="178">
        <f t="shared" si="1"/>
        <v>0</v>
      </c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45.75" thickBot="1" x14ac:dyDescent="0.3">
      <c r="A38" s="133" t="s">
        <v>49</v>
      </c>
      <c r="B38" s="150" t="s">
        <v>153</v>
      </c>
      <c r="C38" s="133" t="s">
        <v>467</v>
      </c>
      <c r="D38" s="283" t="s">
        <v>520</v>
      </c>
      <c r="E38" s="289"/>
      <c r="F38" s="342"/>
      <c r="G38" s="287">
        <f t="shared" si="0"/>
        <v>0</v>
      </c>
      <c r="H38" s="178">
        <f t="shared" si="1"/>
        <v>0</v>
      </c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ht="45.75" thickBot="1" x14ac:dyDescent="0.3">
      <c r="A39" s="133" t="s">
        <v>49</v>
      </c>
      <c r="B39" s="150" t="s">
        <v>153</v>
      </c>
      <c r="C39" s="133" t="s">
        <v>468</v>
      </c>
      <c r="D39" s="283" t="s">
        <v>521</v>
      </c>
      <c r="E39" s="289"/>
      <c r="F39" s="342"/>
      <c r="G39" s="287">
        <f t="shared" si="0"/>
        <v>0</v>
      </c>
      <c r="H39" s="178">
        <f t="shared" si="1"/>
        <v>0</v>
      </c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ht="45.75" thickBot="1" x14ac:dyDescent="0.3">
      <c r="A40" s="133" t="s">
        <v>49</v>
      </c>
      <c r="B40" s="150" t="s">
        <v>153</v>
      </c>
      <c r="C40" s="133" t="s">
        <v>469</v>
      </c>
      <c r="D40" s="283" t="s">
        <v>522</v>
      </c>
      <c r="E40" s="289"/>
      <c r="F40" s="342"/>
      <c r="G40" s="287">
        <f t="shared" si="0"/>
        <v>0</v>
      </c>
      <c r="H40" s="178">
        <f t="shared" si="1"/>
        <v>0</v>
      </c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ht="45.75" thickBot="1" x14ac:dyDescent="0.3">
      <c r="A41" s="133" t="s">
        <v>49</v>
      </c>
      <c r="B41" s="150" t="s">
        <v>153</v>
      </c>
      <c r="C41" s="133" t="s">
        <v>470</v>
      </c>
      <c r="D41" s="283" t="s">
        <v>92</v>
      </c>
      <c r="E41" s="289"/>
      <c r="F41" s="342"/>
      <c r="G41" s="287">
        <f t="shared" ref="G41:G72" si="2">SUM(I41:U41)</f>
        <v>0</v>
      </c>
      <c r="H41" s="178">
        <f t="shared" ref="H41:H72" si="3">E41-G41</f>
        <v>0</v>
      </c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ht="15.75" thickBot="1" x14ac:dyDescent="0.3">
      <c r="A42" s="133" t="s">
        <v>86</v>
      </c>
      <c r="B42" s="150" t="s">
        <v>87</v>
      </c>
      <c r="C42" s="133" t="s">
        <v>471</v>
      </c>
      <c r="D42" s="283" t="s">
        <v>523</v>
      </c>
      <c r="E42" s="289"/>
      <c r="F42" s="342"/>
      <c r="G42" s="287">
        <f t="shared" si="2"/>
        <v>0</v>
      </c>
      <c r="H42" s="178">
        <f t="shared" si="3"/>
        <v>0</v>
      </c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 thickBot="1" x14ac:dyDescent="0.3">
      <c r="A43" s="133" t="s">
        <v>181</v>
      </c>
      <c r="B43" s="150" t="s">
        <v>184</v>
      </c>
      <c r="C43" s="133" t="s">
        <v>472</v>
      </c>
      <c r="D43" s="283" t="s">
        <v>524</v>
      </c>
      <c r="E43" s="289"/>
      <c r="F43" s="342"/>
      <c r="G43" s="287">
        <f t="shared" si="2"/>
        <v>0</v>
      </c>
      <c r="H43" s="178">
        <f t="shared" si="3"/>
        <v>0</v>
      </c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79" ht="15.75" thickBot="1" x14ac:dyDescent="0.3">
      <c r="A44" s="133" t="s">
        <v>181</v>
      </c>
      <c r="B44" s="150" t="s">
        <v>184</v>
      </c>
      <c r="C44" s="133" t="s">
        <v>391</v>
      </c>
      <c r="D44" s="283" t="s">
        <v>392</v>
      </c>
      <c r="E44" s="289"/>
      <c r="F44" s="342"/>
      <c r="G44" s="287">
        <f t="shared" si="2"/>
        <v>0</v>
      </c>
      <c r="H44" s="178">
        <f t="shared" si="3"/>
        <v>0</v>
      </c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ht="15.75" thickBot="1" x14ac:dyDescent="0.3">
      <c r="A45" s="133" t="s">
        <v>439</v>
      </c>
      <c r="B45" s="150" t="s">
        <v>440</v>
      </c>
      <c r="C45" s="133" t="s">
        <v>473</v>
      </c>
      <c r="D45" s="283" t="s">
        <v>525</v>
      </c>
      <c r="E45" s="289"/>
      <c r="F45" s="342"/>
      <c r="G45" s="287">
        <f t="shared" si="2"/>
        <v>0</v>
      </c>
      <c r="H45" s="178">
        <f t="shared" si="3"/>
        <v>0</v>
      </c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ht="15.75" thickBot="1" x14ac:dyDescent="0.3">
      <c r="A46" s="133" t="s">
        <v>439</v>
      </c>
      <c r="B46" s="150" t="s">
        <v>440</v>
      </c>
      <c r="C46" s="133" t="s">
        <v>474</v>
      </c>
      <c r="D46" s="283" t="s">
        <v>526</v>
      </c>
      <c r="E46" s="289"/>
      <c r="F46" s="342"/>
      <c r="G46" s="287">
        <f t="shared" si="2"/>
        <v>0</v>
      </c>
      <c r="H46" s="178">
        <f t="shared" si="3"/>
        <v>0</v>
      </c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ht="15.75" thickBot="1" x14ac:dyDescent="0.3">
      <c r="A47" s="133" t="s">
        <v>439</v>
      </c>
      <c r="B47" s="150" t="s">
        <v>440</v>
      </c>
      <c r="C47" s="133" t="s">
        <v>475</v>
      </c>
      <c r="D47" s="283" t="s">
        <v>527</v>
      </c>
      <c r="E47" s="289"/>
      <c r="F47" s="342"/>
      <c r="G47" s="287">
        <f t="shared" si="2"/>
        <v>0</v>
      </c>
      <c r="H47" s="178">
        <f t="shared" si="3"/>
        <v>0</v>
      </c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ht="15.75" thickBot="1" x14ac:dyDescent="0.3">
      <c r="A48" s="133" t="s">
        <v>28</v>
      </c>
      <c r="B48" s="150" t="s">
        <v>78</v>
      </c>
      <c r="C48" s="133" t="s">
        <v>476</v>
      </c>
      <c r="D48" s="283" t="s">
        <v>528</v>
      </c>
      <c r="E48" s="289"/>
      <c r="F48" s="342"/>
      <c r="G48" s="287">
        <f t="shared" si="2"/>
        <v>0</v>
      </c>
      <c r="H48" s="178">
        <f t="shared" si="3"/>
        <v>0</v>
      </c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ht="15.75" thickBot="1" x14ac:dyDescent="0.3">
      <c r="A49" s="133" t="s">
        <v>28</v>
      </c>
      <c r="B49" s="150" t="s">
        <v>78</v>
      </c>
      <c r="C49" s="133" t="s">
        <v>477</v>
      </c>
      <c r="D49" s="283" t="s">
        <v>529</v>
      </c>
      <c r="E49" s="289"/>
      <c r="F49" s="342"/>
      <c r="G49" s="287">
        <f t="shared" si="2"/>
        <v>0</v>
      </c>
      <c r="H49" s="178">
        <f t="shared" si="3"/>
        <v>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ht="15.75" thickBot="1" x14ac:dyDescent="0.3">
      <c r="A50" s="133">
        <v>1420</v>
      </c>
      <c r="B50" s="150" t="s">
        <v>78</v>
      </c>
      <c r="C50" s="153" t="s">
        <v>596</v>
      </c>
      <c r="D50" s="283" t="s">
        <v>530</v>
      </c>
      <c r="E50" s="289"/>
      <c r="F50" s="342"/>
      <c r="G50" s="287">
        <f t="shared" si="2"/>
        <v>0</v>
      </c>
      <c r="H50" s="178">
        <f t="shared" si="3"/>
        <v>0</v>
      </c>
      <c r="I50" s="345"/>
      <c r="J50" s="345"/>
      <c r="K50" s="345"/>
      <c r="L50" s="345"/>
      <c r="M50" s="345"/>
      <c r="N50" s="345"/>
      <c r="O50" s="345"/>
      <c r="P50" s="345"/>
      <c r="Q50" s="347"/>
      <c r="R50" s="345"/>
      <c r="S50" s="345"/>
      <c r="T50" s="345"/>
      <c r="U50" s="34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ht="15.75" thickBot="1" x14ac:dyDescent="0.3">
      <c r="A51" s="133" t="s">
        <v>28</v>
      </c>
      <c r="B51" s="150" t="s">
        <v>78</v>
      </c>
      <c r="C51" s="133" t="s">
        <v>478</v>
      </c>
      <c r="D51" s="283" t="s">
        <v>531</v>
      </c>
      <c r="E51" s="289"/>
      <c r="F51" s="342"/>
      <c r="G51" s="287">
        <f t="shared" si="2"/>
        <v>0</v>
      </c>
      <c r="H51" s="178">
        <f t="shared" si="3"/>
        <v>0</v>
      </c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 thickBot="1" x14ac:dyDescent="0.3">
      <c r="A52" s="133" t="s">
        <v>28</v>
      </c>
      <c r="B52" s="150" t="s">
        <v>78</v>
      </c>
      <c r="C52" s="133" t="s">
        <v>479</v>
      </c>
      <c r="D52" s="283" t="s">
        <v>532</v>
      </c>
      <c r="E52" s="289"/>
      <c r="F52" s="342"/>
      <c r="G52" s="287">
        <f t="shared" si="2"/>
        <v>0</v>
      </c>
      <c r="H52" s="178">
        <f t="shared" si="3"/>
        <v>0</v>
      </c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ht="15.75" thickBot="1" x14ac:dyDescent="0.3">
      <c r="A53" s="133" t="s">
        <v>52</v>
      </c>
      <c r="B53" s="150" t="s">
        <v>78</v>
      </c>
      <c r="C53" s="153" t="s">
        <v>591</v>
      </c>
      <c r="D53" s="283" t="s">
        <v>533</v>
      </c>
      <c r="E53" s="289"/>
      <c r="F53" s="342"/>
      <c r="G53" s="287">
        <f t="shared" si="2"/>
        <v>0</v>
      </c>
      <c r="H53" s="178">
        <f t="shared" si="3"/>
        <v>0</v>
      </c>
      <c r="I53" s="345"/>
      <c r="J53" s="345"/>
      <c r="K53" s="345"/>
      <c r="L53" s="345"/>
      <c r="M53" s="345"/>
      <c r="N53" s="350"/>
      <c r="O53" s="345"/>
      <c r="P53" s="345"/>
      <c r="Q53" s="345"/>
      <c r="R53" s="345"/>
      <c r="S53" s="345"/>
      <c r="T53" s="345"/>
      <c r="U53" s="3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ht="15.75" thickBot="1" x14ac:dyDescent="0.3">
      <c r="A54" s="133" t="s">
        <v>28</v>
      </c>
      <c r="B54" s="150" t="s">
        <v>78</v>
      </c>
      <c r="C54" s="133" t="s">
        <v>480</v>
      </c>
      <c r="D54" s="283" t="s">
        <v>534</v>
      </c>
      <c r="E54" s="289"/>
      <c r="F54" s="342"/>
      <c r="G54" s="287">
        <f t="shared" si="2"/>
        <v>0</v>
      </c>
      <c r="H54" s="178">
        <f t="shared" si="3"/>
        <v>0</v>
      </c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ht="15.75" thickBot="1" x14ac:dyDescent="0.3">
      <c r="A55" s="133" t="s">
        <v>99</v>
      </c>
      <c r="B55" s="150" t="s">
        <v>108</v>
      </c>
      <c r="C55" s="133" t="s">
        <v>481</v>
      </c>
      <c r="D55" s="283" t="s">
        <v>535</v>
      </c>
      <c r="E55" s="289"/>
      <c r="F55" s="342"/>
      <c r="G55" s="287">
        <f t="shared" si="2"/>
        <v>0</v>
      </c>
      <c r="H55" s="178">
        <f t="shared" si="3"/>
        <v>0</v>
      </c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pans="1:79" ht="15.75" thickBot="1" x14ac:dyDescent="0.3">
      <c r="A56" s="151" t="s">
        <v>51</v>
      </c>
      <c r="B56" s="150" t="s">
        <v>53</v>
      </c>
      <c r="C56" s="153" t="s">
        <v>482</v>
      </c>
      <c r="D56" s="283" t="s">
        <v>536</v>
      </c>
      <c r="E56" s="290"/>
      <c r="F56" s="343"/>
      <c r="G56" s="287">
        <f t="shared" si="2"/>
        <v>0</v>
      </c>
      <c r="H56" s="178">
        <f t="shared" si="3"/>
        <v>0</v>
      </c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</row>
    <row r="57" spans="1:79" ht="15.75" thickBot="1" x14ac:dyDescent="0.3">
      <c r="A57" s="151" t="s">
        <v>98</v>
      </c>
      <c r="B57" s="150" t="s">
        <v>259</v>
      </c>
      <c r="C57" s="151" t="s">
        <v>483</v>
      </c>
      <c r="D57" s="283" t="s">
        <v>537</v>
      </c>
      <c r="E57" s="290"/>
      <c r="F57" s="343"/>
      <c r="G57" s="287">
        <f t="shared" si="2"/>
        <v>0</v>
      </c>
      <c r="H57" s="178">
        <f t="shared" si="3"/>
        <v>0</v>
      </c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pans="1:79" ht="15.75" thickBot="1" x14ac:dyDescent="0.3">
      <c r="A58" s="151" t="s">
        <v>441</v>
      </c>
      <c r="B58" s="150" t="s">
        <v>442</v>
      </c>
      <c r="C58" s="151" t="s">
        <v>484</v>
      </c>
      <c r="D58" s="283" t="s">
        <v>538</v>
      </c>
      <c r="E58" s="290"/>
      <c r="F58" s="343"/>
      <c r="G58" s="287">
        <f t="shared" si="2"/>
        <v>0</v>
      </c>
      <c r="H58" s="178">
        <f t="shared" si="3"/>
        <v>0</v>
      </c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</row>
    <row r="59" spans="1:79" ht="15.75" thickBot="1" x14ac:dyDescent="0.3">
      <c r="A59" s="151" t="s">
        <v>27</v>
      </c>
      <c r="B59" s="150" t="s">
        <v>82</v>
      </c>
      <c r="C59" s="153" t="s">
        <v>485</v>
      </c>
      <c r="D59" s="284" t="s">
        <v>539</v>
      </c>
      <c r="E59" s="290"/>
      <c r="F59" s="343"/>
      <c r="G59" s="287">
        <f t="shared" si="2"/>
        <v>0</v>
      </c>
      <c r="H59" s="178">
        <f t="shared" si="3"/>
        <v>0</v>
      </c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pans="1:79" ht="15.75" thickBot="1" x14ac:dyDescent="0.3">
      <c r="A60" s="151" t="s">
        <v>52</v>
      </c>
      <c r="B60" s="150" t="s">
        <v>156</v>
      </c>
      <c r="C60" s="153" t="s">
        <v>486</v>
      </c>
      <c r="D60" s="283" t="s">
        <v>540</v>
      </c>
      <c r="E60" s="290"/>
      <c r="F60" s="343"/>
      <c r="G60" s="287">
        <f t="shared" si="2"/>
        <v>0</v>
      </c>
      <c r="H60" s="178">
        <f t="shared" si="3"/>
        <v>0</v>
      </c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15.75" thickBot="1" x14ac:dyDescent="0.3">
      <c r="A61" s="153" t="s">
        <v>52</v>
      </c>
      <c r="B61" s="150" t="s">
        <v>156</v>
      </c>
      <c r="C61" s="153" t="s">
        <v>487</v>
      </c>
      <c r="D61" s="284" t="s">
        <v>541</v>
      </c>
      <c r="E61" s="290"/>
      <c r="F61" s="343"/>
      <c r="G61" s="287">
        <f t="shared" si="2"/>
        <v>0</v>
      </c>
      <c r="H61" s="178">
        <f t="shared" si="3"/>
        <v>0</v>
      </c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79" ht="15.75" thickBot="1" x14ac:dyDescent="0.3">
      <c r="A62" s="151" t="s">
        <v>52</v>
      </c>
      <c r="B62" s="150" t="s">
        <v>156</v>
      </c>
      <c r="C62" s="153" t="s">
        <v>488</v>
      </c>
      <c r="D62" s="283" t="s">
        <v>542</v>
      </c>
      <c r="E62" s="290"/>
      <c r="F62" s="343"/>
      <c r="G62" s="287">
        <f t="shared" si="2"/>
        <v>0</v>
      </c>
      <c r="H62" s="178">
        <f t="shared" si="3"/>
        <v>0</v>
      </c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</row>
    <row r="63" spans="1:79" ht="15.75" thickBot="1" x14ac:dyDescent="0.3">
      <c r="A63" s="133" t="s">
        <v>52</v>
      </c>
      <c r="B63" s="155" t="s">
        <v>156</v>
      </c>
      <c r="C63" s="133" t="s">
        <v>489</v>
      </c>
      <c r="D63" s="284" t="s">
        <v>543</v>
      </c>
      <c r="E63" s="290"/>
      <c r="F63" s="343"/>
      <c r="G63" s="287">
        <f t="shared" si="2"/>
        <v>0</v>
      </c>
      <c r="H63" s="178">
        <f t="shared" si="3"/>
        <v>0</v>
      </c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ht="15.75" thickBot="1" x14ac:dyDescent="0.3">
      <c r="A64" s="153" t="s">
        <v>52</v>
      </c>
      <c r="B64" s="150" t="s">
        <v>156</v>
      </c>
      <c r="C64" s="260" t="s">
        <v>490</v>
      </c>
      <c r="D64" s="285" t="s">
        <v>544</v>
      </c>
      <c r="E64" s="290"/>
      <c r="F64" s="343"/>
      <c r="G64" s="287">
        <f t="shared" si="2"/>
        <v>0</v>
      </c>
      <c r="H64" s="178">
        <f t="shared" si="3"/>
        <v>0</v>
      </c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ht="15.75" thickBot="1" x14ac:dyDescent="0.3">
      <c r="A65" s="153" t="s">
        <v>52</v>
      </c>
      <c r="B65" s="150" t="s">
        <v>156</v>
      </c>
      <c r="C65" s="263" t="s">
        <v>491</v>
      </c>
      <c r="D65" s="286" t="s">
        <v>545</v>
      </c>
      <c r="E65" s="290"/>
      <c r="F65" s="343"/>
      <c r="G65" s="287">
        <f t="shared" si="2"/>
        <v>0</v>
      </c>
      <c r="H65" s="178">
        <f t="shared" si="3"/>
        <v>0</v>
      </c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 thickBot="1" x14ac:dyDescent="0.3">
      <c r="A66" s="133" t="s">
        <v>52</v>
      </c>
      <c r="B66" s="150" t="s">
        <v>156</v>
      </c>
      <c r="C66" s="133" t="s">
        <v>492</v>
      </c>
      <c r="D66" s="283" t="s">
        <v>546</v>
      </c>
      <c r="E66" s="289"/>
      <c r="F66" s="342"/>
      <c r="G66" s="287">
        <f t="shared" si="2"/>
        <v>0</v>
      </c>
      <c r="H66" s="178">
        <f t="shared" si="3"/>
        <v>0</v>
      </c>
      <c r="I66" s="349"/>
      <c r="J66" s="349"/>
      <c r="K66" s="349"/>
      <c r="L66" s="349"/>
      <c r="M66" s="348"/>
      <c r="N66" s="348"/>
      <c r="O66" s="348"/>
      <c r="P66" s="348"/>
      <c r="Q66" s="349"/>
      <c r="R66" s="348"/>
      <c r="S66" s="349"/>
      <c r="T66" s="348"/>
      <c r="U66" s="349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</row>
    <row r="67" spans="1:79" ht="15.75" thickBot="1" x14ac:dyDescent="0.3">
      <c r="A67" s="151" t="s">
        <v>52</v>
      </c>
      <c r="B67" s="150" t="s">
        <v>156</v>
      </c>
      <c r="C67" s="153" t="s">
        <v>493</v>
      </c>
      <c r="D67" s="283" t="s">
        <v>547</v>
      </c>
      <c r="E67" s="290"/>
      <c r="F67" s="343"/>
      <c r="G67" s="287">
        <f t="shared" si="2"/>
        <v>0</v>
      </c>
      <c r="H67" s="178">
        <f t="shared" si="3"/>
        <v>0</v>
      </c>
      <c r="I67" s="349"/>
      <c r="J67" s="349"/>
      <c r="K67" s="349"/>
      <c r="L67" s="349"/>
      <c r="M67" s="348"/>
      <c r="N67" s="348"/>
      <c r="O67" s="348"/>
      <c r="P67" s="348"/>
      <c r="Q67" s="348"/>
      <c r="R67" s="348"/>
      <c r="S67" s="349"/>
      <c r="T67" s="348"/>
      <c r="U67" s="349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thickBot="1" x14ac:dyDescent="0.3">
      <c r="A68" s="151" t="s">
        <v>52</v>
      </c>
      <c r="B68" s="150" t="s">
        <v>156</v>
      </c>
      <c r="C68" s="151" t="s">
        <v>494</v>
      </c>
      <c r="D68" s="283" t="s">
        <v>548</v>
      </c>
      <c r="E68" s="290"/>
      <c r="F68" s="343"/>
      <c r="G68" s="287">
        <f t="shared" si="2"/>
        <v>0</v>
      </c>
      <c r="H68" s="178">
        <f t="shared" si="3"/>
        <v>0</v>
      </c>
      <c r="I68" s="349"/>
      <c r="J68" s="349"/>
      <c r="K68" s="349"/>
      <c r="L68" s="349"/>
      <c r="M68" s="348"/>
      <c r="N68" s="348"/>
      <c r="O68" s="348"/>
      <c r="P68" s="348"/>
      <c r="Q68" s="348"/>
      <c r="R68" s="348"/>
      <c r="S68" s="349"/>
      <c r="T68" s="348"/>
      <c r="U68" s="349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</row>
    <row r="69" spans="1:79" ht="15.75" thickBot="1" x14ac:dyDescent="0.3">
      <c r="A69" s="151" t="s">
        <v>52</v>
      </c>
      <c r="B69" s="150" t="s">
        <v>156</v>
      </c>
      <c r="C69" s="151" t="s">
        <v>495</v>
      </c>
      <c r="D69" s="283" t="s">
        <v>549</v>
      </c>
      <c r="E69" s="290"/>
      <c r="F69" s="343"/>
      <c r="G69" s="287">
        <f t="shared" si="2"/>
        <v>0</v>
      </c>
      <c r="H69" s="178">
        <f t="shared" si="3"/>
        <v>0</v>
      </c>
      <c r="I69" s="349"/>
      <c r="J69" s="349"/>
      <c r="K69" s="349"/>
      <c r="L69" s="349"/>
      <c r="M69" s="348"/>
      <c r="N69" s="348"/>
      <c r="O69" s="348"/>
      <c r="P69" s="348"/>
      <c r="Q69" s="348"/>
      <c r="R69" s="348"/>
      <c r="S69" s="349"/>
      <c r="T69" s="348"/>
      <c r="U69" s="349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ht="15.75" thickBot="1" x14ac:dyDescent="0.3">
      <c r="A70" s="151" t="s">
        <v>52</v>
      </c>
      <c r="B70" s="150" t="s">
        <v>156</v>
      </c>
      <c r="C70" s="153" t="s">
        <v>248</v>
      </c>
      <c r="D70" s="284" t="s">
        <v>550</v>
      </c>
      <c r="E70" s="290"/>
      <c r="F70" s="343"/>
      <c r="G70" s="287">
        <f t="shared" si="2"/>
        <v>0</v>
      </c>
      <c r="H70" s="178">
        <f t="shared" si="3"/>
        <v>0</v>
      </c>
      <c r="I70" s="349"/>
      <c r="J70" s="349"/>
      <c r="K70" s="349"/>
      <c r="L70" s="349"/>
      <c r="M70" s="348"/>
      <c r="N70" s="348"/>
      <c r="O70" s="348"/>
      <c r="P70" s="348"/>
      <c r="Q70" s="348"/>
      <c r="R70" s="348"/>
      <c r="S70" s="349"/>
      <c r="T70" s="348"/>
      <c r="U70" s="349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</row>
    <row r="71" spans="1:79" ht="15.75" thickBot="1" x14ac:dyDescent="0.3">
      <c r="A71" s="151" t="s">
        <v>52</v>
      </c>
      <c r="B71" s="150" t="s">
        <v>156</v>
      </c>
      <c r="C71" s="153" t="s">
        <v>496</v>
      </c>
      <c r="D71" s="283" t="s">
        <v>551</v>
      </c>
      <c r="E71" s="290"/>
      <c r="F71" s="343"/>
      <c r="G71" s="287">
        <f t="shared" si="2"/>
        <v>0</v>
      </c>
      <c r="H71" s="178">
        <f t="shared" si="3"/>
        <v>0</v>
      </c>
      <c r="I71" s="349"/>
      <c r="J71" s="349"/>
      <c r="K71" s="349"/>
      <c r="L71" s="349"/>
      <c r="M71" s="348"/>
      <c r="N71" s="348"/>
      <c r="O71" s="348"/>
      <c r="P71" s="348"/>
      <c r="Q71" s="348"/>
      <c r="R71" s="348"/>
      <c r="S71" s="349"/>
      <c r="T71" s="348"/>
      <c r="U71" s="349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thickBot="1" x14ac:dyDescent="0.3">
      <c r="A72" s="153" t="s">
        <v>52</v>
      </c>
      <c r="B72" s="150" t="s">
        <v>156</v>
      </c>
      <c r="C72" s="153" t="s">
        <v>497</v>
      </c>
      <c r="D72" s="284" t="s">
        <v>552</v>
      </c>
      <c r="E72" s="290"/>
      <c r="F72" s="343"/>
      <c r="G72" s="287">
        <f t="shared" si="2"/>
        <v>0</v>
      </c>
      <c r="H72" s="178">
        <f t="shared" si="3"/>
        <v>0</v>
      </c>
      <c r="I72" s="349"/>
      <c r="J72" s="349"/>
      <c r="K72" s="351"/>
      <c r="L72" s="349"/>
      <c r="M72" s="348"/>
      <c r="N72" s="348"/>
      <c r="O72" s="348"/>
      <c r="P72" s="348"/>
      <c r="Q72" s="348"/>
      <c r="R72" s="348"/>
      <c r="S72" s="349"/>
      <c r="T72" s="348"/>
      <c r="U72" s="349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</row>
    <row r="73" spans="1:79" ht="15.75" thickBot="1" x14ac:dyDescent="0.3">
      <c r="A73" s="151"/>
      <c r="B73" s="150"/>
      <c r="C73" s="153"/>
      <c r="D73" s="152"/>
      <c r="E73" s="288"/>
      <c r="F73" s="288"/>
      <c r="G73" s="177"/>
      <c r="H73" s="178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8"/>
      <c r="U73" s="349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ht="15.75" thickBot="1" x14ac:dyDescent="0.3">
      <c r="A74" s="151"/>
      <c r="B74" s="150"/>
      <c r="C74" s="153"/>
      <c r="D74" s="152"/>
      <c r="E74" s="177"/>
      <c r="F74" s="177"/>
      <c r="G74" s="177"/>
      <c r="H74" s="178"/>
      <c r="I74" s="349"/>
      <c r="J74" s="349"/>
      <c r="K74" s="349"/>
      <c r="L74" s="349"/>
      <c r="M74" s="349"/>
      <c r="N74" s="352"/>
      <c r="O74" s="349"/>
      <c r="P74" s="349"/>
      <c r="Q74" s="349"/>
      <c r="R74" s="349"/>
      <c r="S74" s="349"/>
      <c r="T74" s="348"/>
      <c r="U74" s="349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ht="15.75" thickBot="1" x14ac:dyDescent="0.3">
      <c r="A75" s="133"/>
      <c r="B75" s="155"/>
      <c r="C75" s="133"/>
      <c r="D75" s="154"/>
      <c r="E75" s="177"/>
      <c r="F75" s="177"/>
      <c r="G75" s="177"/>
      <c r="H75" s="178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8"/>
      <c r="U75" s="349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5.75" thickBot="1" x14ac:dyDescent="0.3">
      <c r="A76" s="153"/>
      <c r="B76" s="150"/>
      <c r="C76" s="260"/>
      <c r="D76" s="261"/>
      <c r="E76" s="262"/>
      <c r="F76" s="343"/>
      <c r="G76" s="177"/>
      <c r="H76" s="178"/>
      <c r="I76" s="349"/>
      <c r="J76" s="349"/>
      <c r="K76" s="349"/>
      <c r="L76" s="349"/>
      <c r="M76" s="349"/>
      <c r="N76" s="351"/>
      <c r="O76" s="349"/>
      <c r="P76" s="349"/>
      <c r="Q76" s="349"/>
      <c r="R76" s="349"/>
      <c r="S76" s="349"/>
      <c r="T76" s="348"/>
      <c r="U76" s="349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5.75" thickBot="1" x14ac:dyDescent="0.3">
      <c r="A77" s="153"/>
      <c r="B77" s="150"/>
      <c r="C77" s="263"/>
      <c r="D77" s="264"/>
      <c r="E77" s="179"/>
      <c r="F77" s="344"/>
      <c r="G77" s="177"/>
      <c r="H77" s="178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8"/>
      <c r="U77" s="349"/>
    </row>
    <row r="78" spans="1:79" ht="15.75" thickBot="1" x14ac:dyDescent="0.3">
      <c r="A78" s="159"/>
      <c r="B78" s="159"/>
      <c r="C78" s="159"/>
      <c r="D78" s="159"/>
      <c r="E78" s="159"/>
      <c r="F78" s="159"/>
      <c r="G78" s="159"/>
      <c r="H78" s="159"/>
      <c r="I78" s="163"/>
      <c r="J78" s="163"/>
      <c r="K78" s="163"/>
      <c r="L78" s="163"/>
      <c r="M78" s="163"/>
      <c r="N78" s="163"/>
      <c r="O78" s="163"/>
      <c r="P78" s="174"/>
      <c r="Q78" s="163"/>
      <c r="R78" s="163"/>
      <c r="S78" s="163"/>
      <c r="T78" s="334"/>
      <c r="U78" s="163"/>
    </row>
    <row r="79" spans="1:79" ht="15.75" thickBot="1" x14ac:dyDescent="0.3">
      <c r="A79" s="115"/>
      <c r="B79" s="90"/>
      <c r="C79" s="90"/>
      <c r="D79" s="90"/>
      <c r="E79" s="173">
        <f>SUM(E9:E77)</f>
        <v>0</v>
      </c>
      <c r="F79" s="173"/>
      <c r="G79" s="173">
        <f>SUM(G9:G77)</f>
        <v>0</v>
      </c>
      <c r="H79" s="180">
        <f>SUM(H9:H77)</f>
        <v>0</v>
      </c>
      <c r="I79" s="175">
        <f t="shared" ref="I79:U79" si="4">SUM(I9:I78)</f>
        <v>0</v>
      </c>
      <c r="J79" s="175">
        <f t="shared" si="4"/>
        <v>0</v>
      </c>
      <c r="K79" s="175">
        <f t="shared" si="4"/>
        <v>0</v>
      </c>
      <c r="L79" s="175">
        <f t="shared" si="4"/>
        <v>0</v>
      </c>
      <c r="M79" s="175">
        <f t="shared" si="4"/>
        <v>0</v>
      </c>
      <c r="N79" s="175">
        <f t="shared" si="4"/>
        <v>0</v>
      </c>
      <c r="O79" s="175">
        <f t="shared" si="4"/>
        <v>0</v>
      </c>
      <c r="P79" s="175">
        <f t="shared" si="4"/>
        <v>0</v>
      </c>
      <c r="Q79" s="175">
        <f t="shared" si="4"/>
        <v>0</v>
      </c>
      <c r="R79" s="175">
        <f t="shared" si="4"/>
        <v>0</v>
      </c>
      <c r="S79" s="175">
        <f t="shared" si="4"/>
        <v>0</v>
      </c>
      <c r="T79" s="335">
        <f t="shared" si="4"/>
        <v>0</v>
      </c>
      <c r="U79" s="175">
        <f t="shared" si="4"/>
        <v>0</v>
      </c>
    </row>
    <row r="80" spans="1:79" x14ac:dyDescent="0.25">
      <c r="E80" s="6"/>
      <c r="F80" s="6"/>
      <c r="G80" s="6" t="s">
        <v>574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336"/>
      <c r="U80" s="6"/>
    </row>
    <row r="81" spans="5:21" x14ac:dyDescent="0.25">
      <c r="E81" s="6"/>
      <c r="F81" s="6"/>
      <c r="G81" s="6" t="s">
        <v>32</v>
      </c>
      <c r="H81" s="6"/>
      <c r="I81" s="6"/>
      <c r="J81" s="6"/>
      <c r="K81" s="6"/>
      <c r="L81" s="6"/>
      <c r="M81" s="6"/>
      <c r="N81" s="6"/>
      <c r="O81" s="6"/>
      <c r="P81" s="6" t="s">
        <v>32</v>
      </c>
      <c r="Q81" s="6"/>
      <c r="R81" s="6"/>
      <c r="S81" s="6"/>
      <c r="T81" s="336"/>
      <c r="U81" s="6"/>
    </row>
    <row r="82" spans="5:21" x14ac:dyDescent="0.25">
      <c r="E82" s="6">
        <v>1614203.3537597656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 t="s">
        <v>32</v>
      </c>
      <c r="Q82" s="6"/>
      <c r="R82" s="6"/>
      <c r="S82" s="6"/>
      <c r="T82" s="336"/>
      <c r="U82" s="6"/>
    </row>
    <row r="83" spans="5:21" x14ac:dyDescent="0.25">
      <c r="E83" s="6"/>
      <c r="F83" s="6"/>
      <c r="G83" s="6" t="s">
        <v>32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336"/>
      <c r="U83" s="6"/>
    </row>
    <row r="84" spans="5:21" x14ac:dyDescent="0.25">
      <c r="E84" s="6">
        <f>E82-E79</f>
        <v>1614203.3537597656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336"/>
      <c r="U84" s="6"/>
    </row>
    <row r="85" spans="5:21" x14ac:dyDescent="0.25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336"/>
      <c r="U85" s="6"/>
    </row>
    <row r="86" spans="5:21" x14ac:dyDescent="0.2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336"/>
      <c r="U86" s="6"/>
    </row>
    <row r="87" spans="5:21" x14ac:dyDescent="0.25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336"/>
      <c r="U87" s="6"/>
    </row>
    <row r="88" spans="5:21" x14ac:dyDescent="0.25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336"/>
      <c r="U88" s="6"/>
    </row>
    <row r="89" spans="5:21" x14ac:dyDescent="0.25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336"/>
      <c r="U89" s="6"/>
    </row>
    <row r="90" spans="5:21" x14ac:dyDescent="0.25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336"/>
      <c r="U90" s="6"/>
    </row>
    <row r="91" spans="5:21" x14ac:dyDescent="0.25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336"/>
      <c r="U91" s="6"/>
    </row>
    <row r="92" spans="5:21" x14ac:dyDescent="0.25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336"/>
      <c r="U92" s="6"/>
    </row>
    <row r="93" spans="5:21" x14ac:dyDescent="0.25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336"/>
      <c r="U93" s="6"/>
    </row>
    <row r="94" spans="5:21" x14ac:dyDescent="0.2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336"/>
      <c r="U94" s="6"/>
    </row>
    <row r="95" spans="5:21" x14ac:dyDescent="0.2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336"/>
      <c r="U95" s="6"/>
    </row>
    <row r="96" spans="5:21" x14ac:dyDescent="0.25"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337"/>
      <c r="U96" s="16"/>
    </row>
    <row r="97" spans="9:21" x14ac:dyDescent="0.25"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337"/>
      <c r="U97" s="16"/>
    </row>
  </sheetData>
  <sheetProtection algorithmName="SHA-512" hashValue="HWEXvccELY6mDjz95TaEnMl2BjV8GkGR9UZ1g8Tj3OshVMWDJy36Ox4hOaKbMGg/qA1JMHW1LgPXGrA60yGaOw==" saltValue="1v1IxjnL6EMlaskxtYN7qA==" spinCount="100000" sheet="1" objects="1" scenarios="1"/>
  <phoneticPr fontId="76" type="noConversion"/>
  <hyperlinks>
    <hyperlink ref="C5" r:id="rId1" xr:uid="{E1693C4C-5BEE-4D16-A510-AEDB5C0C1544}"/>
  </hyperlinks>
  <pageMargins left="0.7" right="0.7" top="0.75" bottom="0.75" header="0.3" footer="0.3"/>
  <pageSetup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E777-5F42-4109-8953-4EE3A2CAE843}">
  <sheetPr codeName="Sheet11"/>
  <dimension ref="A1:W43"/>
  <sheetViews>
    <sheetView workbookViewId="0">
      <selection activeCell="D3" sqref="D3"/>
    </sheetView>
  </sheetViews>
  <sheetFormatPr defaultColWidth="9.42578125" defaultRowHeight="15" x14ac:dyDescent="0.25"/>
  <cols>
    <col min="2" max="2" width="34.42578125" customWidth="1"/>
    <col min="3" max="3" width="9.5703125" customWidth="1"/>
    <col min="4" max="4" width="50" bestFit="1" customWidth="1"/>
    <col min="5" max="8" width="14.5703125" customWidth="1"/>
    <col min="9" max="21" width="12.5703125" customWidth="1"/>
    <col min="22" max="22" width="21.42578125" customWidth="1"/>
  </cols>
  <sheetData>
    <row r="1" spans="1:23" ht="21" x14ac:dyDescent="0.35">
      <c r="A1" s="28" t="s">
        <v>0</v>
      </c>
      <c r="B1" s="41"/>
      <c r="C1" s="37" t="s">
        <v>383</v>
      </c>
      <c r="D1" s="37"/>
      <c r="E1" s="42"/>
      <c r="F1" s="42"/>
      <c r="G1" s="42"/>
      <c r="H1" s="41"/>
      <c r="I1" s="41"/>
      <c r="J1" s="37" t="str">
        <f>$C$1</f>
        <v>Title V-B Charter School Grant Program 2020</v>
      </c>
      <c r="K1" s="41"/>
      <c r="L1" s="41"/>
      <c r="M1" s="41"/>
      <c r="N1" s="41"/>
      <c r="O1" s="37"/>
      <c r="P1" s="37" t="str">
        <f>$C$1</f>
        <v>Title V-B Charter School Grant Program 2020</v>
      </c>
      <c r="Q1" s="41"/>
      <c r="R1" s="41"/>
      <c r="S1" s="41"/>
      <c r="T1" s="41"/>
      <c r="U1" s="41"/>
      <c r="V1" s="28"/>
    </row>
    <row r="2" spans="1:23" ht="21" x14ac:dyDescent="0.35">
      <c r="A2" s="28" t="s">
        <v>137</v>
      </c>
      <c r="B2" s="38"/>
      <c r="C2" s="37" t="s">
        <v>384</v>
      </c>
      <c r="D2" s="37"/>
      <c r="E2" s="42"/>
      <c r="F2" s="42"/>
      <c r="G2" s="42"/>
      <c r="H2" s="41"/>
      <c r="I2" s="41"/>
      <c r="J2" s="29" t="str">
        <f>"FY"&amp;$C$4</f>
        <v>FY2021-22</v>
      </c>
      <c r="K2" s="41"/>
      <c r="L2" s="41"/>
      <c r="M2" s="41"/>
      <c r="N2" s="41"/>
      <c r="O2" s="44"/>
      <c r="P2" s="29" t="str">
        <f>"FY"&amp;$C$4</f>
        <v>FY2021-22</v>
      </c>
      <c r="Q2" s="41"/>
      <c r="R2" s="41"/>
      <c r="S2" s="41"/>
      <c r="T2" s="41"/>
      <c r="U2" s="41"/>
      <c r="V2" s="28"/>
    </row>
    <row r="3" spans="1:23" ht="15.75" x14ac:dyDescent="0.25">
      <c r="A3" s="29" t="s">
        <v>1</v>
      </c>
      <c r="B3" s="41"/>
      <c r="C3" s="39">
        <v>5282</v>
      </c>
      <c r="D3" s="39"/>
      <c r="E3" s="42"/>
      <c r="F3" s="42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3" ht="15.75" x14ac:dyDescent="0.25">
      <c r="A4" s="29" t="s">
        <v>2</v>
      </c>
      <c r="B4" s="41"/>
      <c r="C4" s="39" t="s">
        <v>618</v>
      </c>
      <c r="D4" s="39"/>
      <c r="E4" s="29"/>
      <c r="F4" s="2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3" ht="15.75" x14ac:dyDescent="0.25">
      <c r="A5" s="29" t="s">
        <v>376</v>
      </c>
      <c r="B5" s="41"/>
      <c r="C5" s="292" t="s">
        <v>572</v>
      </c>
      <c r="D5" s="29"/>
      <c r="E5" s="42"/>
      <c r="F5" s="42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0"/>
    </row>
    <row r="6" spans="1:23" ht="15.75" x14ac:dyDescent="0.25">
      <c r="A6" s="29"/>
      <c r="B6" s="41"/>
      <c r="C6" s="54"/>
      <c r="D6" s="29"/>
      <c r="E6" s="42"/>
      <c r="F6" s="42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</row>
    <row r="7" spans="1:23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0"/>
    </row>
    <row r="8" spans="1:23" s="323" customFormat="1" ht="30.75" thickBot="1" x14ac:dyDescent="0.3">
      <c r="A8" s="45" t="s">
        <v>130</v>
      </c>
      <c r="B8" s="45" t="s">
        <v>131</v>
      </c>
      <c r="C8" s="45" t="s">
        <v>135</v>
      </c>
      <c r="D8" s="45" t="s">
        <v>41</v>
      </c>
      <c r="E8" s="43" t="s">
        <v>317</v>
      </c>
      <c r="F8" s="43" t="s">
        <v>590</v>
      </c>
      <c r="G8" s="43" t="s">
        <v>15</v>
      </c>
      <c r="H8" s="22" t="s">
        <v>16</v>
      </c>
      <c r="I8" s="162" t="s">
        <v>411</v>
      </c>
      <c r="J8" s="161" t="s">
        <v>412</v>
      </c>
      <c r="K8" s="162" t="s">
        <v>416</v>
      </c>
      <c r="L8" s="162" t="s">
        <v>606</v>
      </c>
      <c r="M8" s="162" t="s">
        <v>607</v>
      </c>
      <c r="N8" s="162" t="s">
        <v>608</v>
      </c>
      <c r="O8" s="162" t="s">
        <v>609</v>
      </c>
      <c r="P8" s="162" t="s">
        <v>610</v>
      </c>
      <c r="Q8" s="162" t="s">
        <v>611</v>
      </c>
      <c r="R8" s="161" t="s">
        <v>612</v>
      </c>
      <c r="S8" s="162" t="s">
        <v>613</v>
      </c>
      <c r="T8" s="162" t="s">
        <v>614</v>
      </c>
      <c r="U8" s="33" t="s">
        <v>144</v>
      </c>
      <c r="V8" s="43" t="s">
        <v>145</v>
      </c>
    </row>
    <row r="9" spans="1:23" x14ac:dyDescent="0.25">
      <c r="A9" s="318" t="s">
        <v>235</v>
      </c>
      <c r="B9" s="318" t="s">
        <v>577</v>
      </c>
      <c r="C9" s="319" t="s">
        <v>575</v>
      </c>
      <c r="D9" s="320" t="s">
        <v>576</v>
      </c>
      <c r="E9" s="321"/>
      <c r="F9" s="321"/>
      <c r="G9" s="322">
        <f t="shared" ref="G9:G21" si="0">SUM(I9:U9)</f>
        <v>0</v>
      </c>
      <c r="H9" s="322">
        <f t="shared" ref="H9:H20" si="1">E9-G9</f>
        <v>0</v>
      </c>
      <c r="I9" s="308"/>
      <c r="J9" s="308"/>
      <c r="K9" s="309"/>
      <c r="L9" s="308"/>
      <c r="M9" s="308"/>
      <c r="N9" s="308"/>
      <c r="O9" s="308"/>
      <c r="P9" s="308"/>
      <c r="Q9" s="310"/>
      <c r="R9" s="308"/>
      <c r="S9" s="308"/>
      <c r="T9" s="308"/>
      <c r="U9" s="308"/>
      <c r="V9" s="6"/>
      <c r="W9" s="6"/>
    </row>
    <row r="10" spans="1:23" x14ac:dyDescent="0.25">
      <c r="A10" s="304" t="s">
        <v>52</v>
      </c>
      <c r="B10" s="299" t="s">
        <v>156</v>
      </c>
      <c r="C10" s="297" t="s">
        <v>385</v>
      </c>
      <c r="D10" s="299" t="s">
        <v>386</v>
      </c>
      <c r="E10" s="305"/>
      <c r="F10" s="305"/>
      <c r="G10" s="295">
        <f t="shared" si="0"/>
        <v>0</v>
      </c>
      <c r="H10" s="295">
        <f t="shared" si="1"/>
        <v>0</v>
      </c>
      <c r="I10" s="308"/>
      <c r="J10" s="308"/>
      <c r="K10" s="309"/>
      <c r="L10" s="308"/>
      <c r="M10" s="308"/>
      <c r="N10" s="308"/>
      <c r="O10" s="308"/>
      <c r="P10" s="308"/>
      <c r="Q10" s="311"/>
      <c r="R10" s="308"/>
      <c r="S10" s="308"/>
      <c r="T10" s="308"/>
      <c r="U10" s="308"/>
      <c r="V10" s="6"/>
      <c r="W10" s="6"/>
    </row>
    <row r="11" spans="1:23" x14ac:dyDescent="0.25">
      <c r="A11" s="304" t="s">
        <v>52</v>
      </c>
      <c r="B11" s="298" t="s">
        <v>156</v>
      </c>
      <c r="C11" s="297" t="s">
        <v>387</v>
      </c>
      <c r="D11" s="298" t="s">
        <v>388</v>
      </c>
      <c r="E11" s="306"/>
      <c r="F11" s="306"/>
      <c r="G11" s="295">
        <f t="shared" si="0"/>
        <v>0</v>
      </c>
      <c r="H11" s="295">
        <f t="shared" si="1"/>
        <v>0</v>
      </c>
      <c r="I11" s="308"/>
      <c r="J11" s="308"/>
      <c r="K11" s="309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6"/>
      <c r="W11" s="6"/>
    </row>
    <row r="12" spans="1:23" x14ac:dyDescent="0.25">
      <c r="A12" s="304" t="s">
        <v>52</v>
      </c>
      <c r="B12" s="299" t="s">
        <v>156</v>
      </c>
      <c r="C12" s="302" t="s">
        <v>389</v>
      </c>
      <c r="D12" s="299" t="s">
        <v>390</v>
      </c>
      <c r="E12" s="305"/>
      <c r="F12" s="305"/>
      <c r="G12" s="295">
        <f t="shared" si="0"/>
        <v>0</v>
      </c>
      <c r="H12" s="295">
        <f>E12+F12-G12</f>
        <v>0</v>
      </c>
      <c r="I12" s="308"/>
      <c r="J12" s="308"/>
      <c r="K12" s="309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6"/>
      <c r="W12" s="6"/>
    </row>
    <row r="13" spans="1:23" x14ac:dyDescent="0.25">
      <c r="A13" s="304" t="s">
        <v>52</v>
      </c>
      <c r="B13" s="299" t="s">
        <v>156</v>
      </c>
      <c r="C13" s="302" t="s">
        <v>580</v>
      </c>
      <c r="D13" s="299" t="s">
        <v>584</v>
      </c>
      <c r="E13" s="305"/>
      <c r="F13" s="305"/>
      <c r="G13" s="295">
        <f t="shared" si="0"/>
        <v>0</v>
      </c>
      <c r="H13" s="295">
        <f t="shared" si="1"/>
        <v>0</v>
      </c>
      <c r="I13" s="308"/>
      <c r="J13" s="308"/>
      <c r="K13" s="309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6"/>
      <c r="W13" s="6"/>
    </row>
    <row r="14" spans="1:23" x14ac:dyDescent="0.25">
      <c r="A14" s="304" t="s">
        <v>52</v>
      </c>
      <c r="B14" s="299" t="s">
        <v>156</v>
      </c>
      <c r="C14" s="302" t="s">
        <v>582</v>
      </c>
      <c r="D14" s="299" t="s">
        <v>585</v>
      </c>
      <c r="E14" s="305"/>
      <c r="F14" s="305"/>
      <c r="G14" s="295">
        <f t="shared" si="0"/>
        <v>0</v>
      </c>
      <c r="H14" s="295">
        <f t="shared" si="1"/>
        <v>0</v>
      </c>
      <c r="I14" s="308"/>
      <c r="J14" s="308"/>
      <c r="K14" s="309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6"/>
      <c r="W14" s="6"/>
    </row>
    <row r="15" spans="1:23" x14ac:dyDescent="0.25">
      <c r="A15" s="304" t="s">
        <v>181</v>
      </c>
      <c r="B15" s="299" t="s">
        <v>184</v>
      </c>
      <c r="C15" s="301" t="s">
        <v>391</v>
      </c>
      <c r="D15" s="299" t="s">
        <v>392</v>
      </c>
      <c r="E15" s="305"/>
      <c r="F15" s="305"/>
      <c r="G15" s="295">
        <f t="shared" si="0"/>
        <v>0</v>
      </c>
      <c r="H15" s="295">
        <f t="shared" si="1"/>
        <v>0</v>
      </c>
      <c r="I15" s="308"/>
      <c r="J15" s="308"/>
      <c r="K15" s="308"/>
      <c r="L15" s="308"/>
      <c r="M15" s="309"/>
      <c r="N15" s="309"/>
      <c r="O15" s="308"/>
      <c r="P15" s="308"/>
      <c r="Q15" s="308"/>
      <c r="R15" s="308"/>
      <c r="S15" s="308"/>
      <c r="T15" s="308"/>
      <c r="U15" s="308"/>
      <c r="V15" s="6"/>
      <c r="W15" s="6"/>
    </row>
    <row r="16" spans="1:23" x14ac:dyDescent="0.25">
      <c r="A16" s="304" t="s">
        <v>49</v>
      </c>
      <c r="B16" s="299" t="s">
        <v>153</v>
      </c>
      <c r="C16" s="301" t="s">
        <v>71</v>
      </c>
      <c r="D16" s="299" t="s">
        <v>393</v>
      </c>
      <c r="E16" s="305"/>
      <c r="F16" s="305"/>
      <c r="G16" s="295">
        <f t="shared" si="0"/>
        <v>0</v>
      </c>
      <c r="H16" s="295">
        <f t="shared" si="1"/>
        <v>0</v>
      </c>
      <c r="I16" s="309"/>
      <c r="J16" s="309"/>
      <c r="K16" s="309"/>
      <c r="L16" s="308"/>
      <c r="M16" s="309"/>
      <c r="N16" s="309"/>
      <c r="O16" s="308"/>
      <c r="P16" s="308"/>
      <c r="Q16" s="308"/>
      <c r="R16" s="308"/>
      <c r="S16" s="308"/>
      <c r="T16" s="308"/>
      <c r="U16" s="308"/>
      <c r="V16" s="6"/>
      <c r="W16" s="6"/>
    </row>
    <row r="17" spans="1:23" x14ac:dyDescent="0.25">
      <c r="A17" s="304" t="s">
        <v>49</v>
      </c>
      <c r="B17" s="299" t="s">
        <v>153</v>
      </c>
      <c r="C17" s="326" t="s">
        <v>581</v>
      </c>
      <c r="D17" s="299" t="s">
        <v>583</v>
      </c>
      <c r="E17" s="305"/>
      <c r="F17" s="305"/>
      <c r="G17" s="295">
        <f t="shared" si="0"/>
        <v>0</v>
      </c>
      <c r="H17" s="295">
        <f t="shared" si="1"/>
        <v>0</v>
      </c>
      <c r="I17" s="309"/>
      <c r="J17" s="309"/>
      <c r="K17" s="309"/>
      <c r="L17" s="308"/>
      <c r="M17" s="309"/>
      <c r="N17" s="309"/>
      <c r="O17" s="308"/>
      <c r="P17" s="308"/>
      <c r="Q17" s="308"/>
      <c r="R17" s="308"/>
      <c r="S17" s="308"/>
      <c r="T17" s="308"/>
      <c r="U17" s="308"/>
      <c r="V17" s="6"/>
      <c r="W17" s="6"/>
    </row>
    <row r="18" spans="1:23" x14ac:dyDescent="0.25">
      <c r="A18" s="304" t="s">
        <v>212</v>
      </c>
      <c r="B18" s="299" t="s">
        <v>223</v>
      </c>
      <c r="C18" s="302" t="s">
        <v>394</v>
      </c>
      <c r="D18" s="299" t="s">
        <v>395</v>
      </c>
      <c r="E18" s="305"/>
      <c r="F18" s="305"/>
      <c r="G18" s="295">
        <f t="shared" si="0"/>
        <v>0</v>
      </c>
      <c r="H18" s="295">
        <f t="shared" si="1"/>
        <v>0</v>
      </c>
      <c r="I18" s="308"/>
      <c r="J18" s="309"/>
      <c r="K18" s="309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6"/>
      <c r="W18" s="6"/>
    </row>
    <row r="19" spans="1:23" x14ac:dyDescent="0.25">
      <c r="A19" s="328" t="s">
        <v>420</v>
      </c>
      <c r="B19" s="299" t="s">
        <v>586</v>
      </c>
      <c r="C19" s="302" t="s">
        <v>588</v>
      </c>
      <c r="D19" s="299" t="s">
        <v>587</v>
      </c>
      <c r="E19" s="305"/>
      <c r="F19" s="305"/>
      <c r="G19" s="295">
        <f t="shared" si="0"/>
        <v>0</v>
      </c>
      <c r="H19" s="295">
        <f t="shared" si="1"/>
        <v>0</v>
      </c>
      <c r="I19" s="308"/>
      <c r="J19" s="309"/>
      <c r="K19" s="309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6"/>
      <c r="W19" s="6"/>
    </row>
    <row r="20" spans="1:23" x14ac:dyDescent="0.25">
      <c r="A20" s="304" t="s">
        <v>396</v>
      </c>
      <c r="B20" s="303" t="s">
        <v>397</v>
      </c>
      <c r="C20" s="302" t="s">
        <v>398</v>
      </c>
      <c r="D20" s="303" t="s">
        <v>399</v>
      </c>
      <c r="E20" s="307"/>
      <c r="F20" s="307"/>
      <c r="G20" s="295">
        <f t="shared" si="0"/>
        <v>0</v>
      </c>
      <c r="H20" s="295">
        <f t="shared" si="1"/>
        <v>0</v>
      </c>
      <c r="I20" s="309"/>
      <c r="J20" s="309"/>
      <c r="K20" s="312"/>
      <c r="L20" s="308"/>
      <c r="M20" s="309"/>
      <c r="N20" s="309"/>
      <c r="O20" s="308"/>
      <c r="P20" s="308"/>
      <c r="Q20" s="308"/>
      <c r="R20" s="308"/>
      <c r="S20" s="308"/>
      <c r="T20" s="308"/>
      <c r="U20" s="308"/>
      <c r="V20" s="6"/>
      <c r="W20" s="6"/>
    </row>
    <row r="21" spans="1:23" x14ac:dyDescent="0.25">
      <c r="A21" s="327" t="s">
        <v>95</v>
      </c>
      <c r="B21" s="299" t="s">
        <v>432</v>
      </c>
      <c r="C21" s="302" t="s">
        <v>579</v>
      </c>
      <c r="D21" s="299" t="s">
        <v>578</v>
      </c>
      <c r="E21" s="305"/>
      <c r="F21" s="305"/>
      <c r="G21" s="295">
        <f t="shared" si="0"/>
        <v>0</v>
      </c>
      <c r="H21" s="295">
        <f>E21-G21</f>
        <v>0</v>
      </c>
      <c r="I21" s="309"/>
      <c r="J21" s="309"/>
      <c r="K21" s="309"/>
      <c r="L21" s="308"/>
      <c r="M21" s="309"/>
      <c r="N21" s="309"/>
      <c r="O21" s="308"/>
      <c r="P21" s="308"/>
      <c r="Q21" s="308"/>
      <c r="R21" s="308"/>
      <c r="S21" s="308"/>
      <c r="T21" s="308"/>
      <c r="U21" s="308"/>
      <c r="V21" s="172"/>
      <c r="W21" s="6"/>
    </row>
    <row r="22" spans="1:23" x14ac:dyDescent="0.25">
      <c r="A22" s="301"/>
      <c r="B22" s="298"/>
      <c r="C22" s="302"/>
      <c r="D22" s="299"/>
      <c r="E22" s="295"/>
      <c r="F22" s="295"/>
      <c r="G22" s="295"/>
      <c r="H22" s="295"/>
      <c r="I22" s="309"/>
      <c r="J22" s="309"/>
      <c r="K22" s="309"/>
      <c r="L22" s="308"/>
      <c r="M22" s="309"/>
      <c r="N22" s="311"/>
      <c r="O22" s="308"/>
      <c r="P22" s="308"/>
      <c r="Q22" s="308"/>
      <c r="R22" s="308"/>
      <c r="S22" s="308"/>
      <c r="T22" s="308"/>
      <c r="U22" s="308"/>
      <c r="V22" s="6"/>
      <c r="W22" s="6"/>
    </row>
    <row r="23" spans="1:23" x14ac:dyDescent="0.25">
      <c r="A23" s="297"/>
      <c r="B23" s="298"/>
      <c r="C23" s="297"/>
      <c r="D23" s="303"/>
      <c r="E23" s="295"/>
      <c r="F23" s="295"/>
      <c r="G23" s="295"/>
      <c r="H23" s="295"/>
      <c r="I23" s="308"/>
      <c r="J23" s="308"/>
      <c r="K23" s="309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6"/>
      <c r="W23" s="6"/>
    </row>
    <row r="24" spans="1:23" x14ac:dyDescent="0.25">
      <c r="A24" s="314"/>
      <c r="B24" s="314"/>
      <c r="C24" s="314"/>
      <c r="D24" s="314"/>
      <c r="E24" s="314"/>
      <c r="F24" s="314"/>
      <c r="G24" s="314"/>
      <c r="H24" s="314"/>
      <c r="I24" s="324"/>
      <c r="J24" s="324"/>
      <c r="K24" s="325"/>
      <c r="L24" s="324"/>
      <c r="M24" s="324"/>
      <c r="N24" s="324"/>
      <c r="O24" s="324"/>
      <c r="P24" s="308"/>
      <c r="Q24" s="324"/>
      <c r="R24" s="324"/>
      <c r="S24" s="324"/>
      <c r="T24" s="324"/>
      <c r="U24" s="324"/>
    </row>
    <row r="25" spans="1:23" x14ac:dyDescent="0.25">
      <c r="A25" s="315" t="s">
        <v>44</v>
      </c>
      <c r="B25" s="316"/>
      <c r="C25" s="316"/>
      <c r="D25" s="316"/>
      <c r="E25" s="317">
        <f t="shared" ref="E25:U25" si="2">SUM(E9:E23)</f>
        <v>0</v>
      </c>
      <c r="F25" s="317">
        <f t="shared" si="2"/>
        <v>0</v>
      </c>
      <c r="G25" s="317">
        <f t="shared" si="2"/>
        <v>0</v>
      </c>
      <c r="H25" s="317">
        <f t="shared" si="2"/>
        <v>0</v>
      </c>
      <c r="I25" s="317">
        <f t="shared" si="2"/>
        <v>0</v>
      </c>
      <c r="J25" s="317">
        <f t="shared" si="2"/>
        <v>0</v>
      </c>
      <c r="K25" s="317">
        <f t="shared" si="2"/>
        <v>0</v>
      </c>
      <c r="L25" s="317">
        <f t="shared" si="2"/>
        <v>0</v>
      </c>
      <c r="M25" s="317">
        <f t="shared" si="2"/>
        <v>0</v>
      </c>
      <c r="N25" s="317">
        <f t="shared" si="2"/>
        <v>0</v>
      </c>
      <c r="O25" s="317">
        <f t="shared" si="2"/>
        <v>0</v>
      </c>
      <c r="P25" s="317">
        <f t="shared" si="2"/>
        <v>0</v>
      </c>
      <c r="Q25" s="317">
        <f t="shared" si="2"/>
        <v>0</v>
      </c>
      <c r="R25" s="317">
        <f t="shared" si="2"/>
        <v>0</v>
      </c>
      <c r="S25" s="317">
        <f t="shared" si="2"/>
        <v>0</v>
      </c>
      <c r="T25" s="317">
        <f t="shared" si="2"/>
        <v>0</v>
      </c>
      <c r="U25" s="317">
        <f t="shared" si="2"/>
        <v>0</v>
      </c>
      <c r="V25" s="313">
        <f>SUM(V11:V23)</f>
        <v>0</v>
      </c>
      <c r="W25" s="6"/>
    </row>
    <row r="26" spans="1:23" x14ac:dyDescent="0.2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76"/>
      <c r="W26" s="6"/>
    </row>
    <row r="27" spans="1:23" x14ac:dyDescent="0.2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76"/>
      <c r="W28" s="6"/>
    </row>
    <row r="29" spans="1:23" x14ac:dyDescent="0.2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E31" s="6" t="s">
        <v>32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5:23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5:23" x14ac:dyDescent="0.2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5:23" x14ac:dyDescent="0.25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5:23" x14ac:dyDescent="0.25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5:23" x14ac:dyDescent="0.25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5:23" x14ac:dyDescent="0.25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5:23" x14ac:dyDescent="0.2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5:23" x14ac:dyDescent="0.25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5:23" x14ac:dyDescent="0.25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5:23" x14ac:dyDescent="0.2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5:23" x14ac:dyDescent="0.2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</sheetData>
  <sheetProtection algorithmName="SHA-512" hashValue="6XgLjKC2PmKG4HyqMi4+Feo8SlRXHJ0cPtVm8gQLgyXvhBPf8r+zwjyhl0sz4RWAFwzsAeHUMscoI2tzrQCl7A==" saltValue="xpLn0+UMltnEbsB9z0h9LA==" spinCount="100000" sheet="1" objects="1" scenarios="1"/>
  <hyperlinks>
    <hyperlink ref="C5" r:id="rId1" xr:uid="{AB1FBDE1-AA9C-44EB-81DA-BF43590AD7C5}"/>
  </hyperlinks>
  <pageMargins left="0.7" right="0.7" top="0.75" bottom="0.75" header="0.3" footer="0.3"/>
  <pageSetup orientation="portrait" horizontalDpi="1200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theme="2"/>
  </sheetPr>
  <dimension ref="A1:U35"/>
  <sheetViews>
    <sheetView zoomScale="98" zoomScaleNormal="98" workbookViewId="0">
      <pane xSplit="8" ySplit="8" topLeftCell="N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E21" sqref="E21"/>
    </sheetView>
  </sheetViews>
  <sheetFormatPr defaultColWidth="9.42578125" defaultRowHeight="15" x14ac:dyDescent="0.25"/>
  <cols>
    <col min="2" max="2" width="34.42578125" customWidth="1"/>
    <col min="3" max="3" width="9.5703125" customWidth="1"/>
    <col min="4" max="4" width="44.5703125" customWidth="1"/>
    <col min="5" max="8" width="14.5703125" customWidth="1"/>
    <col min="9" max="21" width="12.5703125" customWidth="1"/>
  </cols>
  <sheetData>
    <row r="1" spans="1:21" ht="21" x14ac:dyDescent="0.35">
      <c r="A1" s="28" t="s">
        <v>0</v>
      </c>
      <c r="B1" s="41"/>
      <c r="C1" s="37" t="s">
        <v>45</v>
      </c>
      <c r="D1" s="37"/>
      <c r="E1" s="42"/>
      <c r="F1" s="42"/>
      <c r="G1" s="42"/>
      <c r="H1" s="41"/>
      <c r="I1" s="41"/>
      <c r="J1" s="37" t="str">
        <f>$C$1</f>
        <v>Title V-B Charter School Grant Program C1</v>
      </c>
      <c r="K1" s="41"/>
      <c r="L1" s="41"/>
      <c r="M1" s="41"/>
      <c r="N1" s="41"/>
      <c r="O1" s="37"/>
      <c r="P1" s="37" t="str">
        <f>$C$1</f>
        <v>Title V-B Charter School Grant Program C1</v>
      </c>
      <c r="Q1" s="41"/>
      <c r="R1" s="41"/>
      <c r="S1" s="41"/>
      <c r="T1" s="41"/>
      <c r="U1" s="41"/>
    </row>
    <row r="2" spans="1:21" ht="21" x14ac:dyDescent="0.35">
      <c r="A2" s="28" t="s">
        <v>137</v>
      </c>
      <c r="B2" s="38"/>
      <c r="C2" s="37" t="s">
        <v>562</v>
      </c>
      <c r="D2" s="37"/>
      <c r="E2" s="42"/>
      <c r="F2" s="42"/>
      <c r="G2" s="42"/>
      <c r="H2" s="41"/>
      <c r="I2" s="41"/>
      <c r="J2" s="29" t="str">
        <f>"FY"&amp;$C$4</f>
        <v>FY2021-2022</v>
      </c>
      <c r="K2" s="41"/>
      <c r="L2" s="41"/>
      <c r="M2" s="41"/>
      <c r="N2" s="41"/>
      <c r="O2" s="44"/>
      <c r="P2" s="29" t="str">
        <f>"FY"&amp;$C$4</f>
        <v>FY2021-2022</v>
      </c>
      <c r="Q2" s="41"/>
      <c r="R2" s="41"/>
      <c r="S2" s="41"/>
      <c r="T2" s="41"/>
      <c r="U2" s="41"/>
    </row>
    <row r="3" spans="1:21" ht="15.75" x14ac:dyDescent="0.25">
      <c r="A3" s="29" t="s">
        <v>1</v>
      </c>
      <c r="B3" s="41"/>
      <c r="C3" s="39">
        <v>5282</v>
      </c>
      <c r="D3" s="39"/>
      <c r="E3" s="42"/>
      <c r="F3" s="42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x14ac:dyDescent="0.25">
      <c r="A4" s="29" t="s">
        <v>2</v>
      </c>
      <c r="B4" s="41"/>
      <c r="C4" s="39" t="s">
        <v>616</v>
      </c>
      <c r="D4" s="39"/>
      <c r="E4" s="29"/>
      <c r="F4" s="2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x14ac:dyDescent="0.25">
      <c r="A5" s="29" t="s">
        <v>376</v>
      </c>
      <c r="B5" s="41"/>
      <c r="C5" s="292" t="s">
        <v>572</v>
      </c>
      <c r="D5" s="29"/>
      <c r="E5" s="42"/>
      <c r="F5" s="42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5.75" x14ac:dyDescent="0.25">
      <c r="A6" s="29"/>
      <c r="B6" s="41"/>
      <c r="C6" s="54"/>
      <c r="D6" s="29"/>
      <c r="E6" s="42"/>
      <c r="F6" s="42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30.75" thickBot="1" x14ac:dyDescent="0.3">
      <c r="A8" s="45" t="s">
        <v>130</v>
      </c>
      <c r="B8" s="45" t="s">
        <v>131</v>
      </c>
      <c r="C8" s="45" t="s">
        <v>135</v>
      </c>
      <c r="D8" s="45" t="s">
        <v>41</v>
      </c>
      <c r="E8" s="143" t="s">
        <v>317</v>
      </c>
      <c r="F8" s="143" t="s">
        <v>615</v>
      </c>
      <c r="G8" s="143" t="s">
        <v>15</v>
      </c>
      <c r="H8" s="296" t="s">
        <v>16</v>
      </c>
      <c r="I8" s="24" t="s">
        <v>411</v>
      </c>
      <c r="J8" s="23" t="s">
        <v>412</v>
      </c>
      <c r="K8" s="24" t="s">
        <v>416</v>
      </c>
      <c r="L8" s="24" t="s">
        <v>606</v>
      </c>
      <c r="M8" s="24" t="s">
        <v>607</v>
      </c>
      <c r="N8" s="24" t="s">
        <v>608</v>
      </c>
      <c r="O8" s="24" t="s">
        <v>609</v>
      </c>
      <c r="P8" s="24" t="s">
        <v>610</v>
      </c>
      <c r="Q8" s="24" t="s">
        <v>611</v>
      </c>
      <c r="R8" s="23" t="s">
        <v>612</v>
      </c>
      <c r="S8" s="24" t="s">
        <v>613</v>
      </c>
      <c r="T8" s="24" t="s">
        <v>614</v>
      </c>
      <c r="U8" s="12" t="s">
        <v>144</v>
      </c>
    </row>
    <row r="9" spans="1:21" x14ac:dyDescent="0.25">
      <c r="A9" s="297" t="s">
        <v>301</v>
      </c>
      <c r="B9" s="298" t="s">
        <v>302</v>
      </c>
      <c r="C9" s="297" t="s">
        <v>371</v>
      </c>
      <c r="D9" s="299" t="s">
        <v>303</v>
      </c>
      <c r="E9" s="300"/>
      <c r="F9" s="300"/>
      <c r="G9" s="295">
        <f t="shared" ref="G9:G15" si="0">SUM(I9:U9)</f>
        <v>0</v>
      </c>
      <c r="H9" s="295">
        <f>E9+F9-G9</f>
        <v>0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</row>
    <row r="10" spans="1:21" x14ac:dyDescent="0.25">
      <c r="A10" s="301" t="s">
        <v>4</v>
      </c>
      <c r="B10" s="298" t="s">
        <v>88</v>
      </c>
      <c r="C10" s="302" t="s">
        <v>382</v>
      </c>
      <c r="D10" s="299" t="s">
        <v>300</v>
      </c>
      <c r="E10" s="295"/>
      <c r="F10" s="295"/>
      <c r="G10" s="295">
        <f t="shared" si="0"/>
        <v>0</v>
      </c>
      <c r="H10" s="295">
        <f t="shared" ref="H10:H15" si="1">E10+F10-G10</f>
        <v>0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</row>
    <row r="11" spans="1:21" x14ac:dyDescent="0.25">
      <c r="A11" s="301" t="s">
        <v>49</v>
      </c>
      <c r="B11" s="298" t="s">
        <v>26</v>
      </c>
      <c r="C11" s="302" t="s">
        <v>369</v>
      </c>
      <c r="D11" s="303" t="s">
        <v>279</v>
      </c>
      <c r="E11" s="295"/>
      <c r="F11" s="295"/>
      <c r="G11" s="295">
        <f t="shared" si="0"/>
        <v>0</v>
      </c>
      <c r="H11" s="295">
        <f t="shared" si="1"/>
        <v>0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21" x14ac:dyDescent="0.25">
      <c r="A12" s="301" t="s">
        <v>86</v>
      </c>
      <c r="B12" s="298" t="s">
        <v>87</v>
      </c>
      <c r="C12" s="302" t="s">
        <v>309</v>
      </c>
      <c r="D12" s="299" t="s">
        <v>280</v>
      </c>
      <c r="E12" s="295"/>
      <c r="F12" s="295"/>
      <c r="G12" s="295">
        <f t="shared" si="0"/>
        <v>0</v>
      </c>
      <c r="H12" s="295">
        <f t="shared" si="1"/>
        <v>0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</row>
    <row r="13" spans="1:21" x14ac:dyDescent="0.25">
      <c r="A13" s="297" t="s">
        <v>298</v>
      </c>
      <c r="B13" s="298" t="s">
        <v>299</v>
      </c>
      <c r="C13" s="297" t="s">
        <v>310</v>
      </c>
      <c r="D13" s="303" t="s">
        <v>378</v>
      </c>
      <c r="E13" s="295"/>
      <c r="F13" s="295"/>
      <c r="G13" s="295">
        <f t="shared" si="0"/>
        <v>0</v>
      </c>
      <c r="H13" s="295">
        <f t="shared" si="1"/>
        <v>0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</row>
    <row r="14" spans="1:21" x14ac:dyDescent="0.25">
      <c r="A14" s="302" t="s">
        <v>52</v>
      </c>
      <c r="B14" s="298" t="s">
        <v>156</v>
      </c>
      <c r="C14" s="297" t="s">
        <v>370</v>
      </c>
      <c r="D14" s="298" t="s">
        <v>281</v>
      </c>
      <c r="E14" s="295"/>
      <c r="F14" s="295"/>
      <c r="G14" s="295">
        <f t="shared" si="0"/>
        <v>0</v>
      </c>
      <c r="H14" s="295">
        <f t="shared" si="1"/>
        <v>0</v>
      </c>
      <c r="I14" s="174"/>
      <c r="J14" s="174"/>
      <c r="K14" s="174"/>
      <c r="L14" s="174"/>
      <c r="N14" s="272"/>
      <c r="O14" s="174"/>
      <c r="P14" s="174"/>
      <c r="Q14" s="174"/>
      <c r="R14" s="174"/>
      <c r="S14" s="174"/>
      <c r="T14" s="174"/>
      <c r="U14" s="174"/>
    </row>
    <row r="15" spans="1:21" x14ac:dyDescent="0.25">
      <c r="A15" s="302" t="s">
        <v>52</v>
      </c>
      <c r="B15" s="298" t="s">
        <v>156</v>
      </c>
      <c r="C15" s="297" t="s">
        <v>372</v>
      </c>
      <c r="D15" s="298" t="s">
        <v>297</v>
      </c>
      <c r="E15" s="295"/>
      <c r="F15" s="295"/>
      <c r="G15" s="295">
        <f t="shared" si="0"/>
        <v>0</v>
      </c>
      <c r="H15" s="295">
        <f t="shared" si="1"/>
        <v>0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</row>
    <row r="16" spans="1:21" ht="15.75" thickBot="1" x14ac:dyDescent="0.3">
      <c r="A16" s="294"/>
      <c r="B16" s="294"/>
      <c r="C16" s="294"/>
      <c r="D16" s="294"/>
      <c r="E16" s="294"/>
      <c r="F16" s="294"/>
      <c r="G16" s="294"/>
      <c r="H16" s="294"/>
      <c r="I16" s="163"/>
      <c r="J16" s="163"/>
      <c r="K16" s="163"/>
      <c r="L16" s="163"/>
      <c r="M16" s="163"/>
      <c r="N16" s="163"/>
      <c r="O16" s="163"/>
      <c r="P16" s="174"/>
      <c r="Q16" s="163"/>
      <c r="R16" s="163"/>
      <c r="S16" s="163"/>
      <c r="T16" s="163"/>
      <c r="U16" s="163"/>
    </row>
    <row r="17" spans="1:21" ht="15.75" thickBot="1" x14ac:dyDescent="0.3">
      <c r="A17" s="115" t="s">
        <v>44</v>
      </c>
      <c r="B17" s="90"/>
      <c r="C17" s="90"/>
      <c r="D17" s="90"/>
      <c r="E17" s="173">
        <f t="shared" ref="E17:Q17" si="2">SUM(E9:E15)</f>
        <v>0</v>
      </c>
      <c r="F17" s="173"/>
      <c r="G17" s="173">
        <f t="shared" si="2"/>
        <v>0</v>
      </c>
      <c r="H17" s="180">
        <f t="shared" si="2"/>
        <v>0</v>
      </c>
      <c r="I17" s="175">
        <f t="shared" si="2"/>
        <v>0</v>
      </c>
      <c r="J17" s="175">
        <f t="shared" si="2"/>
        <v>0</v>
      </c>
      <c r="K17" s="175">
        <f t="shared" si="2"/>
        <v>0</v>
      </c>
      <c r="L17" s="175">
        <f t="shared" si="2"/>
        <v>0</v>
      </c>
      <c r="M17" s="175">
        <f t="shared" si="2"/>
        <v>0</v>
      </c>
      <c r="N17" s="175">
        <f t="shared" si="2"/>
        <v>0</v>
      </c>
      <c r="O17" s="175">
        <f t="shared" si="2"/>
        <v>0</v>
      </c>
      <c r="P17" s="175">
        <f t="shared" si="2"/>
        <v>0</v>
      </c>
      <c r="Q17" s="175">
        <f t="shared" si="2"/>
        <v>0</v>
      </c>
      <c r="R17" s="175">
        <f>SUM(R9:R15)</f>
        <v>0</v>
      </c>
      <c r="S17" s="175">
        <f>SUM(S9:S15)</f>
        <v>0</v>
      </c>
      <c r="T17" s="175">
        <f>SUM(T9:T15)</f>
        <v>0</v>
      </c>
      <c r="U17" s="175">
        <f>SUM(U10:U13)</f>
        <v>0</v>
      </c>
    </row>
    <row r="18" spans="1:21" x14ac:dyDescent="0.25">
      <c r="E18" s="6"/>
      <c r="F18" s="6"/>
      <c r="G18" s="6" t="s">
        <v>32</v>
      </c>
      <c r="H18" s="6" t="s">
        <v>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5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5:21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5:21" x14ac:dyDescent="0.25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5:21" x14ac:dyDescent="0.2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</sheetData>
  <sheetProtection algorithmName="SHA-512" hashValue="HaRFnnLVQWpjAhWB7bsZoEeVIA97q4ThYdzxWDDBjDr3dES3j0XD0HPmTZxkofQkQaAH9optpbPv5tqPYIZ97g==" saltValue="/XbQayavGgC3cve6BQPadA==" spinCount="100000" sheet="1" objects="1" scenarios="1"/>
  <autoFilter ref="A8:U15" xr:uid="{00000000-0009-0000-0000-000014000000}">
    <sortState xmlns:xlrd2="http://schemas.microsoft.com/office/spreadsheetml/2017/richdata2" ref="A9:U15">
      <sortCondition ref="A8:A15"/>
    </sortState>
  </autoFilter>
  <hyperlinks>
    <hyperlink ref="C5" r:id="rId1" xr:uid="{58325C75-7074-42AB-B169-7F9B323EACDB}"/>
  </hyperlinks>
  <pageMargins left="0.7" right="0.7" top="0.75" bottom="0.75" header="0.3" footer="0.3"/>
  <pageSetup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7E036-A344-40E9-8EE7-0776E7C7CBE1}">
  <sheetPr>
    <tabColor theme="2"/>
  </sheetPr>
  <dimension ref="A1:W11"/>
  <sheetViews>
    <sheetView workbookViewId="0">
      <selection activeCell="C9" sqref="C9"/>
    </sheetView>
  </sheetViews>
  <sheetFormatPr defaultColWidth="8.85546875" defaultRowHeight="15" x14ac:dyDescent="0.25"/>
  <cols>
    <col min="2" max="2" width="43" customWidth="1"/>
    <col min="3" max="3" width="20.5703125" customWidth="1"/>
    <col min="4" max="4" width="13" customWidth="1"/>
    <col min="5" max="5" width="13.140625" customWidth="1"/>
    <col min="6" max="6" width="11.7109375" bestFit="1" customWidth="1"/>
    <col min="7" max="7" width="13.28515625" customWidth="1"/>
    <col min="8" max="8" width="11.42578125" bestFit="1" customWidth="1"/>
    <col min="9" max="9" width="12" customWidth="1"/>
    <col min="10" max="10" width="14.140625" customWidth="1"/>
    <col min="11" max="11" width="0" hidden="1" customWidth="1"/>
    <col min="12" max="12" width="10" bestFit="1" customWidth="1"/>
    <col min="13" max="14" width="0" hidden="1" customWidth="1"/>
    <col min="15" max="15" width="10" bestFit="1" customWidth="1"/>
    <col min="16" max="16" width="10.28515625" bestFit="1" customWidth="1"/>
    <col min="17" max="17" width="10.140625" bestFit="1" customWidth="1"/>
    <col min="21" max="21" width="11.140625" customWidth="1"/>
  </cols>
  <sheetData>
    <row r="1" spans="1:23" ht="21" x14ac:dyDescent="0.35">
      <c r="A1" s="37" t="s">
        <v>942</v>
      </c>
      <c r="B1" s="41"/>
      <c r="C1" s="37"/>
      <c r="D1" s="37"/>
      <c r="E1" s="28"/>
      <c r="F1" s="38"/>
      <c r="G1" s="37"/>
      <c r="H1" s="41"/>
      <c r="I1" s="37"/>
      <c r="J1" s="41"/>
      <c r="K1" s="37"/>
      <c r="L1" s="41"/>
      <c r="M1" s="37"/>
      <c r="N1" s="41"/>
      <c r="O1" s="41"/>
      <c r="P1" s="41"/>
      <c r="Q1" s="37"/>
      <c r="R1" s="41"/>
      <c r="S1" s="37"/>
      <c r="T1" s="37"/>
      <c r="U1" s="41"/>
      <c r="V1" s="28"/>
    </row>
    <row r="2" spans="1:23" ht="21" x14ac:dyDescent="0.35">
      <c r="A2" s="37" t="s">
        <v>941</v>
      </c>
      <c r="B2" s="38"/>
      <c r="C2" s="37"/>
      <c r="D2" s="37"/>
      <c r="E2" s="38"/>
      <c r="F2" s="38"/>
      <c r="G2" s="54"/>
      <c r="H2" s="41"/>
      <c r="I2" s="44"/>
      <c r="J2" s="41"/>
      <c r="K2" s="39"/>
      <c r="L2" s="41"/>
      <c r="M2" s="39"/>
      <c r="N2" s="41"/>
      <c r="O2" s="41"/>
      <c r="P2" s="41"/>
      <c r="Q2" s="39"/>
      <c r="R2" s="41"/>
      <c r="S2" s="39"/>
      <c r="T2" s="39"/>
      <c r="U2" s="41"/>
      <c r="V2" s="28"/>
    </row>
    <row r="3" spans="1:23" ht="21" x14ac:dyDescent="0.35">
      <c r="A3" s="39">
        <v>6425</v>
      </c>
      <c r="B3" s="41"/>
      <c r="C3" s="37"/>
      <c r="D3" s="39"/>
      <c r="E3" s="29"/>
      <c r="F3" s="18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3" ht="21" x14ac:dyDescent="0.35">
      <c r="A4" s="54" t="s">
        <v>940</v>
      </c>
      <c r="B4" s="41"/>
      <c r="C4" s="37"/>
      <c r="D4" s="39"/>
      <c r="E4" s="18"/>
      <c r="F4" s="18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3" ht="21" x14ac:dyDescent="0.35">
      <c r="A5" s="292" t="s">
        <v>572</v>
      </c>
      <c r="B5" s="41"/>
      <c r="C5" s="37"/>
      <c r="D5" s="29"/>
      <c r="E5" s="18"/>
      <c r="F5" s="1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0"/>
    </row>
    <row r="6" spans="1:23" ht="15.75" x14ac:dyDescent="0.25">
      <c r="A6" s="29"/>
      <c r="B6" s="41"/>
      <c r="C6" s="54"/>
      <c r="D6" s="39"/>
      <c r="E6" s="18"/>
      <c r="F6" s="1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</row>
    <row r="7" spans="1:23" ht="15.75" thickBot="1" x14ac:dyDescent="0.3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0"/>
    </row>
    <row r="8" spans="1:23" ht="45.75" thickBot="1" x14ac:dyDescent="0.3">
      <c r="A8" s="11" t="s">
        <v>130</v>
      </c>
      <c r="B8" s="12" t="s">
        <v>124</v>
      </c>
      <c r="C8" s="12" t="s">
        <v>14</v>
      </c>
      <c r="D8" s="43" t="s">
        <v>132</v>
      </c>
      <c r="E8" s="12" t="s">
        <v>15</v>
      </c>
      <c r="F8" s="22" t="s">
        <v>16</v>
      </c>
      <c r="G8" s="23" t="s">
        <v>204</v>
      </c>
      <c r="H8" s="24" t="s">
        <v>313</v>
      </c>
      <c r="I8" s="23" t="s">
        <v>314</v>
      </c>
      <c r="J8" s="24" t="s">
        <v>373</v>
      </c>
      <c r="K8" s="24" t="s">
        <v>402</v>
      </c>
      <c r="L8" s="24" t="s">
        <v>403</v>
      </c>
      <c r="M8" s="24" t="s">
        <v>404</v>
      </c>
      <c r="N8" s="24" t="s">
        <v>405</v>
      </c>
      <c r="O8" s="24" t="s">
        <v>406</v>
      </c>
      <c r="P8" s="24" t="s">
        <v>407</v>
      </c>
      <c r="Q8" s="23" t="s">
        <v>939</v>
      </c>
      <c r="R8" s="24" t="s">
        <v>938</v>
      </c>
      <c r="S8" s="24" t="s">
        <v>937</v>
      </c>
      <c r="T8" s="24" t="s">
        <v>936</v>
      </c>
      <c r="U8" s="12" t="s">
        <v>144</v>
      </c>
      <c r="V8" s="12" t="s">
        <v>145</v>
      </c>
    </row>
    <row r="9" spans="1:23" ht="15.75" thickBot="1" x14ac:dyDescent="0.3">
      <c r="A9" s="375" t="s">
        <v>183</v>
      </c>
      <c r="B9" s="94" t="s">
        <v>186</v>
      </c>
      <c r="C9" s="374">
        <v>5999995</v>
      </c>
      <c r="D9" s="188">
        <f>SUM(C9:C9)</f>
        <v>5999995</v>
      </c>
      <c r="E9" s="190">
        <f>SUM(G9:U9)</f>
        <v>5492797.6500000004</v>
      </c>
      <c r="F9" s="190">
        <f>C9-E9</f>
        <v>507197.34999999963</v>
      </c>
      <c r="G9" s="176"/>
      <c r="H9" s="176">
        <v>1196400</v>
      </c>
      <c r="I9" s="176">
        <v>193560</v>
      </c>
      <c r="J9" s="176">
        <v>2741700</v>
      </c>
      <c r="K9" s="176"/>
      <c r="L9" s="271">
        <f>(96780+250000)</f>
        <v>346780</v>
      </c>
      <c r="M9" s="176"/>
      <c r="N9" s="176"/>
      <c r="O9" s="176">
        <v>478797.5</v>
      </c>
      <c r="P9" s="203">
        <v>-6117.5</v>
      </c>
      <c r="Q9" s="176">
        <v>496575</v>
      </c>
      <c r="R9" s="176">
        <f>45852.65-750</f>
        <v>45102.65</v>
      </c>
      <c r="S9" s="176"/>
      <c r="T9" s="176"/>
      <c r="U9" s="176"/>
      <c r="V9" s="6"/>
      <c r="W9" s="6"/>
    </row>
    <row r="10" spans="1:23" ht="15.75" thickBot="1" x14ac:dyDescent="0.3">
      <c r="A10" s="138"/>
      <c r="B10" s="139"/>
      <c r="C10" s="192"/>
      <c r="D10" s="193"/>
      <c r="E10" s="194"/>
      <c r="F10" s="194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6"/>
    </row>
    <row r="11" spans="1:23" s="14" customFormat="1" ht="15.75" thickBot="1" x14ac:dyDescent="0.3">
      <c r="A11" s="91" t="s">
        <v>44</v>
      </c>
      <c r="B11" s="19"/>
      <c r="C11" s="173">
        <f>SUM(C9:C10)</f>
        <v>5999995</v>
      </c>
      <c r="D11" s="195">
        <f>SUM(D9:D9)</f>
        <v>5999995</v>
      </c>
      <c r="E11" s="173">
        <f>SUM(E9:E9)</f>
        <v>5492797.6500000004</v>
      </c>
      <c r="F11" s="173">
        <f t="shared" ref="F11:S11" si="0">SUM(F9:F10)</f>
        <v>507197.34999999963</v>
      </c>
      <c r="G11" s="173">
        <f t="shared" si="0"/>
        <v>0</v>
      </c>
      <c r="H11" s="173">
        <f t="shared" si="0"/>
        <v>1196400</v>
      </c>
      <c r="I11" s="173">
        <f t="shared" si="0"/>
        <v>193560</v>
      </c>
      <c r="J11" s="173">
        <f t="shared" si="0"/>
        <v>2741700</v>
      </c>
      <c r="K11" s="173">
        <f t="shared" si="0"/>
        <v>0</v>
      </c>
      <c r="L11" s="173">
        <f t="shared" si="0"/>
        <v>346780</v>
      </c>
      <c r="M11" s="173">
        <f t="shared" si="0"/>
        <v>0</v>
      </c>
      <c r="N11" s="173">
        <f t="shared" si="0"/>
        <v>0</v>
      </c>
      <c r="O11" s="173">
        <f t="shared" si="0"/>
        <v>478797.5</v>
      </c>
      <c r="P11" s="173">
        <f t="shared" si="0"/>
        <v>-6117.5</v>
      </c>
      <c r="Q11" s="173">
        <f t="shared" si="0"/>
        <v>496575</v>
      </c>
      <c r="R11" s="173">
        <f t="shared" si="0"/>
        <v>45102.65</v>
      </c>
      <c r="S11" s="173">
        <f t="shared" si="0"/>
        <v>0</v>
      </c>
      <c r="T11" s="173"/>
      <c r="U11" s="173">
        <f>SUM(U9:U10)</f>
        <v>0</v>
      </c>
      <c r="V11" s="173">
        <f>SUM(V9:V10)</f>
        <v>0</v>
      </c>
      <c r="W11" s="185"/>
    </row>
  </sheetData>
  <sheetProtection algorithmName="SHA-512" hashValue="hwf6Nz7ZFKGtjNttAvcLKtZzl/YAg7bHhbI+5FdNaHakQ9dhOe0lC9BGMLYzW6JsqRVAgkyUSBGL5dAzOn6ixA==" saltValue="mLtJs2dFXOWvgJ+WjZRSwA==" spinCount="100000" sheet="1" objects="1" scenarios="1"/>
  <hyperlinks>
    <hyperlink ref="A5" r:id="rId1" xr:uid="{EC1FF42E-6859-4180-893E-D50DFF397433}"/>
  </hyperlinks>
  <pageMargins left="0.7" right="0.7" top="0.75" bottom="0.75" header="0.3" footer="0.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54A34-06DA-4685-BF81-EF23E9AA5F94}">
  <sheetPr>
    <tabColor theme="2"/>
  </sheetPr>
  <dimension ref="A1:AT16"/>
  <sheetViews>
    <sheetView workbookViewId="0">
      <selection activeCell="O17" sqref="O17"/>
    </sheetView>
  </sheetViews>
  <sheetFormatPr defaultColWidth="8.85546875" defaultRowHeight="15" x14ac:dyDescent="0.25"/>
  <cols>
    <col min="2" max="2" width="43" customWidth="1"/>
    <col min="3" max="3" width="20.5703125" customWidth="1"/>
    <col min="4" max="4" width="13" customWidth="1"/>
    <col min="5" max="5" width="13.140625" customWidth="1"/>
    <col min="6" max="6" width="11.7109375" bestFit="1" customWidth="1"/>
    <col min="7" max="7" width="13.28515625" hidden="1" customWidth="1"/>
    <col min="8" max="8" width="0" hidden="1" customWidth="1"/>
    <col min="9" max="9" width="12" hidden="1" customWidth="1"/>
    <col min="10" max="10" width="14.140625" hidden="1" customWidth="1"/>
    <col min="11" max="11" width="10" bestFit="1" customWidth="1"/>
    <col min="12" max="13" width="10.140625" bestFit="1" customWidth="1"/>
    <col min="14" max="14" width="10" bestFit="1" customWidth="1"/>
    <col min="15" max="15" width="10.140625" bestFit="1" customWidth="1"/>
    <col min="16" max="16" width="11.28515625" bestFit="1" customWidth="1"/>
    <col min="17" max="17" width="13.42578125" bestFit="1" customWidth="1"/>
    <col min="19" max="19" width="10" bestFit="1" customWidth="1"/>
    <col min="20" max="24" width="10" customWidth="1"/>
    <col min="25" max="43" width="10" hidden="1" customWidth="1"/>
    <col min="44" max="44" width="0" hidden="1" customWidth="1"/>
  </cols>
  <sheetData>
    <row r="1" spans="1:46" ht="21" x14ac:dyDescent="0.35">
      <c r="A1" s="28" t="s">
        <v>0</v>
      </c>
      <c r="B1" s="41"/>
      <c r="C1" s="37" t="s">
        <v>955</v>
      </c>
      <c r="D1" s="37"/>
      <c r="E1" s="28"/>
      <c r="F1" s="38"/>
      <c r="G1" s="37"/>
      <c r="H1" s="41"/>
      <c r="I1" s="37"/>
      <c r="J1" s="41"/>
      <c r="K1" s="37"/>
      <c r="L1" s="41"/>
      <c r="M1" s="37"/>
      <c r="N1" s="41"/>
      <c r="O1" s="41"/>
      <c r="P1" s="41"/>
      <c r="Q1" s="37"/>
      <c r="R1" s="41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41"/>
      <c r="AS1" s="28"/>
    </row>
    <row r="2" spans="1:46" ht="21" x14ac:dyDescent="0.35">
      <c r="A2" s="28" t="s">
        <v>137</v>
      </c>
      <c r="B2" s="38"/>
      <c r="C2" s="37" t="s">
        <v>954</v>
      </c>
      <c r="D2" s="37"/>
      <c r="E2" s="38"/>
      <c r="F2" s="38"/>
      <c r="G2" s="39"/>
      <c r="H2" s="41"/>
      <c r="I2" s="44"/>
      <c r="J2" s="41"/>
      <c r="K2" s="39"/>
      <c r="L2" s="41"/>
      <c r="M2" s="39"/>
      <c r="N2" s="41"/>
      <c r="O2" s="41"/>
      <c r="P2" s="41"/>
      <c r="Q2" s="39"/>
      <c r="R2" s="4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41"/>
      <c r="AS2" s="28"/>
    </row>
    <row r="3" spans="1:46" ht="15.75" x14ac:dyDescent="0.25">
      <c r="A3" s="29" t="s">
        <v>1</v>
      </c>
      <c r="B3" s="41"/>
      <c r="C3" s="39" t="s">
        <v>32</v>
      </c>
      <c r="D3" s="39"/>
      <c r="E3" s="29"/>
      <c r="F3" s="18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2"/>
    </row>
    <row r="4" spans="1:46" ht="15.75" x14ac:dyDescent="0.25">
      <c r="A4" s="29" t="s">
        <v>557</v>
      </c>
      <c r="B4" s="41"/>
      <c r="C4" s="54" t="s">
        <v>953</v>
      </c>
      <c r="D4" s="39"/>
      <c r="E4" s="18"/>
      <c r="F4" s="18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2"/>
    </row>
    <row r="5" spans="1:46" ht="15.75" x14ac:dyDescent="0.25">
      <c r="A5" s="29" t="s">
        <v>374</v>
      </c>
      <c r="B5" s="41"/>
      <c r="C5" s="292" t="s">
        <v>572</v>
      </c>
      <c r="D5" s="29"/>
      <c r="E5" s="18"/>
      <c r="F5" s="1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0"/>
    </row>
    <row r="6" spans="1:46" ht="15.75" x14ac:dyDescent="0.25">
      <c r="A6" s="29"/>
      <c r="B6" s="41"/>
      <c r="C6" s="54"/>
      <c r="D6" s="39"/>
      <c r="E6" s="18"/>
      <c r="F6" s="1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0"/>
    </row>
    <row r="7" spans="1:46" ht="15.75" thickBot="1" x14ac:dyDescent="0.3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0"/>
    </row>
    <row r="8" spans="1:46" ht="45.75" thickBot="1" x14ac:dyDescent="0.3">
      <c r="A8" s="11" t="s">
        <v>130</v>
      </c>
      <c r="B8" s="12" t="s">
        <v>124</v>
      </c>
      <c r="C8" s="12" t="s">
        <v>14</v>
      </c>
      <c r="D8" s="43" t="s">
        <v>132</v>
      </c>
      <c r="E8" s="12" t="s">
        <v>15</v>
      </c>
      <c r="F8" s="22" t="s">
        <v>16</v>
      </c>
      <c r="G8" s="23" t="s">
        <v>204</v>
      </c>
      <c r="H8" s="24" t="s">
        <v>313</v>
      </c>
      <c r="I8" s="23" t="s">
        <v>314</v>
      </c>
      <c r="J8" s="24" t="s">
        <v>373</v>
      </c>
      <c r="K8" s="24" t="s">
        <v>402</v>
      </c>
      <c r="L8" s="24" t="s">
        <v>403</v>
      </c>
      <c r="M8" s="24" t="s">
        <v>404</v>
      </c>
      <c r="N8" s="24" t="s">
        <v>405</v>
      </c>
      <c r="O8" s="24" t="s">
        <v>406</v>
      </c>
      <c r="P8" s="24" t="s">
        <v>407</v>
      </c>
      <c r="Q8" s="23" t="s">
        <v>408</v>
      </c>
      <c r="R8" s="24" t="s">
        <v>409</v>
      </c>
      <c r="S8" s="24" t="s">
        <v>410</v>
      </c>
      <c r="T8" s="24" t="s">
        <v>411</v>
      </c>
      <c r="U8" s="24" t="s">
        <v>952</v>
      </c>
      <c r="V8" s="24" t="s">
        <v>951</v>
      </c>
      <c r="W8" s="24" t="s">
        <v>950</v>
      </c>
      <c r="X8" s="24" t="s">
        <v>949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12" t="s">
        <v>144</v>
      </c>
      <c r="AS8" s="12" t="s">
        <v>145</v>
      </c>
    </row>
    <row r="9" spans="1:46" ht="15.75" thickBot="1" x14ac:dyDescent="0.3">
      <c r="A9" s="113" t="s">
        <v>948</v>
      </c>
      <c r="B9" s="94" t="s">
        <v>947</v>
      </c>
      <c r="C9" s="374">
        <v>1560248.29</v>
      </c>
      <c r="D9" s="188">
        <f>SUM(C9:C9)</f>
        <v>1560248.29</v>
      </c>
      <c r="E9" s="190">
        <f>SUM(G9:AR9)</f>
        <v>1560248.0000000002</v>
      </c>
      <c r="F9" s="190">
        <f>C9-E9</f>
        <v>0.28999999980442226</v>
      </c>
      <c r="G9" s="176"/>
      <c r="H9" s="176"/>
      <c r="I9" s="176"/>
      <c r="J9" s="176"/>
      <c r="K9" s="176">
        <f>(201810.42+99122.16)</f>
        <v>300932.58</v>
      </c>
      <c r="L9" s="271">
        <v>79015.509999999995</v>
      </c>
      <c r="M9" s="176">
        <v>81917.350000000006</v>
      </c>
      <c r="N9" s="176">
        <v>104317.79</v>
      </c>
      <c r="O9" s="176">
        <v>64800</v>
      </c>
      <c r="Q9" s="176">
        <v>76911.87</v>
      </c>
      <c r="R9" s="176"/>
      <c r="S9" s="176">
        <v>130721.04</v>
      </c>
      <c r="T9" s="176"/>
      <c r="U9" s="176">
        <v>264101.78999999998</v>
      </c>
      <c r="V9" s="176"/>
      <c r="W9" s="176">
        <v>457530.07</v>
      </c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6"/>
      <c r="AT9" s="6"/>
    </row>
    <row r="10" spans="1:46" ht="15.75" thickBot="1" x14ac:dyDescent="0.3">
      <c r="A10" s="113" t="s">
        <v>946</v>
      </c>
      <c r="B10" s="63" t="s">
        <v>945</v>
      </c>
      <c r="C10" s="189">
        <v>1560248.29</v>
      </c>
      <c r="D10" s="188">
        <f>SUM(C10:C10)</f>
        <v>1560248.29</v>
      </c>
      <c r="E10" s="190">
        <f>SUM(G10:AR10)</f>
        <v>1499999.98</v>
      </c>
      <c r="F10" s="190">
        <f>C10-E10</f>
        <v>60248.310000000056</v>
      </c>
      <c r="G10" s="176"/>
      <c r="H10" s="176"/>
      <c r="I10" s="176"/>
      <c r="J10" s="176"/>
      <c r="K10" s="176">
        <f>(68803.75+60101.25)</f>
        <v>128905</v>
      </c>
      <c r="L10" s="176">
        <v>29455.96</v>
      </c>
      <c r="M10" s="176">
        <v>92171.96</v>
      </c>
      <c r="N10" s="176">
        <v>117351.75</v>
      </c>
      <c r="O10" s="176">
        <v>92095.83</v>
      </c>
      <c r="P10" s="176">
        <v>104383.25</v>
      </c>
      <c r="Q10" s="176">
        <v>66743.070000000007</v>
      </c>
      <c r="R10" s="176">
        <v>69914.02</v>
      </c>
      <c r="S10" s="176"/>
      <c r="T10" s="176">
        <f>(72667.72+238654.48+63549.19)</f>
        <v>374871.39</v>
      </c>
      <c r="U10" s="176">
        <v>369421.71</v>
      </c>
      <c r="V10" s="176"/>
      <c r="W10" s="176">
        <v>54686.04</v>
      </c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6"/>
      <c r="AT10" s="6"/>
    </row>
    <row r="11" spans="1:46" ht="15.75" thickBot="1" x14ac:dyDescent="0.3">
      <c r="A11" s="113" t="s">
        <v>944</v>
      </c>
      <c r="B11" s="63" t="s">
        <v>943</v>
      </c>
      <c r="C11" s="189">
        <v>59185.42</v>
      </c>
      <c r="D11" s="188">
        <f>SUM(C11:C11)</f>
        <v>59185.42</v>
      </c>
      <c r="E11" s="190">
        <f>SUM(G11:AR11)</f>
        <v>48317.289999999994</v>
      </c>
      <c r="F11" s="190">
        <f>C11-E11</f>
        <v>10868.130000000005</v>
      </c>
      <c r="G11" s="176"/>
      <c r="H11" s="176"/>
      <c r="I11" s="176"/>
      <c r="J11" s="176"/>
      <c r="K11" s="176"/>
      <c r="L11" s="176"/>
      <c r="M11" s="176"/>
      <c r="N11" s="176"/>
      <c r="O11" s="176">
        <f>(11951.42+951.42)</f>
        <v>12902.84</v>
      </c>
      <c r="P11" s="176"/>
      <c r="Q11" s="176">
        <f>(951.42+951.42)</f>
        <v>1902.84</v>
      </c>
      <c r="R11" s="176"/>
      <c r="S11" s="176">
        <v>2537.12</v>
      </c>
      <c r="T11" s="176">
        <v>13312.56</v>
      </c>
      <c r="U11" s="176">
        <v>6902.59</v>
      </c>
      <c r="V11" s="176">
        <v>5600.92</v>
      </c>
      <c r="W11" s="176">
        <v>3557.5</v>
      </c>
      <c r="X11" s="176">
        <v>1600.92</v>
      </c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6"/>
      <c r="AT11" s="6"/>
    </row>
    <row r="12" spans="1:46" ht="15.75" thickBot="1" x14ac:dyDescent="0.3">
      <c r="A12" s="113" t="s">
        <v>32</v>
      </c>
      <c r="B12" s="63" t="s">
        <v>32</v>
      </c>
      <c r="C12" s="189">
        <v>0</v>
      </c>
      <c r="D12" s="188">
        <f>SUM(C12:C12)</f>
        <v>0</v>
      </c>
      <c r="E12" s="190">
        <f>SUM(G12:AR12)</f>
        <v>0</v>
      </c>
      <c r="F12" s="190">
        <f>C12-E12</f>
        <v>0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6"/>
      <c r="AT12" s="6"/>
    </row>
    <row r="13" spans="1:46" ht="15.75" thickBot="1" x14ac:dyDescent="0.3">
      <c r="A13" s="138"/>
      <c r="B13" s="139"/>
      <c r="C13" s="192"/>
      <c r="D13" s="193"/>
      <c r="E13" s="194"/>
      <c r="F13" s="194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6"/>
    </row>
    <row r="14" spans="1:46" s="14" customFormat="1" ht="15.75" thickBot="1" x14ac:dyDescent="0.3">
      <c r="A14" s="91" t="s">
        <v>44</v>
      </c>
      <c r="B14" s="19"/>
      <c r="C14" s="173">
        <f>SUM(C9:C13)</f>
        <v>3179682</v>
      </c>
      <c r="D14" s="195">
        <f>SUM(D9:D12)</f>
        <v>3179682</v>
      </c>
      <c r="E14" s="173">
        <f>SUM(E9:E12)</f>
        <v>3108565.2700000005</v>
      </c>
      <c r="F14" s="173">
        <f t="shared" ref="F14:X14" si="0">SUM(F9:F13)</f>
        <v>71116.729999999865</v>
      </c>
      <c r="G14" s="173">
        <f t="shared" si="0"/>
        <v>0</v>
      </c>
      <c r="H14" s="173">
        <f t="shared" si="0"/>
        <v>0</v>
      </c>
      <c r="I14" s="173">
        <f t="shared" si="0"/>
        <v>0</v>
      </c>
      <c r="J14" s="173">
        <f t="shared" si="0"/>
        <v>0</v>
      </c>
      <c r="K14" s="173">
        <f t="shared" si="0"/>
        <v>429837.58</v>
      </c>
      <c r="L14" s="173">
        <f t="shared" si="0"/>
        <v>108471.47</v>
      </c>
      <c r="M14" s="173">
        <f t="shared" si="0"/>
        <v>174089.31</v>
      </c>
      <c r="N14" s="173">
        <f t="shared" si="0"/>
        <v>221669.53999999998</v>
      </c>
      <c r="O14" s="173">
        <f t="shared" si="0"/>
        <v>169798.67</v>
      </c>
      <c r="P14" s="173">
        <f t="shared" si="0"/>
        <v>104383.25</v>
      </c>
      <c r="Q14" s="173">
        <f t="shared" si="0"/>
        <v>145557.78</v>
      </c>
      <c r="R14" s="173">
        <f t="shared" si="0"/>
        <v>69914.02</v>
      </c>
      <c r="S14" s="173">
        <f t="shared" si="0"/>
        <v>133258.16</v>
      </c>
      <c r="T14" s="173">
        <f t="shared" si="0"/>
        <v>388183.95</v>
      </c>
      <c r="U14" s="173">
        <f t="shared" si="0"/>
        <v>640426.09</v>
      </c>
      <c r="V14" s="173">
        <f t="shared" si="0"/>
        <v>5600.92</v>
      </c>
      <c r="W14" s="173">
        <f t="shared" si="0"/>
        <v>515773.61</v>
      </c>
      <c r="X14" s="173">
        <f t="shared" si="0"/>
        <v>1600.92</v>
      </c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>
        <f>SUM(AR9:AR13)</f>
        <v>0</v>
      </c>
      <c r="AS14" s="173">
        <f>SUM(AS9:AS13)</f>
        <v>0</v>
      </c>
      <c r="AT14" s="185"/>
    </row>
    <row r="16" spans="1:46" x14ac:dyDescent="0.25">
      <c r="F16">
        <v>388183.94</v>
      </c>
    </row>
  </sheetData>
  <sheetProtection algorithmName="SHA-512" hashValue="QpyPXHGvGlLYPFuUntnqaSvhYANbkn2PCmBlyqAjq17MOlqYl/6F4evMUwWhHhOfx1YQ/Vigh1ChMhQ1r4DVBg==" saltValue="3tyijaMbRlla1mBuAeQb6A==" spinCount="100000" sheet="1" objects="1" scenarios="1"/>
  <hyperlinks>
    <hyperlink ref="C5" r:id="rId1" xr:uid="{7C8E5A83-1D10-48B1-A70D-2499DEC2478F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3771-2C31-4D5A-8077-A9C6572058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F967-9002-441A-9548-7249D65C47A3}">
  <sheetPr codeName="Sheet12"/>
  <dimension ref="A1"/>
  <sheetViews>
    <sheetView workbookViewId="0">
      <selection activeCell="R45" sqref="R4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A430-A53A-4897-98E5-A43A3A0BDF5C}">
  <sheetPr codeName="Sheet14">
    <tabColor theme="2"/>
  </sheetPr>
  <dimension ref="A1:AR71"/>
  <sheetViews>
    <sheetView zoomScale="80" zoomScaleNormal="80" workbookViewId="0">
      <pane xSplit="7" ySplit="8" topLeftCell="N15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24" sqref="F24"/>
    </sheetView>
  </sheetViews>
  <sheetFormatPr defaultColWidth="0" defaultRowHeight="15" x14ac:dyDescent="0.25"/>
  <cols>
    <col min="1" max="1" width="8.5703125" style="446" customWidth="1"/>
    <col min="2" max="2" width="37.7109375" style="384" customWidth="1"/>
    <col min="3" max="3" width="11.42578125" style="446" customWidth="1"/>
    <col min="4" max="4" width="62.7109375" style="384" bestFit="1" customWidth="1"/>
    <col min="5" max="5" width="20" style="384" bestFit="1" customWidth="1"/>
    <col min="6" max="6" width="21.42578125" style="384" bestFit="1" customWidth="1"/>
    <col min="7" max="7" width="19.42578125" style="384" bestFit="1" customWidth="1"/>
    <col min="8" max="10" width="15.5703125" style="384" customWidth="1"/>
    <col min="11" max="11" width="19.5703125" style="384" bestFit="1" customWidth="1"/>
    <col min="12" max="12" width="21.42578125" style="384" bestFit="1" customWidth="1"/>
    <col min="13" max="13" width="15.5703125" style="384" customWidth="1"/>
    <col min="14" max="14" width="19.42578125" style="384" bestFit="1" customWidth="1"/>
    <col min="15" max="15" width="15.5703125" style="384" customWidth="1"/>
    <col min="16" max="16" width="19.42578125" style="384" customWidth="1"/>
    <col min="17" max="17" width="16.5703125" style="384" bestFit="1" customWidth="1"/>
    <col min="18" max="18" width="15.5703125" style="384" customWidth="1"/>
    <col min="19" max="19" width="18.5703125" style="384" customWidth="1"/>
    <col min="20" max="20" width="16.5703125" style="384" bestFit="1" customWidth="1"/>
    <col min="21" max="24" width="15.5703125" style="384" customWidth="1"/>
    <col min="25" max="26" width="21.42578125" style="384" customWidth="1"/>
    <col min="27" max="44" width="0" style="384" hidden="1" customWidth="1"/>
    <col min="45" max="16384" width="8.5703125" style="384" hidden="1"/>
  </cols>
  <sheetData>
    <row r="1" spans="1:27" ht="21" x14ac:dyDescent="0.35">
      <c r="A1" s="417" t="s">
        <v>0</v>
      </c>
      <c r="B1" s="418"/>
      <c r="C1" s="419" t="s">
        <v>703</v>
      </c>
      <c r="D1" s="101"/>
      <c r="E1" s="101"/>
      <c r="F1" s="101"/>
      <c r="G1" s="420"/>
      <c r="H1" s="418"/>
      <c r="I1" s="421"/>
      <c r="J1" s="419" t="str">
        <f>$C$1</f>
        <v>21st Century Cohort 9</v>
      </c>
      <c r="K1" s="418"/>
      <c r="L1" s="418"/>
      <c r="M1" s="421"/>
      <c r="N1" s="418"/>
      <c r="O1" s="418"/>
      <c r="P1" s="419" t="str">
        <f>$C$1</f>
        <v>21st Century Cohort 9</v>
      </c>
      <c r="Q1" s="421"/>
      <c r="R1" s="421"/>
      <c r="S1" s="418"/>
      <c r="T1" s="421"/>
      <c r="U1" s="418"/>
      <c r="V1" s="418"/>
      <c r="W1" s="419" t="str">
        <f>$C$1</f>
        <v>21st Century Cohort 9</v>
      </c>
      <c r="X1" s="418"/>
      <c r="Y1" s="422"/>
      <c r="Z1" s="422"/>
    </row>
    <row r="2" spans="1:27" s="425" customFormat="1" ht="21" x14ac:dyDescent="0.35">
      <c r="A2" s="422" t="s">
        <v>137</v>
      </c>
      <c r="B2" s="423"/>
      <c r="C2" s="417" t="s">
        <v>336</v>
      </c>
      <c r="D2" s="421"/>
      <c r="E2" s="421"/>
      <c r="F2" s="421"/>
      <c r="G2" s="424"/>
      <c r="H2" s="423"/>
      <c r="I2" s="423"/>
      <c r="J2" s="101" t="str">
        <f>"FY"&amp;$C$4</f>
        <v>FY2021-22</v>
      </c>
      <c r="K2" s="423"/>
      <c r="L2" s="423"/>
      <c r="M2" s="423"/>
      <c r="N2" s="423"/>
      <c r="O2" s="423"/>
      <c r="P2" s="101" t="str">
        <f>"FY"&amp;$C$4</f>
        <v>FY2021-22</v>
      </c>
      <c r="Q2" s="423"/>
      <c r="R2" s="423"/>
      <c r="S2" s="423"/>
      <c r="T2" s="423"/>
      <c r="U2" s="423"/>
      <c r="V2" s="423"/>
      <c r="W2" s="101" t="str">
        <f>"FY"&amp;$C$4</f>
        <v>FY2021-22</v>
      </c>
      <c r="X2" s="423"/>
      <c r="Y2" s="422"/>
      <c r="Z2" s="422"/>
    </row>
    <row r="3" spans="1:27" ht="15.75" x14ac:dyDescent="0.25">
      <c r="A3" s="426" t="s">
        <v>1</v>
      </c>
      <c r="B3" s="418"/>
      <c r="C3" s="427" t="s">
        <v>704</v>
      </c>
      <c r="D3" s="101"/>
      <c r="E3" s="101"/>
      <c r="F3" s="101"/>
      <c r="G3" s="420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20"/>
      <c r="Z3" s="420"/>
    </row>
    <row r="4" spans="1:27" ht="15.75" x14ac:dyDescent="0.25">
      <c r="A4" s="426" t="s">
        <v>2</v>
      </c>
      <c r="B4" s="418"/>
      <c r="C4" s="427" t="s">
        <v>618</v>
      </c>
      <c r="D4" s="101"/>
      <c r="E4" s="101"/>
      <c r="F4" s="101"/>
      <c r="G4" s="420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20"/>
      <c r="Z4" s="420"/>
    </row>
    <row r="5" spans="1:27" ht="15.75" x14ac:dyDescent="0.25">
      <c r="A5" s="426" t="s">
        <v>376</v>
      </c>
      <c r="B5" s="418"/>
      <c r="C5" s="428" t="s">
        <v>958</v>
      </c>
      <c r="D5" s="101"/>
      <c r="E5" s="101"/>
      <c r="F5" s="101"/>
      <c r="G5" s="429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29"/>
      <c r="Z5" s="429"/>
    </row>
    <row r="6" spans="1:27" ht="15.75" x14ac:dyDescent="0.25">
      <c r="A6" s="426"/>
      <c r="B6" s="418"/>
      <c r="C6" s="101"/>
      <c r="D6" s="101"/>
      <c r="E6" s="101"/>
      <c r="F6" s="101"/>
      <c r="G6" s="429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29"/>
      <c r="Z6" s="429"/>
    </row>
    <row r="7" spans="1:27" ht="24" thickBot="1" x14ac:dyDescent="0.4">
      <c r="A7" s="654"/>
      <c r="B7" s="655"/>
      <c r="C7" s="655"/>
      <c r="D7" s="655"/>
      <c r="E7" s="655"/>
      <c r="F7" s="656"/>
      <c r="G7" s="656"/>
      <c r="H7" s="429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29"/>
      <c r="Z7" s="429"/>
    </row>
    <row r="8" spans="1:27" ht="30.75" thickBot="1" x14ac:dyDescent="0.3">
      <c r="A8" s="430" t="s">
        <v>130</v>
      </c>
      <c r="B8" s="431" t="s">
        <v>124</v>
      </c>
      <c r="C8" s="430" t="s">
        <v>135</v>
      </c>
      <c r="D8" s="495" t="s">
        <v>41</v>
      </c>
      <c r="E8" s="432" t="s">
        <v>14</v>
      </c>
      <c r="F8" s="431" t="s">
        <v>15</v>
      </c>
      <c r="G8" s="433" t="s">
        <v>16</v>
      </c>
      <c r="H8" s="471" t="s">
        <v>408</v>
      </c>
      <c r="I8" s="472" t="s">
        <v>409</v>
      </c>
      <c r="J8" s="471" t="s">
        <v>410</v>
      </c>
      <c r="K8" s="472" t="s">
        <v>411</v>
      </c>
      <c r="L8" s="434" t="s">
        <v>412</v>
      </c>
      <c r="M8" s="435" t="s">
        <v>416</v>
      </c>
      <c r="N8" s="435" t="s">
        <v>606</v>
      </c>
      <c r="O8" s="435" t="s">
        <v>607</v>
      </c>
      <c r="P8" s="435" t="s">
        <v>608</v>
      </c>
      <c r="Q8" s="435" t="s">
        <v>609</v>
      </c>
      <c r="R8" s="472" t="s">
        <v>610</v>
      </c>
      <c r="S8" s="472" t="s">
        <v>611</v>
      </c>
      <c r="T8" s="471" t="s">
        <v>612</v>
      </c>
      <c r="U8" s="472" t="s">
        <v>613</v>
      </c>
      <c r="V8" s="472" t="s">
        <v>614</v>
      </c>
      <c r="W8" s="472" t="s">
        <v>619</v>
      </c>
      <c r="X8" s="471" t="s">
        <v>620</v>
      </c>
      <c r="Y8" s="436" t="s">
        <v>144</v>
      </c>
      <c r="Z8" s="436" t="s">
        <v>145</v>
      </c>
    </row>
    <row r="9" spans="1:27" s="447" customFormat="1" x14ac:dyDescent="0.25">
      <c r="A9" s="473" t="s">
        <v>70</v>
      </c>
      <c r="B9" s="474" t="s">
        <v>846</v>
      </c>
      <c r="C9" s="475" t="s">
        <v>985</v>
      </c>
      <c r="D9" s="514" t="s">
        <v>713</v>
      </c>
      <c r="E9" s="461">
        <v>150000</v>
      </c>
      <c r="F9" s="476">
        <f t="shared" ref="F9:F51" si="0">SUM(H9:X9)</f>
        <v>149662.76999999999</v>
      </c>
      <c r="G9" s="476">
        <f t="shared" ref="G9:G51" si="1">E9-F9</f>
        <v>337.23000000001048</v>
      </c>
      <c r="H9" s="462"/>
      <c r="I9" s="462"/>
      <c r="J9" s="462"/>
      <c r="K9" s="477"/>
      <c r="L9" s="467"/>
      <c r="M9" s="384">
        <f>2393.14+9379.47+6994.44+18592.44+8719.73</f>
        <v>46079.22</v>
      </c>
      <c r="N9" s="467"/>
      <c r="O9" s="467"/>
      <c r="P9" s="467">
        <v>9594.52</v>
      </c>
      <c r="Q9" s="467">
        <f>12343.36+16339.4</f>
        <v>28682.760000000002</v>
      </c>
      <c r="R9" s="462">
        <f>15775.98+18909.22</f>
        <v>34685.199999999997</v>
      </c>
      <c r="S9" s="462">
        <v>12864.69</v>
      </c>
      <c r="T9" s="462"/>
      <c r="U9" s="462">
        <v>17756.38</v>
      </c>
      <c r="V9" s="462"/>
      <c r="W9" s="462"/>
      <c r="X9" s="462"/>
      <c r="Y9" s="385"/>
      <c r="Z9" s="385"/>
      <c r="AA9" s="384"/>
    </row>
    <row r="10" spans="1:27" s="447" customFormat="1" x14ac:dyDescent="0.25">
      <c r="A10" s="478" t="s">
        <v>5</v>
      </c>
      <c r="B10" s="474" t="s">
        <v>152</v>
      </c>
      <c r="C10" s="475">
        <v>7592</v>
      </c>
      <c r="D10" s="514" t="s">
        <v>715</v>
      </c>
      <c r="E10" s="461">
        <v>150000</v>
      </c>
      <c r="F10" s="476">
        <f t="shared" si="0"/>
        <v>59684.679999999993</v>
      </c>
      <c r="G10" s="476">
        <f t="shared" si="1"/>
        <v>90315.32</v>
      </c>
      <c r="H10" s="463"/>
      <c r="I10" s="463"/>
      <c r="J10" s="463"/>
      <c r="K10" s="463"/>
      <c r="L10" s="479"/>
      <c r="M10" s="479">
        <v>18776.849999999999</v>
      </c>
      <c r="N10" s="479">
        <f>12444.37+5269.79</f>
        <v>17714.16</v>
      </c>
      <c r="O10" s="479"/>
      <c r="P10" s="479">
        <v>1226.45</v>
      </c>
      <c r="Q10" s="479"/>
      <c r="R10" s="463"/>
      <c r="S10" s="463">
        <v>21967.22</v>
      </c>
      <c r="T10" s="463"/>
      <c r="U10" s="463"/>
      <c r="V10" s="463"/>
      <c r="W10" s="463"/>
      <c r="X10" s="463"/>
      <c r="Y10" s="385"/>
      <c r="Z10" s="385"/>
      <c r="AA10" s="384"/>
    </row>
    <row r="11" spans="1:27" s="447" customFormat="1" x14ac:dyDescent="0.25">
      <c r="A11" s="478" t="s">
        <v>5</v>
      </c>
      <c r="B11" s="474" t="s">
        <v>152</v>
      </c>
      <c r="C11" s="475">
        <v>2702</v>
      </c>
      <c r="D11" s="514" t="s">
        <v>714</v>
      </c>
      <c r="E11" s="461">
        <v>150000</v>
      </c>
      <c r="F11" s="476">
        <f t="shared" si="0"/>
        <v>85810.12</v>
      </c>
      <c r="G11" s="476">
        <f t="shared" si="1"/>
        <v>64189.880000000005</v>
      </c>
      <c r="H11" s="464"/>
      <c r="I11" s="464"/>
      <c r="J11" s="464"/>
      <c r="K11" s="480">
        <v>10648.61</v>
      </c>
      <c r="L11" s="467"/>
      <c r="M11" s="467">
        <v>21765.99</v>
      </c>
      <c r="N11" s="467">
        <f>12272.97+6107</f>
        <v>18379.97</v>
      </c>
      <c r="O11" s="467"/>
      <c r="P11" s="467">
        <v>13318.88</v>
      </c>
      <c r="Q11" s="468"/>
      <c r="R11" s="481"/>
      <c r="S11" s="464">
        <v>21696.67</v>
      </c>
      <c r="T11" s="464"/>
      <c r="U11" s="464"/>
      <c r="V11" s="464"/>
      <c r="W11" s="464"/>
      <c r="X11" s="464"/>
      <c r="Y11" s="385"/>
      <c r="Z11" s="385"/>
      <c r="AA11" s="384"/>
    </row>
    <row r="12" spans="1:27" s="447" customFormat="1" x14ac:dyDescent="0.25">
      <c r="A12" s="482" t="s">
        <v>962</v>
      </c>
      <c r="B12" s="474" t="s">
        <v>705</v>
      </c>
      <c r="C12" s="483" t="s">
        <v>986</v>
      </c>
      <c r="D12" s="514" t="s">
        <v>720</v>
      </c>
      <c r="E12" s="484">
        <v>70000</v>
      </c>
      <c r="F12" s="476">
        <f t="shared" si="0"/>
        <v>69217.48</v>
      </c>
      <c r="G12" s="476">
        <f t="shared" si="1"/>
        <v>782.52000000000407</v>
      </c>
      <c r="H12" s="464"/>
      <c r="I12" s="464"/>
      <c r="J12" s="464"/>
      <c r="K12" s="464"/>
      <c r="L12" s="383">
        <v>12492.53</v>
      </c>
      <c r="M12" s="467"/>
      <c r="N12" s="467"/>
      <c r="O12" s="467">
        <v>18128.990000000002</v>
      </c>
      <c r="P12" s="467"/>
      <c r="Q12" s="468"/>
      <c r="R12" s="481"/>
      <c r="S12" s="465">
        <f>8756.96+7155.52</f>
        <v>15912.48</v>
      </c>
      <c r="T12" s="464"/>
      <c r="U12" s="464">
        <v>22683.48</v>
      </c>
      <c r="V12" s="464"/>
      <c r="W12" s="464"/>
      <c r="X12" s="464"/>
      <c r="Y12" s="466"/>
      <c r="Z12" s="466"/>
      <c r="AA12" s="384"/>
    </row>
    <row r="13" spans="1:27" s="447" customFormat="1" x14ac:dyDescent="0.25">
      <c r="A13" s="482" t="s">
        <v>962</v>
      </c>
      <c r="B13" s="474" t="s">
        <v>705</v>
      </c>
      <c r="C13" s="475" t="s">
        <v>987</v>
      </c>
      <c r="D13" s="514" t="s">
        <v>722</v>
      </c>
      <c r="E13" s="484">
        <v>121088</v>
      </c>
      <c r="F13" s="476">
        <f t="shared" si="0"/>
        <v>121088</v>
      </c>
      <c r="G13" s="476">
        <f t="shared" si="1"/>
        <v>0</v>
      </c>
      <c r="H13" s="466"/>
      <c r="I13" s="466"/>
      <c r="J13" s="466"/>
      <c r="K13" s="466"/>
      <c r="L13" s="383">
        <v>14264.69</v>
      </c>
      <c r="M13" s="467"/>
      <c r="N13" s="467"/>
      <c r="O13" s="467">
        <v>18350.150000000001</v>
      </c>
      <c r="P13" s="467"/>
      <c r="Q13" s="468"/>
      <c r="R13" s="481"/>
      <c r="S13" s="466">
        <f>19567.16+24311</f>
        <v>43878.16</v>
      </c>
      <c r="T13" s="466"/>
      <c r="U13" s="466">
        <v>44595</v>
      </c>
      <c r="V13" s="466"/>
      <c r="W13" s="466"/>
      <c r="X13" s="466"/>
      <c r="Y13" s="385"/>
      <c r="Z13" s="385"/>
      <c r="AA13" s="384"/>
    </row>
    <row r="14" spans="1:27" s="447" customFormat="1" x14ac:dyDescent="0.25">
      <c r="A14" s="482" t="s">
        <v>962</v>
      </c>
      <c r="B14" s="474" t="s">
        <v>705</v>
      </c>
      <c r="C14" s="475" t="s">
        <v>988</v>
      </c>
      <c r="D14" s="514" t="s">
        <v>721</v>
      </c>
      <c r="E14" s="484">
        <v>90000</v>
      </c>
      <c r="F14" s="476">
        <f t="shared" si="0"/>
        <v>90000</v>
      </c>
      <c r="G14" s="476">
        <f t="shared" si="1"/>
        <v>0</v>
      </c>
      <c r="H14" s="466"/>
      <c r="I14" s="466"/>
      <c r="J14" s="466"/>
      <c r="K14" s="466"/>
      <c r="L14" s="383">
        <v>5857.86</v>
      </c>
      <c r="M14" s="467"/>
      <c r="N14" s="464"/>
      <c r="O14" s="467">
        <v>17068.759999999998</v>
      </c>
      <c r="P14" s="467"/>
      <c r="Q14" s="468"/>
      <c r="R14" s="481"/>
      <c r="S14" s="464">
        <f>24575.38+17489</f>
        <v>42064.380000000005</v>
      </c>
      <c r="T14" s="466"/>
      <c r="U14" s="466">
        <v>25009</v>
      </c>
      <c r="V14" s="466"/>
      <c r="W14" s="466"/>
      <c r="X14" s="466"/>
      <c r="Y14" s="385"/>
      <c r="Z14" s="385"/>
      <c r="AA14" s="384"/>
    </row>
    <row r="15" spans="1:27" s="447" customFormat="1" x14ac:dyDescent="0.25">
      <c r="A15" s="482" t="s">
        <v>90</v>
      </c>
      <c r="B15" s="497" t="s">
        <v>622</v>
      </c>
      <c r="C15" s="475" t="s">
        <v>989</v>
      </c>
      <c r="D15" s="514" t="s">
        <v>716</v>
      </c>
      <c r="E15" s="461">
        <v>150000</v>
      </c>
      <c r="F15" s="476">
        <f t="shared" si="0"/>
        <v>150000</v>
      </c>
      <c r="G15" s="476">
        <f t="shared" si="1"/>
        <v>0</v>
      </c>
      <c r="H15" s="464"/>
      <c r="I15" s="464"/>
      <c r="J15" s="464"/>
      <c r="K15" s="480">
        <v>771.97</v>
      </c>
      <c r="L15" s="383">
        <v>4069.2</v>
      </c>
      <c r="M15" s="498"/>
      <c r="N15" s="464">
        <v>21067.58</v>
      </c>
      <c r="O15" s="498">
        <v>7882.59</v>
      </c>
      <c r="P15" s="498">
        <v>15353.02</v>
      </c>
      <c r="Q15" s="499">
        <v>18516.78</v>
      </c>
      <c r="R15" s="500">
        <v>19978.009999999998</v>
      </c>
      <c r="S15" s="464">
        <v>17357.810000000001</v>
      </c>
      <c r="T15" s="464"/>
      <c r="U15" s="464">
        <f>16440.87+28562.17</f>
        <v>45003.039999999994</v>
      </c>
      <c r="V15" s="464"/>
      <c r="W15" s="464"/>
      <c r="X15" s="464"/>
      <c r="Y15" s="385"/>
      <c r="Z15" s="385"/>
      <c r="AA15" s="384"/>
    </row>
    <row r="16" spans="1:27" s="447" customFormat="1" x14ac:dyDescent="0.25">
      <c r="A16" s="482" t="s">
        <v>220</v>
      </c>
      <c r="B16" s="474" t="s">
        <v>623</v>
      </c>
      <c r="C16" s="475" t="s">
        <v>990</v>
      </c>
      <c r="D16" s="514" t="s">
        <v>717</v>
      </c>
      <c r="E16" s="461">
        <v>120000</v>
      </c>
      <c r="F16" s="476">
        <f t="shared" si="0"/>
        <v>98452.71</v>
      </c>
      <c r="G16" s="476">
        <f t="shared" si="1"/>
        <v>21547.289999999994</v>
      </c>
      <c r="H16" s="501"/>
      <c r="I16" s="501"/>
      <c r="J16" s="501"/>
      <c r="K16" s="502">
        <v>8657.02</v>
      </c>
      <c r="L16" s="503">
        <v>8179.04</v>
      </c>
      <c r="M16" s="501"/>
      <c r="N16" s="501"/>
      <c r="O16" s="501"/>
      <c r="P16" s="501">
        <v>33898.9</v>
      </c>
      <c r="Q16" s="501"/>
      <c r="R16" s="501"/>
      <c r="S16" s="501">
        <f>36208.02+11509.73</f>
        <v>47717.75</v>
      </c>
      <c r="T16" s="501"/>
      <c r="U16" s="501"/>
      <c r="V16" s="501"/>
      <c r="W16" s="501"/>
      <c r="X16" s="501"/>
      <c r="Y16" s="385"/>
      <c r="Z16" s="385"/>
      <c r="AA16" s="384"/>
    </row>
    <row r="17" spans="1:27" s="447" customFormat="1" x14ac:dyDescent="0.25">
      <c r="A17" s="482" t="s">
        <v>220</v>
      </c>
      <c r="B17" s="474" t="s">
        <v>623</v>
      </c>
      <c r="C17" s="475" t="s">
        <v>991</v>
      </c>
      <c r="D17" s="514" t="s">
        <v>719</v>
      </c>
      <c r="E17" s="461">
        <v>150000</v>
      </c>
      <c r="F17" s="476">
        <f t="shared" si="0"/>
        <v>71390.77</v>
      </c>
      <c r="G17" s="476">
        <f t="shared" si="1"/>
        <v>78609.23</v>
      </c>
      <c r="H17" s="501"/>
      <c r="I17" s="501"/>
      <c r="J17" s="501"/>
      <c r="K17" s="502">
        <v>10109.82</v>
      </c>
      <c r="L17" s="503">
        <v>7957.52</v>
      </c>
      <c r="M17" s="501"/>
      <c r="N17" s="503">
        <v>44413.85</v>
      </c>
      <c r="O17" s="501"/>
      <c r="P17" s="501">
        <v>8909.58</v>
      </c>
      <c r="Q17" s="501"/>
      <c r="R17" s="501"/>
      <c r="S17" s="501"/>
      <c r="T17" s="501"/>
      <c r="U17" s="501"/>
      <c r="V17" s="501"/>
      <c r="W17" s="501"/>
      <c r="X17" s="501"/>
      <c r="Y17" s="385"/>
      <c r="Z17" s="385"/>
      <c r="AA17" s="384"/>
    </row>
    <row r="18" spans="1:27" s="447" customFormat="1" x14ac:dyDescent="0.25">
      <c r="A18" s="482" t="s">
        <v>220</v>
      </c>
      <c r="B18" s="474" t="s">
        <v>623</v>
      </c>
      <c r="C18" s="475" t="s">
        <v>992</v>
      </c>
      <c r="D18" s="514" t="s">
        <v>718</v>
      </c>
      <c r="E18" s="461">
        <v>150000</v>
      </c>
      <c r="F18" s="476">
        <f t="shared" si="0"/>
        <v>139754.97</v>
      </c>
      <c r="G18" s="476">
        <f t="shared" si="1"/>
        <v>10245.029999999999</v>
      </c>
      <c r="H18" s="501"/>
      <c r="I18" s="501"/>
      <c r="J18" s="501"/>
      <c r="K18" s="502">
        <v>12276.82</v>
      </c>
      <c r="L18" s="503">
        <v>11509.73</v>
      </c>
      <c r="M18" s="501"/>
      <c r="N18" s="503">
        <v>40641.08</v>
      </c>
      <c r="O18" s="501"/>
      <c r="P18" s="501">
        <v>13778.34</v>
      </c>
      <c r="Q18" s="501"/>
      <c r="R18" s="501">
        <v>25340</v>
      </c>
      <c r="S18" s="501">
        <v>36209</v>
      </c>
      <c r="T18" s="501"/>
      <c r="U18" s="501"/>
      <c r="V18" s="501"/>
      <c r="W18" s="501"/>
      <c r="X18" s="501"/>
      <c r="Y18" s="385"/>
      <c r="Z18" s="385"/>
      <c r="AA18" s="384"/>
    </row>
    <row r="19" spans="1:27" s="447" customFormat="1" x14ac:dyDescent="0.25">
      <c r="A19" s="478" t="s">
        <v>437</v>
      </c>
      <c r="B19" s="474" t="s">
        <v>707</v>
      </c>
      <c r="C19" s="475">
        <v>4212</v>
      </c>
      <c r="D19" s="514" t="s">
        <v>725</v>
      </c>
      <c r="E19" s="484">
        <v>72880</v>
      </c>
      <c r="F19" s="476">
        <f t="shared" si="0"/>
        <v>72880</v>
      </c>
      <c r="G19" s="476">
        <f t="shared" si="1"/>
        <v>0</v>
      </c>
      <c r="H19" s="501"/>
      <c r="I19" s="501"/>
      <c r="J19" s="501"/>
      <c r="K19" s="501"/>
      <c r="L19" s="501"/>
      <c r="M19" s="501">
        <v>17484.009999999998</v>
      </c>
      <c r="N19" s="504"/>
      <c r="O19" s="501">
        <v>21618.639999999999</v>
      </c>
      <c r="P19" s="501"/>
      <c r="Q19" s="501"/>
      <c r="R19" s="501">
        <v>28308.14</v>
      </c>
      <c r="S19" s="501">
        <v>5469.21</v>
      </c>
      <c r="T19" s="501"/>
      <c r="U19" s="501"/>
      <c r="V19" s="501"/>
      <c r="W19" s="501"/>
      <c r="X19" s="501"/>
      <c r="Y19" s="385"/>
      <c r="Z19" s="385"/>
      <c r="AA19" s="384"/>
    </row>
    <row r="20" spans="1:27" s="447" customFormat="1" x14ac:dyDescent="0.25">
      <c r="A20" s="478" t="s">
        <v>437</v>
      </c>
      <c r="B20" s="474" t="s">
        <v>707</v>
      </c>
      <c r="C20" s="475">
        <v>1660</v>
      </c>
      <c r="D20" s="514" t="s">
        <v>727</v>
      </c>
      <c r="E20" s="484">
        <v>86101</v>
      </c>
      <c r="F20" s="476">
        <f t="shared" si="0"/>
        <v>46951.11</v>
      </c>
      <c r="G20" s="476">
        <f t="shared" si="1"/>
        <v>39149.89</v>
      </c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>
        <v>46951.11</v>
      </c>
      <c r="T20" s="501"/>
      <c r="U20" s="501"/>
      <c r="V20" s="501"/>
      <c r="W20" s="501"/>
      <c r="X20" s="501"/>
      <c r="Y20" s="385"/>
      <c r="Z20" s="385"/>
      <c r="AA20" s="384"/>
    </row>
    <row r="21" spans="1:27" s="447" customFormat="1" x14ac:dyDescent="0.25">
      <c r="A21" s="478" t="s">
        <v>437</v>
      </c>
      <c r="B21" s="474" t="s">
        <v>707</v>
      </c>
      <c r="C21" s="475">
        <v>4700</v>
      </c>
      <c r="D21" s="514" t="s">
        <v>726</v>
      </c>
      <c r="E21" s="484">
        <v>64397</v>
      </c>
      <c r="F21" s="476">
        <f t="shared" si="0"/>
        <v>64397</v>
      </c>
      <c r="G21" s="476">
        <f t="shared" si="1"/>
        <v>0</v>
      </c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>
        <f>30412.91+33984.09</f>
        <v>64397</v>
      </c>
      <c r="V21" s="501"/>
      <c r="W21" s="501"/>
      <c r="X21" s="501"/>
      <c r="Y21" s="385"/>
      <c r="Z21" s="385"/>
      <c r="AA21" s="384"/>
    </row>
    <row r="22" spans="1:27" s="447" customFormat="1" x14ac:dyDescent="0.25">
      <c r="A22" s="482" t="s">
        <v>963</v>
      </c>
      <c r="B22" s="474" t="s">
        <v>624</v>
      </c>
      <c r="C22" s="475" t="s">
        <v>993</v>
      </c>
      <c r="D22" s="514" t="s">
        <v>729</v>
      </c>
      <c r="E22" s="484">
        <v>92492</v>
      </c>
      <c r="F22" s="476">
        <f t="shared" si="0"/>
        <v>86376</v>
      </c>
      <c r="G22" s="476">
        <f t="shared" si="1"/>
        <v>6116</v>
      </c>
      <c r="H22" s="501"/>
      <c r="I22" s="501"/>
      <c r="J22" s="502">
        <v>13151</v>
      </c>
      <c r="K22" s="502">
        <v>10000</v>
      </c>
      <c r="L22" s="503">
        <v>7478</v>
      </c>
      <c r="M22" s="501">
        <v>9531</v>
      </c>
      <c r="N22" s="503">
        <v>6603</v>
      </c>
      <c r="O22" s="501">
        <v>8471</v>
      </c>
      <c r="P22" s="501">
        <v>7507</v>
      </c>
      <c r="Q22" s="501">
        <v>8029</v>
      </c>
      <c r="R22" s="501">
        <v>9647</v>
      </c>
      <c r="S22" s="501">
        <v>5660</v>
      </c>
      <c r="T22" s="501"/>
      <c r="U22" s="501">
        <v>299</v>
      </c>
      <c r="V22" s="501"/>
      <c r="W22" s="501"/>
      <c r="X22" s="501"/>
      <c r="Y22" s="385"/>
      <c r="Z22" s="385"/>
      <c r="AA22" s="384"/>
    </row>
    <row r="23" spans="1:27" s="447" customFormat="1" x14ac:dyDescent="0.25">
      <c r="A23" s="482" t="s">
        <v>963</v>
      </c>
      <c r="B23" s="474" t="s">
        <v>624</v>
      </c>
      <c r="C23" s="483" t="s">
        <v>994</v>
      </c>
      <c r="D23" s="514" t="s">
        <v>728</v>
      </c>
      <c r="E23" s="484">
        <v>103185</v>
      </c>
      <c r="F23" s="476">
        <f t="shared" si="0"/>
        <v>97299</v>
      </c>
      <c r="G23" s="476">
        <f t="shared" si="1"/>
        <v>5886</v>
      </c>
      <c r="H23" s="501"/>
      <c r="I23" s="501"/>
      <c r="J23" s="502">
        <v>12290</v>
      </c>
      <c r="K23" s="502">
        <v>11008</v>
      </c>
      <c r="L23" s="503">
        <v>8557</v>
      </c>
      <c r="M23" s="501">
        <v>11322</v>
      </c>
      <c r="N23" s="503">
        <v>7538</v>
      </c>
      <c r="O23" s="501">
        <v>10485</v>
      </c>
      <c r="P23" s="501">
        <v>9435</v>
      </c>
      <c r="Q23" s="501">
        <v>9084</v>
      </c>
      <c r="R23" s="501">
        <v>11267</v>
      </c>
      <c r="S23" s="501">
        <v>6012</v>
      </c>
      <c r="T23" s="501"/>
      <c r="U23" s="501">
        <v>301</v>
      </c>
      <c r="V23" s="501"/>
      <c r="W23" s="501"/>
      <c r="X23" s="501"/>
      <c r="Y23" s="385"/>
      <c r="Z23" s="385"/>
      <c r="AA23" s="384"/>
    </row>
    <row r="24" spans="1:27" s="447" customFormat="1" x14ac:dyDescent="0.25">
      <c r="A24" s="482">
        <v>8001</v>
      </c>
      <c r="B24" s="474" t="s">
        <v>156</v>
      </c>
      <c r="C24" s="475">
        <v>2837</v>
      </c>
      <c r="D24" s="514" t="s">
        <v>732</v>
      </c>
      <c r="E24" s="469">
        <v>150000</v>
      </c>
      <c r="F24" s="476">
        <f t="shared" si="0"/>
        <v>88248.31</v>
      </c>
      <c r="G24" s="476">
        <f t="shared" si="1"/>
        <v>61751.69</v>
      </c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>
        <v>65161.14</v>
      </c>
      <c r="U24" s="501">
        <v>23087.17</v>
      </c>
      <c r="V24" s="501"/>
      <c r="W24" s="501"/>
      <c r="X24" s="501"/>
      <c r="Y24" s="385"/>
      <c r="Z24" s="385"/>
      <c r="AA24" s="384"/>
    </row>
    <row r="25" spans="1:27" s="447" customFormat="1" x14ac:dyDescent="0.25">
      <c r="A25" s="482">
        <v>1140</v>
      </c>
      <c r="B25" s="474" t="s">
        <v>706</v>
      </c>
      <c r="C25" s="475">
        <v>1262</v>
      </c>
      <c r="D25" s="514" t="s">
        <v>724</v>
      </c>
      <c r="E25" s="485">
        <v>114025</v>
      </c>
      <c r="F25" s="476">
        <f t="shared" si="0"/>
        <v>14689.43</v>
      </c>
      <c r="G25" s="476">
        <f t="shared" si="1"/>
        <v>99335.57</v>
      </c>
      <c r="H25" s="501"/>
      <c r="I25" s="501"/>
      <c r="J25" s="501"/>
      <c r="K25" s="501"/>
      <c r="L25" s="501"/>
      <c r="M25" s="501"/>
      <c r="N25" s="501"/>
      <c r="O25" s="501">
        <v>1675.13</v>
      </c>
      <c r="P25" s="501"/>
      <c r="Q25" s="501"/>
      <c r="R25" s="501">
        <v>13014.3</v>
      </c>
      <c r="S25" s="501"/>
      <c r="T25" s="501"/>
      <c r="U25" s="501"/>
      <c r="V25" s="501"/>
      <c r="W25" s="501"/>
      <c r="X25" s="501"/>
      <c r="Y25" s="385"/>
      <c r="Z25" s="385"/>
      <c r="AA25" s="384"/>
    </row>
    <row r="26" spans="1:27" s="447" customFormat="1" x14ac:dyDescent="0.25">
      <c r="A26" s="482">
        <v>1140</v>
      </c>
      <c r="B26" s="474" t="s">
        <v>706</v>
      </c>
      <c r="C26" s="475">
        <v>5704</v>
      </c>
      <c r="D26" s="514" t="s">
        <v>723</v>
      </c>
      <c r="E26" s="485">
        <v>130075</v>
      </c>
      <c r="F26" s="476">
        <f t="shared" si="0"/>
        <v>25697.24</v>
      </c>
      <c r="G26" s="476">
        <f t="shared" si="1"/>
        <v>104377.76</v>
      </c>
      <c r="H26" s="501"/>
      <c r="I26" s="501"/>
      <c r="J26" s="501"/>
      <c r="K26" s="501"/>
      <c r="L26" s="501"/>
      <c r="M26" s="501"/>
      <c r="N26" s="501"/>
      <c r="O26" s="501">
        <v>4826.84</v>
      </c>
      <c r="P26" s="501"/>
      <c r="Q26" s="501"/>
      <c r="R26" s="501">
        <v>20870.400000000001</v>
      </c>
      <c r="S26" s="501"/>
      <c r="T26" s="501"/>
      <c r="U26" s="501"/>
      <c r="V26" s="501"/>
      <c r="W26" s="501"/>
      <c r="X26" s="501"/>
      <c r="Y26" s="385"/>
      <c r="Z26" s="385"/>
      <c r="AA26" s="384"/>
    </row>
    <row r="27" spans="1:27" s="447" customFormat="1" x14ac:dyDescent="0.25">
      <c r="A27" s="482">
        <v>1420</v>
      </c>
      <c r="B27" s="474" t="s">
        <v>78</v>
      </c>
      <c r="C27" s="475">
        <v>6848</v>
      </c>
      <c r="D27" s="514" t="s">
        <v>741</v>
      </c>
      <c r="E27" s="484">
        <v>150000</v>
      </c>
      <c r="F27" s="476">
        <f t="shared" si="0"/>
        <v>147576.13</v>
      </c>
      <c r="G27" s="476">
        <f t="shared" si="1"/>
        <v>2423.8699999999953</v>
      </c>
      <c r="H27" s="501"/>
      <c r="I27" s="501"/>
      <c r="J27" s="501"/>
      <c r="K27" s="502">
        <v>21411.73</v>
      </c>
      <c r="L27" s="503">
        <v>10743.28</v>
      </c>
      <c r="M27" s="501">
        <v>19523.18</v>
      </c>
      <c r="N27" s="503">
        <v>10280.39</v>
      </c>
      <c r="O27" s="501">
        <v>10295.99</v>
      </c>
      <c r="P27" s="501">
        <v>10378.69</v>
      </c>
      <c r="Q27" s="501">
        <v>9931.89</v>
      </c>
      <c r="R27" s="501">
        <v>15178.5</v>
      </c>
      <c r="S27" s="501">
        <v>12795.33</v>
      </c>
      <c r="T27" s="501"/>
      <c r="U27" s="501">
        <v>27037.15</v>
      </c>
      <c r="V27" s="501"/>
      <c r="W27" s="501"/>
      <c r="X27" s="501"/>
      <c r="Y27" s="385"/>
      <c r="Z27" s="385"/>
      <c r="AA27" s="384"/>
    </row>
    <row r="28" spans="1:27" s="447" customFormat="1" x14ac:dyDescent="0.25">
      <c r="A28" s="482">
        <v>1510</v>
      </c>
      <c r="B28" s="474" t="s">
        <v>154</v>
      </c>
      <c r="C28" s="475">
        <v>4904</v>
      </c>
      <c r="D28" s="514" t="s">
        <v>743</v>
      </c>
      <c r="E28" s="484">
        <v>68457</v>
      </c>
      <c r="F28" s="476">
        <f t="shared" si="0"/>
        <v>54111.13</v>
      </c>
      <c r="G28" s="476">
        <f t="shared" si="1"/>
        <v>14345.870000000003</v>
      </c>
      <c r="H28" s="501"/>
      <c r="I28" s="501"/>
      <c r="J28" s="501"/>
      <c r="K28" s="501"/>
      <c r="L28" s="501"/>
      <c r="M28" s="501">
        <v>13303.69</v>
      </c>
      <c r="N28" s="503">
        <v>5134.37</v>
      </c>
      <c r="O28" s="501">
        <v>8361.73</v>
      </c>
      <c r="P28" s="501">
        <v>4282.16</v>
      </c>
      <c r="Q28" s="501">
        <v>9041.58</v>
      </c>
      <c r="R28" s="501">
        <v>13987.6</v>
      </c>
      <c r="S28" s="501"/>
      <c r="T28" s="501"/>
      <c r="U28" s="501"/>
      <c r="V28" s="501"/>
      <c r="W28" s="501"/>
      <c r="X28" s="501"/>
      <c r="Y28" s="466"/>
      <c r="Z28" s="466"/>
      <c r="AA28" s="384"/>
    </row>
    <row r="29" spans="1:27" s="447" customFormat="1" x14ac:dyDescent="0.25">
      <c r="A29" s="482">
        <v>1510</v>
      </c>
      <c r="B29" s="474" t="s">
        <v>154</v>
      </c>
      <c r="C29" s="475">
        <v>4901</v>
      </c>
      <c r="D29" s="514" t="s">
        <v>742</v>
      </c>
      <c r="E29" s="484">
        <v>148760</v>
      </c>
      <c r="F29" s="476">
        <f t="shared" si="0"/>
        <v>104684.46</v>
      </c>
      <c r="G29" s="476">
        <f t="shared" si="1"/>
        <v>44075.539999999994</v>
      </c>
      <c r="H29" s="501"/>
      <c r="I29" s="501"/>
      <c r="J29" s="501"/>
      <c r="K29" s="501"/>
      <c r="L29" s="501"/>
      <c r="M29" s="501">
        <v>34412.57</v>
      </c>
      <c r="N29" s="503">
        <v>10326.4</v>
      </c>
      <c r="O29" s="501">
        <v>14256.85</v>
      </c>
      <c r="P29" s="501">
        <v>11055.84</v>
      </c>
      <c r="Q29" s="501">
        <v>10177.040000000001</v>
      </c>
      <c r="R29" s="501">
        <v>24455.759999999998</v>
      </c>
      <c r="S29" s="501"/>
      <c r="T29" s="501"/>
      <c r="U29" s="501"/>
      <c r="V29" s="501"/>
      <c r="W29" s="501"/>
      <c r="X29" s="501"/>
      <c r="Y29" s="385"/>
      <c r="Z29" s="385"/>
      <c r="AA29" s="384"/>
    </row>
    <row r="30" spans="1:27" s="447" customFormat="1" x14ac:dyDescent="0.25">
      <c r="A30" s="482">
        <v>1550</v>
      </c>
      <c r="B30" s="474" t="s">
        <v>53</v>
      </c>
      <c r="C30" s="475">
        <v>4282</v>
      </c>
      <c r="D30" s="514" t="s">
        <v>744</v>
      </c>
      <c r="E30" s="461">
        <v>150000</v>
      </c>
      <c r="F30" s="476">
        <f t="shared" si="0"/>
        <v>73715.210000000006</v>
      </c>
      <c r="G30" s="476">
        <f t="shared" si="1"/>
        <v>76284.789999999994</v>
      </c>
      <c r="H30" s="501"/>
      <c r="I30" s="501"/>
      <c r="J30" s="501"/>
      <c r="K30" s="502">
        <v>154.72999999999999</v>
      </c>
      <c r="L30" s="501"/>
      <c r="M30" s="501"/>
      <c r="N30" s="503">
        <v>30278.560000000001</v>
      </c>
      <c r="O30" s="501"/>
      <c r="P30" s="501">
        <v>24782.84</v>
      </c>
      <c r="Q30" s="501"/>
      <c r="R30" s="501"/>
      <c r="S30" s="501">
        <v>12205.64</v>
      </c>
      <c r="T30" s="501"/>
      <c r="U30" s="501">
        <v>6293.44</v>
      </c>
      <c r="V30" s="501"/>
      <c r="W30" s="501"/>
      <c r="X30" s="501"/>
      <c r="Y30" s="466"/>
      <c r="Z30" s="466"/>
      <c r="AA30" s="384"/>
    </row>
    <row r="31" spans="1:27" s="447" customFormat="1" x14ac:dyDescent="0.25">
      <c r="A31" s="478" t="s">
        <v>49</v>
      </c>
      <c r="B31" s="497" t="s">
        <v>153</v>
      </c>
      <c r="C31" s="475">
        <v>5605</v>
      </c>
      <c r="D31" s="514" t="s">
        <v>733</v>
      </c>
      <c r="E31" s="469">
        <v>63516</v>
      </c>
      <c r="F31" s="476">
        <f t="shared" si="0"/>
        <v>26676.18</v>
      </c>
      <c r="G31" s="476">
        <f t="shared" si="1"/>
        <v>36839.82</v>
      </c>
      <c r="H31" s="501"/>
      <c r="I31" s="501"/>
      <c r="J31" s="501"/>
      <c r="K31" s="501"/>
      <c r="L31" s="501"/>
      <c r="M31" s="501"/>
      <c r="N31" s="501">
        <v>6172.23</v>
      </c>
      <c r="O31" s="501">
        <v>7410.58</v>
      </c>
      <c r="P31" s="501"/>
      <c r="Q31" s="501"/>
      <c r="R31" s="501"/>
      <c r="S31" s="501">
        <v>13093.37</v>
      </c>
      <c r="T31" s="501"/>
      <c r="U31" s="501"/>
      <c r="V31" s="501"/>
      <c r="W31" s="501"/>
      <c r="X31" s="501"/>
      <c r="Y31" s="385"/>
      <c r="Z31" s="385"/>
      <c r="AA31" s="384"/>
    </row>
    <row r="32" spans="1:27" s="447" customFormat="1" x14ac:dyDescent="0.25">
      <c r="A32" s="478" t="s">
        <v>49</v>
      </c>
      <c r="B32" s="497" t="s">
        <v>153</v>
      </c>
      <c r="C32" s="475">
        <v>8888</v>
      </c>
      <c r="D32" s="514" t="s">
        <v>734</v>
      </c>
      <c r="E32" s="469">
        <v>126259</v>
      </c>
      <c r="F32" s="476">
        <f t="shared" si="0"/>
        <v>22290.3</v>
      </c>
      <c r="G32" s="476">
        <f t="shared" si="1"/>
        <v>103968.7</v>
      </c>
      <c r="H32" s="501"/>
      <c r="I32" s="501"/>
      <c r="J32" s="501"/>
      <c r="K32" s="501"/>
      <c r="L32" s="501"/>
      <c r="M32" s="501"/>
      <c r="N32" s="503">
        <v>11978.22</v>
      </c>
      <c r="O32" s="501">
        <v>10312.08</v>
      </c>
      <c r="P32" s="501"/>
      <c r="Q32" s="501"/>
      <c r="R32" s="501"/>
      <c r="S32" s="501"/>
      <c r="T32" s="501"/>
      <c r="U32" s="501"/>
      <c r="V32" s="501"/>
      <c r="W32" s="501"/>
      <c r="X32" s="501"/>
      <c r="Y32" s="385"/>
      <c r="Z32" s="385"/>
      <c r="AA32" s="384"/>
    </row>
    <row r="33" spans="1:40" s="447" customFormat="1" x14ac:dyDescent="0.25">
      <c r="A33" s="478" t="s">
        <v>49</v>
      </c>
      <c r="B33" s="497" t="s">
        <v>153</v>
      </c>
      <c r="C33" s="475">
        <v>9050</v>
      </c>
      <c r="D33" s="514" t="s">
        <v>735</v>
      </c>
      <c r="E33" s="469">
        <v>135878</v>
      </c>
      <c r="F33" s="476">
        <f t="shared" si="0"/>
        <v>9787.44</v>
      </c>
      <c r="G33" s="476">
        <f t="shared" si="1"/>
        <v>126090.56</v>
      </c>
      <c r="H33" s="501"/>
      <c r="I33" s="501"/>
      <c r="J33" s="501"/>
      <c r="K33" s="501"/>
      <c r="L33" s="501"/>
      <c r="M33" s="501"/>
      <c r="N33" s="501"/>
      <c r="O33" s="501">
        <v>9787.44</v>
      </c>
      <c r="P33" s="501"/>
      <c r="Q33" s="501"/>
      <c r="R33" s="502"/>
      <c r="S33" s="501"/>
      <c r="T33" s="501"/>
      <c r="U33" s="501"/>
      <c r="V33" s="501"/>
      <c r="W33" s="501"/>
      <c r="X33" s="501"/>
      <c r="Y33" s="385"/>
      <c r="Z33" s="385"/>
      <c r="AA33" s="384"/>
    </row>
    <row r="34" spans="1:40" s="447" customFormat="1" x14ac:dyDescent="0.25">
      <c r="A34" s="482" t="s">
        <v>710</v>
      </c>
      <c r="B34" s="474" t="s">
        <v>23</v>
      </c>
      <c r="C34" s="475">
        <v>6758</v>
      </c>
      <c r="D34" s="514" t="s">
        <v>745</v>
      </c>
      <c r="E34" s="461">
        <v>150000</v>
      </c>
      <c r="F34" s="476">
        <f t="shared" si="0"/>
        <v>88970</v>
      </c>
      <c r="G34" s="476">
        <f t="shared" si="1"/>
        <v>61030</v>
      </c>
      <c r="H34" s="501"/>
      <c r="I34" s="501"/>
      <c r="J34" s="501"/>
      <c r="K34" s="501"/>
      <c r="L34" s="503">
        <v>2269</v>
      </c>
      <c r="M34" s="501">
        <v>10170</v>
      </c>
      <c r="N34" s="503">
        <v>5759</v>
      </c>
      <c r="O34" s="501">
        <v>7409</v>
      </c>
      <c r="P34" s="501">
        <f>6346+1593.88</f>
        <v>7939.88</v>
      </c>
      <c r="Q34" s="501">
        <v>2695</v>
      </c>
      <c r="R34" s="501">
        <v>5813</v>
      </c>
      <c r="S34" s="501">
        <v>10509</v>
      </c>
      <c r="T34" s="501"/>
      <c r="U34" s="501">
        <f>5279.96+11439.78+6470.99+6854.39+6361</f>
        <v>36406.120000000003</v>
      </c>
      <c r="V34" s="501"/>
      <c r="W34" s="501"/>
      <c r="X34" s="501"/>
      <c r="Y34" s="385"/>
      <c r="Z34" s="385"/>
      <c r="AA34" s="384"/>
    </row>
    <row r="35" spans="1:40" s="447" customFormat="1" x14ac:dyDescent="0.25">
      <c r="A35" s="482" t="s">
        <v>711</v>
      </c>
      <c r="B35" s="474" t="s">
        <v>23</v>
      </c>
      <c r="C35" s="475" t="s">
        <v>711</v>
      </c>
      <c r="D35" s="514" t="s">
        <v>746</v>
      </c>
      <c r="E35" s="461">
        <v>150000</v>
      </c>
      <c r="F35" s="476">
        <f t="shared" si="0"/>
        <v>76170</v>
      </c>
      <c r="G35" s="476">
        <f t="shared" si="1"/>
        <v>73830</v>
      </c>
      <c r="H35" s="501"/>
      <c r="I35" s="501"/>
      <c r="J35" s="501"/>
      <c r="K35" s="501"/>
      <c r="L35" s="501">
        <v>2309</v>
      </c>
      <c r="M35" s="501">
        <v>11139</v>
      </c>
      <c r="N35" s="503">
        <v>7901</v>
      </c>
      <c r="O35" s="501">
        <v>9252</v>
      </c>
      <c r="P35" s="501">
        <v>11798</v>
      </c>
      <c r="Q35" s="501">
        <v>8169</v>
      </c>
      <c r="R35" s="501">
        <v>7045</v>
      </c>
      <c r="S35" s="501">
        <v>10895</v>
      </c>
      <c r="T35" s="501"/>
      <c r="U35" s="501">
        <v>7662</v>
      </c>
      <c r="V35" s="501"/>
      <c r="W35" s="501"/>
      <c r="X35" s="501"/>
      <c r="Y35" s="385"/>
      <c r="Z35" s="385"/>
      <c r="AA35" s="384"/>
    </row>
    <row r="36" spans="1:40" s="447" customFormat="1" x14ac:dyDescent="0.25">
      <c r="A36" s="482" t="s">
        <v>711</v>
      </c>
      <c r="B36" s="474" t="s">
        <v>23</v>
      </c>
      <c r="C36" s="475" t="s">
        <v>995</v>
      </c>
      <c r="D36" s="514" t="s">
        <v>747</v>
      </c>
      <c r="E36" s="461">
        <v>150000</v>
      </c>
      <c r="F36" s="476">
        <f t="shared" si="0"/>
        <v>89232</v>
      </c>
      <c r="G36" s="476">
        <f t="shared" si="1"/>
        <v>60768</v>
      </c>
      <c r="H36" s="501"/>
      <c r="I36" s="501"/>
      <c r="J36" s="501"/>
      <c r="K36" s="501"/>
      <c r="L36" s="501">
        <v>608</v>
      </c>
      <c r="M36" s="501">
        <v>10989</v>
      </c>
      <c r="N36" s="503">
        <v>10670</v>
      </c>
      <c r="O36" s="501">
        <v>10837</v>
      </c>
      <c r="P36" s="501">
        <v>11856</v>
      </c>
      <c r="Q36" s="501">
        <v>10000</v>
      </c>
      <c r="R36" s="501">
        <v>10130</v>
      </c>
      <c r="S36" s="501">
        <v>13496</v>
      </c>
      <c r="T36" s="501"/>
      <c r="U36" s="501">
        <v>10646</v>
      </c>
      <c r="V36" s="501"/>
      <c r="W36" s="501"/>
      <c r="X36" s="501"/>
      <c r="Y36" s="385"/>
      <c r="Z36" s="385"/>
      <c r="AA36" s="384"/>
    </row>
    <row r="37" spans="1:40" s="447" customFormat="1" x14ac:dyDescent="0.25">
      <c r="A37" s="482" t="s">
        <v>712</v>
      </c>
      <c r="B37" s="474" t="s">
        <v>23</v>
      </c>
      <c r="C37" s="475" t="s">
        <v>712</v>
      </c>
      <c r="D37" s="514" t="s">
        <v>748</v>
      </c>
      <c r="E37" s="461">
        <v>150000</v>
      </c>
      <c r="F37" s="476">
        <f t="shared" si="0"/>
        <v>78423</v>
      </c>
      <c r="G37" s="476">
        <f t="shared" si="1"/>
        <v>71577</v>
      </c>
      <c r="H37" s="501"/>
      <c r="I37" s="501"/>
      <c r="J37" s="501"/>
      <c r="K37" s="501"/>
      <c r="L37" s="501">
        <v>4514</v>
      </c>
      <c r="M37" s="501">
        <v>11872</v>
      </c>
      <c r="N37" s="503">
        <v>9569</v>
      </c>
      <c r="O37" s="501">
        <v>8723</v>
      </c>
      <c r="P37" s="501">
        <v>7819</v>
      </c>
      <c r="Q37" s="501">
        <v>10906</v>
      </c>
      <c r="R37" s="505">
        <v>9931</v>
      </c>
      <c r="S37" s="501">
        <v>8159</v>
      </c>
      <c r="T37" s="501"/>
      <c r="U37" s="501">
        <v>6930</v>
      </c>
      <c r="V37" s="501"/>
      <c r="W37" s="501"/>
      <c r="X37" s="501"/>
      <c r="Y37" s="385"/>
      <c r="Z37" s="385"/>
      <c r="AA37" s="384"/>
    </row>
    <row r="38" spans="1:40" s="447" customFormat="1" x14ac:dyDescent="0.25">
      <c r="A38" s="482">
        <v>3010</v>
      </c>
      <c r="B38" s="474" t="s">
        <v>708</v>
      </c>
      <c r="C38" s="475">
        <v>9080</v>
      </c>
      <c r="D38" s="514" t="s">
        <v>731</v>
      </c>
      <c r="E38" s="484">
        <v>82463</v>
      </c>
      <c r="F38" s="476">
        <f t="shared" si="0"/>
        <v>0</v>
      </c>
      <c r="G38" s="476">
        <f t="shared" si="1"/>
        <v>82463</v>
      </c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385"/>
      <c r="Z38" s="385"/>
      <c r="AA38" s="384"/>
    </row>
    <row r="39" spans="1:40" s="447" customFormat="1" x14ac:dyDescent="0.25">
      <c r="A39" s="482">
        <v>3010</v>
      </c>
      <c r="B39" s="474" t="s">
        <v>708</v>
      </c>
      <c r="C39" s="475">
        <v>2024</v>
      </c>
      <c r="D39" s="514" t="s">
        <v>730</v>
      </c>
      <c r="E39" s="484">
        <v>82463</v>
      </c>
      <c r="F39" s="476">
        <f t="shared" si="0"/>
        <v>0</v>
      </c>
      <c r="G39" s="476">
        <f t="shared" si="1"/>
        <v>82463</v>
      </c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385"/>
      <c r="Z39" s="385"/>
      <c r="AA39" s="384"/>
    </row>
    <row r="40" spans="1:40" s="447" customFormat="1" x14ac:dyDescent="0.25">
      <c r="A40" s="482">
        <v>3120</v>
      </c>
      <c r="B40" s="474" t="s">
        <v>82</v>
      </c>
      <c r="C40" s="475">
        <v>2222</v>
      </c>
      <c r="D40" s="514" t="s">
        <v>736</v>
      </c>
      <c r="E40" s="484">
        <v>141000</v>
      </c>
      <c r="F40" s="476">
        <f t="shared" si="0"/>
        <v>116052.98999999999</v>
      </c>
      <c r="G40" s="476">
        <f t="shared" si="1"/>
        <v>24947.010000000009</v>
      </c>
      <c r="H40" s="501"/>
      <c r="I40" s="501"/>
      <c r="J40" s="501"/>
      <c r="K40" s="501"/>
      <c r="L40" s="503">
        <v>6657.59</v>
      </c>
      <c r="M40" s="501">
        <v>6505.65</v>
      </c>
      <c r="N40" s="503">
        <v>9436.19</v>
      </c>
      <c r="O40" s="501">
        <v>1807.53</v>
      </c>
      <c r="P40" s="501">
        <f>6524.5+6524.5</f>
        <v>13049</v>
      </c>
      <c r="Q40" s="501">
        <v>13810.64</v>
      </c>
      <c r="R40" s="501">
        <v>16187.33</v>
      </c>
      <c r="S40" s="501">
        <v>10565.09</v>
      </c>
      <c r="T40" s="501"/>
      <c r="U40" s="501">
        <v>38033.97</v>
      </c>
      <c r="V40" s="501"/>
      <c r="W40" s="501"/>
      <c r="X40" s="501"/>
      <c r="Y40" s="385"/>
      <c r="Z40" s="385"/>
      <c r="AA40" s="384"/>
    </row>
    <row r="41" spans="1:40" s="447" customFormat="1" x14ac:dyDescent="0.25">
      <c r="A41" s="482">
        <v>3120</v>
      </c>
      <c r="B41" s="474" t="s">
        <v>82</v>
      </c>
      <c r="C41" s="475">
        <v>3614</v>
      </c>
      <c r="D41" s="514" t="s">
        <v>740</v>
      </c>
      <c r="E41" s="484">
        <v>140000</v>
      </c>
      <c r="F41" s="476">
        <f t="shared" si="0"/>
        <v>96141.400000000009</v>
      </c>
      <c r="G41" s="476">
        <f t="shared" si="1"/>
        <v>43858.599999999991</v>
      </c>
      <c r="H41" s="501"/>
      <c r="I41" s="501"/>
      <c r="J41" s="501"/>
      <c r="K41" s="501"/>
      <c r="L41" s="503">
        <v>6030.36</v>
      </c>
      <c r="M41" s="501">
        <v>5334.44</v>
      </c>
      <c r="N41" s="503">
        <v>4770.9399999999996</v>
      </c>
      <c r="O41" s="501">
        <v>2651.72</v>
      </c>
      <c r="P41" s="501">
        <f>9457.74+9457.74</f>
        <v>18915.48</v>
      </c>
      <c r="Q41" s="501">
        <v>11856.4</v>
      </c>
      <c r="R41" s="501">
        <v>21017.360000000001</v>
      </c>
      <c r="S41" s="501">
        <v>9125.4599999999991</v>
      </c>
      <c r="T41" s="501"/>
      <c r="U41" s="501">
        <v>16439.240000000002</v>
      </c>
      <c r="V41" s="501"/>
      <c r="W41" s="501"/>
      <c r="X41" s="501"/>
      <c r="Y41" s="385"/>
      <c r="Z41" s="385"/>
      <c r="AA41" s="384"/>
    </row>
    <row r="42" spans="1:40" s="447" customFormat="1" x14ac:dyDescent="0.25">
      <c r="A42" s="482">
        <v>3120</v>
      </c>
      <c r="B42" s="474" t="s">
        <v>82</v>
      </c>
      <c r="C42" s="483" t="s">
        <v>964</v>
      </c>
      <c r="D42" s="514" t="s">
        <v>737</v>
      </c>
      <c r="E42" s="484">
        <v>140000</v>
      </c>
      <c r="F42" s="476">
        <f t="shared" si="0"/>
        <v>124238.64</v>
      </c>
      <c r="G42" s="476">
        <f t="shared" si="1"/>
        <v>15761.36</v>
      </c>
      <c r="H42" s="501"/>
      <c r="I42" s="501"/>
      <c r="J42" s="501"/>
      <c r="K42" s="501"/>
      <c r="L42" s="503">
        <v>4607.8900000000003</v>
      </c>
      <c r="M42" s="501">
        <v>5773.99</v>
      </c>
      <c r="N42" s="503">
        <v>11472.49</v>
      </c>
      <c r="O42" s="501">
        <v>10229.15</v>
      </c>
      <c r="P42" s="501">
        <f>15180.92+15180.92</f>
        <v>30361.84</v>
      </c>
      <c r="Q42" s="501">
        <v>16821.11</v>
      </c>
      <c r="R42" s="501">
        <v>21572.23</v>
      </c>
      <c r="S42" s="501">
        <v>12090.83</v>
      </c>
      <c r="T42" s="501"/>
      <c r="U42" s="501">
        <v>11309.11</v>
      </c>
      <c r="V42" s="501"/>
      <c r="W42" s="501"/>
      <c r="X42" s="501"/>
      <c r="Y42" s="385"/>
      <c r="Z42" s="385"/>
      <c r="AA42" s="384"/>
    </row>
    <row r="43" spans="1:40" s="447" customFormat="1" x14ac:dyDescent="0.25">
      <c r="A43" s="482">
        <v>3120</v>
      </c>
      <c r="B43" s="474" t="s">
        <v>82</v>
      </c>
      <c r="C43" s="475">
        <v>8467</v>
      </c>
      <c r="D43" s="514" t="s">
        <v>739</v>
      </c>
      <c r="E43" s="484">
        <v>147000</v>
      </c>
      <c r="F43" s="476">
        <f t="shared" si="0"/>
        <v>109247.28</v>
      </c>
      <c r="G43" s="476">
        <f t="shared" si="1"/>
        <v>37752.720000000001</v>
      </c>
      <c r="H43" s="501"/>
      <c r="I43" s="501"/>
      <c r="J43" s="501"/>
      <c r="K43" s="501"/>
      <c r="L43" s="503">
        <v>4599.01</v>
      </c>
      <c r="M43" s="501">
        <v>1127.3499999999999</v>
      </c>
      <c r="N43" s="503">
        <v>1174.82</v>
      </c>
      <c r="O43" s="501">
        <v>1161.51</v>
      </c>
      <c r="P43" s="501">
        <f>1540.23+1540.23</f>
        <v>3080.46</v>
      </c>
      <c r="Q43" s="501">
        <v>2404.84</v>
      </c>
      <c r="R43" s="501">
        <v>5505.67</v>
      </c>
      <c r="S43" s="501">
        <v>1067.4000000000001</v>
      </c>
      <c r="T43" s="501"/>
      <c r="U43" s="501">
        <v>89126.22</v>
      </c>
      <c r="V43" s="501"/>
      <c r="W43" s="501"/>
      <c r="X43" s="501"/>
      <c r="Y43" s="385"/>
      <c r="Z43" s="385"/>
      <c r="AA43" s="384"/>
    </row>
    <row r="44" spans="1:40" x14ac:dyDescent="0.25">
      <c r="A44" s="482">
        <v>3120</v>
      </c>
      <c r="B44" s="474" t="s">
        <v>82</v>
      </c>
      <c r="C44" s="475">
        <v>7700</v>
      </c>
      <c r="D44" s="514" t="s">
        <v>738</v>
      </c>
      <c r="E44" s="484">
        <v>150000</v>
      </c>
      <c r="F44" s="476">
        <f t="shared" si="0"/>
        <v>150000</v>
      </c>
      <c r="G44" s="476">
        <f t="shared" si="1"/>
        <v>0</v>
      </c>
      <c r="H44" s="501"/>
      <c r="I44" s="501"/>
      <c r="J44" s="501"/>
      <c r="K44" s="501"/>
      <c r="L44" s="503">
        <v>9577.24</v>
      </c>
      <c r="M44" s="501">
        <v>13672</v>
      </c>
      <c r="N44" s="503">
        <v>8818.57</v>
      </c>
      <c r="O44" s="501">
        <v>13951.35</v>
      </c>
      <c r="P44" s="501">
        <f>22659.31+22659.31</f>
        <v>45318.62</v>
      </c>
      <c r="Q44" s="501">
        <v>35106.699999999997</v>
      </c>
      <c r="R44" s="501">
        <v>23555.52</v>
      </c>
      <c r="S44" s="501"/>
      <c r="T44" s="501"/>
      <c r="U44" s="501"/>
      <c r="V44" s="501"/>
      <c r="W44" s="501"/>
      <c r="X44" s="501"/>
      <c r="Y44" s="385"/>
      <c r="Z44" s="385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</row>
    <row r="45" spans="1:40" s="447" customFormat="1" x14ac:dyDescent="0.25">
      <c r="A45" s="482">
        <v>3110</v>
      </c>
      <c r="B45" s="474" t="s">
        <v>421</v>
      </c>
      <c r="C45" s="475">
        <v>5896</v>
      </c>
      <c r="D45" s="514" t="s">
        <v>749</v>
      </c>
      <c r="E45" s="461">
        <v>150000</v>
      </c>
      <c r="F45" s="476">
        <f t="shared" si="0"/>
        <v>109983.47</v>
      </c>
      <c r="G45" s="476">
        <f t="shared" si="1"/>
        <v>40016.53</v>
      </c>
      <c r="H45" s="501"/>
      <c r="I45" s="501"/>
      <c r="J45" s="501"/>
      <c r="K45" s="501"/>
      <c r="L45" s="503">
        <v>16254.86</v>
      </c>
      <c r="M45" s="501">
        <v>6656.92</v>
      </c>
      <c r="N45" s="501">
        <v>17909.95</v>
      </c>
      <c r="O45" s="501">
        <v>4194.79</v>
      </c>
      <c r="P45" s="501">
        <v>7535.86</v>
      </c>
      <c r="Q45" s="501">
        <v>13795.71</v>
      </c>
      <c r="R45" s="501">
        <v>7645.95</v>
      </c>
      <c r="S45" s="501">
        <v>10016.530000000001</v>
      </c>
      <c r="T45" s="501"/>
      <c r="U45" s="501">
        <v>25972.9</v>
      </c>
      <c r="V45" s="501"/>
      <c r="W45" s="501"/>
      <c r="X45" s="501"/>
      <c r="Y45" s="385"/>
      <c r="Z45" s="385"/>
      <c r="AA45" s="384"/>
    </row>
    <row r="46" spans="1:40" s="447" customFormat="1" x14ac:dyDescent="0.25">
      <c r="A46" s="482">
        <v>2515</v>
      </c>
      <c r="B46" s="474" t="s">
        <v>709</v>
      </c>
      <c r="C46" s="475">
        <v>9576</v>
      </c>
      <c r="D46" s="514" t="s">
        <v>750</v>
      </c>
      <c r="E46" s="461">
        <v>150000</v>
      </c>
      <c r="F46" s="476">
        <f t="shared" si="0"/>
        <v>68822.62</v>
      </c>
      <c r="G46" s="476">
        <f t="shared" si="1"/>
        <v>81177.38</v>
      </c>
      <c r="H46" s="501"/>
      <c r="I46" s="501"/>
      <c r="J46" s="501"/>
      <c r="K46" s="501"/>
      <c r="L46" s="501"/>
      <c r="M46" s="501">
        <v>12444.66</v>
      </c>
      <c r="N46" s="501"/>
      <c r="O46" s="506">
        <v>17868.28</v>
      </c>
      <c r="P46" s="507"/>
      <c r="Q46" s="501"/>
      <c r="R46" s="501"/>
      <c r="S46" s="501">
        <v>7943.23</v>
      </c>
      <c r="T46" s="501"/>
      <c r="U46" s="501">
        <f>6206.2+24360.25</f>
        <v>30566.45</v>
      </c>
      <c r="V46" s="501"/>
      <c r="W46" s="501"/>
      <c r="X46" s="501"/>
      <c r="Y46" s="385"/>
      <c r="Z46" s="385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</row>
    <row r="47" spans="1:40" ht="15.75" thickBot="1" x14ac:dyDescent="0.3">
      <c r="A47" s="482">
        <v>2515</v>
      </c>
      <c r="B47" s="474" t="s">
        <v>709</v>
      </c>
      <c r="C47" s="475">
        <v>9263</v>
      </c>
      <c r="D47" s="514" t="s">
        <v>751</v>
      </c>
      <c r="E47" s="461">
        <v>150000</v>
      </c>
      <c r="F47" s="476">
        <f t="shared" si="0"/>
        <v>68753.2</v>
      </c>
      <c r="G47" s="476">
        <f t="shared" si="1"/>
        <v>81246.8</v>
      </c>
      <c r="H47" s="506"/>
      <c r="I47" s="506"/>
      <c r="J47" s="506"/>
      <c r="K47" s="506"/>
      <c r="L47" s="506"/>
      <c r="M47" s="506">
        <v>16691.59</v>
      </c>
      <c r="N47" s="506"/>
      <c r="O47" s="506">
        <v>11602.9</v>
      </c>
      <c r="P47" s="506"/>
      <c r="Q47" s="506"/>
      <c r="R47" s="506"/>
      <c r="S47" s="506">
        <v>7435.57</v>
      </c>
      <c r="T47" s="506"/>
      <c r="U47" s="506">
        <f>2402.22+30620.92</f>
        <v>33023.14</v>
      </c>
      <c r="V47" s="506"/>
      <c r="W47" s="506"/>
      <c r="X47" s="506"/>
      <c r="Y47" s="447"/>
      <c r="Z47" s="447"/>
    </row>
    <row r="48" spans="1:40" s="488" customFormat="1" ht="15.75" thickBot="1" x14ac:dyDescent="0.3">
      <c r="A48" s="482" t="s">
        <v>91</v>
      </c>
      <c r="B48" s="482" t="s">
        <v>381</v>
      </c>
      <c r="C48" s="486" t="s">
        <v>996</v>
      </c>
      <c r="D48" s="514" t="s">
        <v>753</v>
      </c>
      <c r="E48" s="485">
        <v>89206</v>
      </c>
      <c r="F48" s="476">
        <f t="shared" si="0"/>
        <v>0</v>
      </c>
      <c r="G48" s="476">
        <f t="shared" si="1"/>
        <v>89206</v>
      </c>
      <c r="H48" s="508"/>
      <c r="I48" s="509"/>
      <c r="J48" s="501"/>
      <c r="K48" s="509"/>
      <c r="L48" s="509"/>
      <c r="M48" s="508"/>
      <c r="N48" s="508"/>
      <c r="O48" s="509"/>
      <c r="P48" s="508"/>
      <c r="Q48" s="510"/>
      <c r="R48" s="508"/>
      <c r="S48" s="508"/>
      <c r="T48" s="508"/>
      <c r="U48" s="508"/>
      <c r="V48" s="508"/>
      <c r="W48" s="508"/>
      <c r="X48" s="508"/>
      <c r="Y48" s="511"/>
      <c r="Z48" s="487"/>
    </row>
    <row r="49" spans="1:26" s="470" customFormat="1" x14ac:dyDescent="0.25">
      <c r="A49" s="482" t="s">
        <v>91</v>
      </c>
      <c r="B49" s="482" t="s">
        <v>381</v>
      </c>
      <c r="C49" s="486" t="s">
        <v>997</v>
      </c>
      <c r="D49" s="514" t="s">
        <v>754</v>
      </c>
      <c r="E49" s="485">
        <v>89206</v>
      </c>
      <c r="F49" s="476">
        <f t="shared" si="0"/>
        <v>32793.130000000005</v>
      </c>
      <c r="G49" s="476">
        <f t="shared" si="1"/>
        <v>56412.869999999995</v>
      </c>
      <c r="H49" s="508"/>
      <c r="I49" s="508"/>
      <c r="J49" s="501"/>
      <c r="K49" s="509"/>
      <c r="L49" s="508"/>
      <c r="M49" s="509"/>
      <c r="N49" s="509"/>
      <c r="O49" s="509"/>
      <c r="P49" s="515">
        <v>1248.3</v>
      </c>
      <c r="Q49" s="515">
        <v>5149.17</v>
      </c>
      <c r="R49" s="508"/>
      <c r="S49" s="508"/>
      <c r="T49" s="508"/>
      <c r="U49" s="508">
        <f>11876.07+7954.08+6565.51</f>
        <v>26395.660000000003</v>
      </c>
      <c r="V49" s="508"/>
      <c r="W49" s="508"/>
      <c r="X49" s="508"/>
      <c r="Y49" s="488"/>
      <c r="Z49" s="488"/>
    </row>
    <row r="50" spans="1:26" s="470" customFormat="1" x14ac:dyDescent="0.25">
      <c r="A50" s="482" t="s">
        <v>91</v>
      </c>
      <c r="B50" s="482" t="s">
        <v>381</v>
      </c>
      <c r="C50" s="486" t="s">
        <v>998</v>
      </c>
      <c r="D50" s="514" t="s">
        <v>752</v>
      </c>
      <c r="E50" s="484">
        <v>140000</v>
      </c>
      <c r="F50" s="476">
        <f t="shared" si="0"/>
        <v>88669.010000000009</v>
      </c>
      <c r="G50" s="476">
        <f t="shared" si="1"/>
        <v>51330.989999999991</v>
      </c>
      <c r="H50" s="509"/>
      <c r="I50" s="509"/>
      <c r="J50" s="509"/>
      <c r="K50" s="509"/>
      <c r="L50" s="509"/>
      <c r="M50" s="509"/>
      <c r="N50" s="512">
        <v>13106.49</v>
      </c>
      <c r="O50" s="509">
        <v>7914.72</v>
      </c>
      <c r="P50" s="509">
        <f>7914.72+9575.11</f>
        <v>17489.830000000002</v>
      </c>
      <c r="Q50" s="509">
        <v>11873.28</v>
      </c>
      <c r="R50" s="509"/>
      <c r="S50" s="509"/>
      <c r="T50" s="509"/>
      <c r="U50" s="509">
        <f>12584.86+12284.78+13415.05</f>
        <v>38284.69</v>
      </c>
      <c r="V50" s="509"/>
      <c r="W50" s="509"/>
      <c r="X50" s="509"/>
      <c r="Y50" s="463"/>
      <c r="Z50" s="463"/>
    </row>
    <row r="51" spans="1:26" s="470" customFormat="1" x14ac:dyDescent="0.25">
      <c r="A51" s="482" t="s">
        <v>91</v>
      </c>
      <c r="B51" s="482" t="s">
        <v>381</v>
      </c>
      <c r="C51" s="486" t="s">
        <v>999</v>
      </c>
      <c r="D51" s="514" t="s">
        <v>755</v>
      </c>
      <c r="E51" s="485">
        <v>89206</v>
      </c>
      <c r="F51" s="476">
        <f t="shared" si="0"/>
        <v>42702.060000000005</v>
      </c>
      <c r="G51" s="476">
        <f t="shared" si="1"/>
        <v>46503.939999999995</v>
      </c>
      <c r="H51" s="508"/>
      <c r="I51" s="508"/>
      <c r="J51" s="513"/>
      <c r="K51" s="509"/>
      <c r="L51" s="508"/>
      <c r="M51" s="508"/>
      <c r="N51" s="508"/>
      <c r="O51" s="508"/>
      <c r="P51" s="509">
        <v>896.65</v>
      </c>
      <c r="Q51" s="501">
        <v>4762.47</v>
      </c>
      <c r="R51" s="508"/>
      <c r="S51" s="508"/>
      <c r="T51" s="508"/>
      <c r="U51" s="508">
        <f>17219.57+10046.9+9776.47</f>
        <v>37042.94</v>
      </c>
      <c r="V51" s="508"/>
      <c r="W51" s="508"/>
      <c r="X51" s="508"/>
      <c r="Y51" s="488"/>
      <c r="Z51" s="488"/>
    </row>
    <row r="52" spans="1:26" ht="33.75" customHeight="1" thickBot="1" x14ac:dyDescent="0.3">
      <c r="C52" s="447"/>
      <c r="D52" s="447"/>
      <c r="E52" s="447"/>
      <c r="F52" s="385"/>
      <c r="P52" s="385"/>
      <c r="Q52" s="494"/>
      <c r="Y52" s="447"/>
      <c r="Z52" s="447"/>
    </row>
    <row r="53" spans="1:26" ht="36" customHeight="1" thickBot="1" x14ac:dyDescent="0.35">
      <c r="C53" s="447"/>
      <c r="D53" s="496" t="s">
        <v>44</v>
      </c>
      <c r="E53" s="489">
        <f>SUM(E9:E52)</f>
        <v>5297657</v>
      </c>
      <c r="F53" s="490">
        <f t="shared" ref="F53:Z53" si="2">SUM(F9:F52)</f>
        <v>3310639.2399999998</v>
      </c>
      <c r="G53" s="490">
        <f t="shared" si="2"/>
        <v>1987017.76</v>
      </c>
      <c r="H53" s="490">
        <f t="shared" si="2"/>
        <v>0</v>
      </c>
      <c r="I53" s="490">
        <f t="shared" si="2"/>
        <v>0</v>
      </c>
      <c r="J53" s="491">
        <f t="shared" si="2"/>
        <v>25441</v>
      </c>
      <c r="K53" s="491">
        <f t="shared" si="2"/>
        <v>85038.7</v>
      </c>
      <c r="L53" s="491">
        <f t="shared" si="2"/>
        <v>148535.79999999999</v>
      </c>
      <c r="M53" s="491">
        <f t="shared" si="2"/>
        <v>304575.11</v>
      </c>
      <c r="N53" s="491">
        <f t="shared" si="2"/>
        <v>331116.26000000007</v>
      </c>
      <c r="O53" s="491">
        <f t="shared" si="2"/>
        <v>276534.71999999997</v>
      </c>
      <c r="P53" s="491">
        <f t="shared" si="2"/>
        <v>340830.14000000007</v>
      </c>
      <c r="Q53" s="491">
        <f t="shared" si="2"/>
        <v>240813.37</v>
      </c>
      <c r="R53" s="491">
        <f t="shared" si="2"/>
        <v>345134.97</v>
      </c>
      <c r="S53" s="491">
        <f t="shared" si="2"/>
        <v>463157.93000000011</v>
      </c>
      <c r="T53" s="490">
        <f t="shared" si="2"/>
        <v>65161.14</v>
      </c>
      <c r="U53" s="490">
        <f t="shared" si="2"/>
        <v>684300.09999999986</v>
      </c>
      <c r="V53" s="490">
        <f t="shared" si="2"/>
        <v>0</v>
      </c>
      <c r="W53" s="490">
        <f t="shared" si="2"/>
        <v>0</v>
      </c>
      <c r="X53" s="490">
        <f t="shared" si="2"/>
        <v>0</v>
      </c>
      <c r="Y53" s="490">
        <f t="shared" si="2"/>
        <v>0</v>
      </c>
      <c r="Z53" s="492">
        <f t="shared" si="2"/>
        <v>0</v>
      </c>
    </row>
    <row r="54" spans="1:26" ht="29.25" customHeight="1" x14ac:dyDescent="0.25">
      <c r="C54" s="447"/>
      <c r="D54" s="447"/>
      <c r="E54" s="447"/>
      <c r="I54" s="385"/>
      <c r="Q54" s="493"/>
      <c r="Y54" s="447"/>
      <c r="Z54" s="447"/>
    </row>
    <row r="55" spans="1:26" ht="33.75" customHeight="1" x14ac:dyDescent="0.25">
      <c r="C55" s="447"/>
      <c r="D55" s="447"/>
      <c r="E55" s="447"/>
      <c r="Q55" s="386"/>
      <c r="Y55" s="447"/>
      <c r="Z55" s="447"/>
    </row>
    <row r="56" spans="1:26" x14ac:dyDescent="0.25">
      <c r="C56" s="447"/>
      <c r="D56" s="447"/>
      <c r="E56" s="447"/>
      <c r="Y56" s="447"/>
      <c r="Z56" s="447"/>
    </row>
    <row r="57" spans="1:26" ht="16.350000000000001" customHeight="1" x14ac:dyDescent="0.25">
      <c r="C57" s="447"/>
      <c r="D57" s="447"/>
      <c r="E57" s="447"/>
      <c r="J57" s="386"/>
      <c r="K57" s="386"/>
      <c r="L57" s="386"/>
      <c r="N57" s="386"/>
      <c r="Y57" s="447"/>
      <c r="Z57" s="447"/>
    </row>
    <row r="58" spans="1:26" ht="16.350000000000001" customHeight="1" x14ac:dyDescent="0.25">
      <c r="C58" s="447"/>
      <c r="D58" s="447"/>
      <c r="E58" s="447"/>
      <c r="K58" s="386"/>
      <c r="L58" s="386"/>
      <c r="N58" s="385"/>
      <c r="Y58" s="447"/>
      <c r="Z58" s="447"/>
    </row>
    <row r="59" spans="1:26" ht="16.350000000000001" customHeight="1" x14ac:dyDescent="0.25">
      <c r="C59" s="447"/>
      <c r="D59" s="447"/>
      <c r="E59" s="447"/>
      <c r="K59" s="386"/>
      <c r="L59" s="385"/>
      <c r="Y59" s="447"/>
      <c r="Z59" s="447"/>
    </row>
    <row r="60" spans="1:26" ht="16.350000000000001" customHeight="1" x14ac:dyDescent="0.25">
      <c r="C60" s="447"/>
      <c r="D60" s="447"/>
      <c r="E60" s="447"/>
    </row>
    <row r="61" spans="1:26" ht="16.350000000000001" customHeight="1" x14ac:dyDescent="0.25">
      <c r="C61" s="447"/>
      <c r="D61" s="447"/>
      <c r="E61" s="447"/>
    </row>
    <row r="62" spans="1:26" x14ac:dyDescent="0.25">
      <c r="C62" s="447"/>
      <c r="D62" s="447"/>
      <c r="E62" s="447"/>
    </row>
    <row r="63" spans="1:26" x14ac:dyDescent="0.25">
      <c r="C63" s="447"/>
      <c r="D63" s="447"/>
      <c r="E63" s="447"/>
    </row>
    <row r="64" spans="1:26" x14ac:dyDescent="0.25">
      <c r="E64" s="447"/>
      <c r="F64" s="447"/>
      <c r="G64" s="447"/>
    </row>
    <row r="65" spans="5:7" x14ac:dyDescent="0.25">
      <c r="E65" s="447"/>
      <c r="F65" s="447"/>
      <c r="G65" s="447"/>
    </row>
    <row r="66" spans="5:7" x14ac:dyDescent="0.25">
      <c r="E66" s="447"/>
      <c r="F66" s="447"/>
      <c r="G66" s="447"/>
    </row>
    <row r="67" spans="5:7" x14ac:dyDescent="0.25">
      <c r="E67" s="447"/>
      <c r="F67" s="447"/>
      <c r="G67" s="447"/>
    </row>
    <row r="68" spans="5:7" x14ac:dyDescent="0.25">
      <c r="E68" s="447"/>
      <c r="F68" s="447"/>
      <c r="G68" s="447"/>
    </row>
    <row r="69" spans="5:7" x14ac:dyDescent="0.25">
      <c r="F69" s="447"/>
      <c r="G69" s="447"/>
    </row>
    <row r="70" spans="5:7" x14ac:dyDescent="0.25">
      <c r="F70" s="447"/>
      <c r="G70" s="447"/>
    </row>
    <row r="71" spans="5:7" x14ac:dyDescent="0.25">
      <c r="F71" s="447"/>
      <c r="G71" s="447"/>
    </row>
  </sheetData>
  <sheetProtection algorithmName="SHA-512" hashValue="kHu17/nCYpdgn2FDp5hp1wasUzIFBqhhzLTowY9kTzH22fi+yTspQH0r6prArIld9M/tPIDNropnyUL0euc2Zw==" saltValue="qaHK/Lp0brMSqbS4dK1CoQ==" spinCount="100000" sheet="1" objects="1" scenarios="1"/>
  <mergeCells count="1">
    <mergeCell ref="A7:G7"/>
  </mergeCells>
  <hyperlinks>
    <hyperlink ref="C5" r:id="rId1" xr:uid="{189F1208-5032-4012-ABEF-5ACABA5487C1}"/>
  </hyperlinks>
  <pageMargins left="0.7" right="0.7" top="0.75" bottom="0.75" header="0.3" footer="0.3"/>
  <pageSetup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C788-B33D-400C-85C6-FCCDE21C70FC}">
  <sheetPr codeName="Sheet15">
    <tabColor theme="2"/>
  </sheetPr>
  <dimension ref="A1:AR66"/>
  <sheetViews>
    <sheetView tabSelected="1" zoomScale="80" zoomScaleNormal="80" workbookViewId="0">
      <pane xSplit="7" ySplit="8" topLeftCell="H21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39" sqref="D39"/>
    </sheetView>
  </sheetViews>
  <sheetFormatPr defaultColWidth="0" defaultRowHeight="15" x14ac:dyDescent="0.25"/>
  <cols>
    <col min="1" max="1" width="8.5703125" style="2" customWidth="1"/>
    <col min="2" max="2" width="34.42578125" customWidth="1"/>
    <col min="3" max="3" width="11.42578125" style="2" customWidth="1"/>
    <col min="4" max="4" width="30.5703125" customWidth="1"/>
    <col min="5" max="5" width="20" bestFit="1" customWidth="1"/>
    <col min="6" max="6" width="21.42578125" bestFit="1" customWidth="1"/>
    <col min="7" max="7" width="19.42578125" bestFit="1" customWidth="1"/>
    <col min="8" max="10" width="15.5703125" customWidth="1"/>
    <col min="11" max="11" width="19.5703125" bestFit="1" customWidth="1"/>
    <col min="12" max="12" width="21.42578125" bestFit="1" customWidth="1"/>
    <col min="13" max="13" width="15.5703125" customWidth="1"/>
    <col min="14" max="14" width="19.42578125" bestFit="1" customWidth="1"/>
    <col min="15" max="15" width="15.5703125" customWidth="1"/>
    <col min="16" max="16" width="19.42578125" customWidth="1"/>
    <col min="17" max="17" width="16.5703125" bestFit="1" customWidth="1"/>
    <col min="18" max="18" width="15.5703125" customWidth="1"/>
    <col min="19" max="19" width="18.5703125" customWidth="1"/>
    <col min="20" max="20" width="16.5703125" bestFit="1" customWidth="1"/>
    <col min="21" max="24" width="15.5703125" customWidth="1"/>
    <col min="25" max="26" width="21.42578125" customWidth="1"/>
    <col min="27" max="44" width="0" hidden="1" customWidth="1"/>
    <col min="45" max="16384" width="8.5703125" hidden="1"/>
  </cols>
  <sheetData>
    <row r="1" spans="1:27" ht="21" x14ac:dyDescent="0.35">
      <c r="A1" s="50" t="s">
        <v>0</v>
      </c>
      <c r="B1" s="41"/>
      <c r="C1" s="53" t="s">
        <v>756</v>
      </c>
      <c r="D1" s="29"/>
      <c r="E1" s="29"/>
      <c r="F1" s="29"/>
      <c r="G1" s="42"/>
      <c r="H1" s="41"/>
      <c r="I1" s="37"/>
      <c r="J1" s="53" t="str">
        <f>$C$1</f>
        <v>21st Century Cohort E2</v>
      </c>
      <c r="K1" s="41"/>
      <c r="L1" s="41"/>
      <c r="M1" s="37"/>
      <c r="N1" s="41"/>
      <c r="O1" s="41"/>
      <c r="P1" s="53" t="str">
        <f>$C$1</f>
        <v>21st Century Cohort E2</v>
      </c>
      <c r="Q1" s="37"/>
      <c r="R1" s="37"/>
      <c r="S1" s="41"/>
      <c r="T1" s="37"/>
      <c r="U1" s="41"/>
      <c r="V1" s="41"/>
      <c r="W1" s="53" t="str">
        <f>$C$1</f>
        <v>21st Century Cohort E2</v>
      </c>
      <c r="X1" s="41"/>
      <c r="Y1" s="28"/>
      <c r="Z1" s="28"/>
    </row>
    <row r="2" spans="1:27" s="3" customFormat="1" ht="21" x14ac:dyDescent="0.35">
      <c r="A2" s="28" t="s">
        <v>137</v>
      </c>
      <c r="B2" s="38"/>
      <c r="C2" s="50" t="s">
        <v>928</v>
      </c>
      <c r="D2" s="37"/>
      <c r="E2" s="37"/>
      <c r="F2" s="37"/>
      <c r="G2" s="15"/>
      <c r="H2" s="38"/>
      <c r="I2" s="38"/>
      <c r="J2" s="29" t="str">
        <f>"FY"&amp;$C$4</f>
        <v>FY2021-22</v>
      </c>
      <c r="K2" s="38"/>
      <c r="L2" s="38"/>
      <c r="M2" s="38"/>
      <c r="N2" s="38"/>
      <c r="O2" s="38"/>
      <c r="P2" s="29" t="str">
        <f>"FY"&amp;$C$4</f>
        <v>FY2021-22</v>
      </c>
      <c r="Q2" s="38"/>
      <c r="R2" s="38"/>
      <c r="S2" s="38"/>
      <c r="T2" s="38"/>
      <c r="U2" s="38"/>
      <c r="V2" s="38"/>
      <c r="W2" s="29" t="str">
        <f>"FY"&amp;$C$4</f>
        <v>FY2021-22</v>
      </c>
      <c r="X2" s="38"/>
      <c r="Y2" s="28"/>
      <c r="Z2" s="28"/>
    </row>
    <row r="3" spans="1:27" ht="15.75" x14ac:dyDescent="0.25">
      <c r="A3" s="51" t="s">
        <v>1</v>
      </c>
      <c r="B3" s="41"/>
      <c r="C3" s="54" t="s">
        <v>757</v>
      </c>
      <c r="D3" s="29"/>
      <c r="E3" s="29"/>
      <c r="F3" s="29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</row>
    <row r="4" spans="1:27" ht="15.75" x14ac:dyDescent="0.25">
      <c r="A4" s="51" t="s">
        <v>2</v>
      </c>
      <c r="B4" s="41"/>
      <c r="C4" s="54" t="s">
        <v>618</v>
      </c>
      <c r="D4" s="29"/>
      <c r="E4" s="29"/>
      <c r="F4" s="29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2"/>
    </row>
    <row r="5" spans="1:27" ht="15.75" x14ac:dyDescent="0.25">
      <c r="A5" s="51" t="s">
        <v>376</v>
      </c>
      <c r="B5" s="41"/>
      <c r="C5" s="292" t="s">
        <v>958</v>
      </c>
      <c r="D5" s="29"/>
      <c r="E5" s="29"/>
      <c r="F5" s="2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0"/>
      <c r="Z5" s="40"/>
    </row>
    <row r="6" spans="1:27" ht="15.75" x14ac:dyDescent="0.25">
      <c r="A6" s="51"/>
      <c r="B6" s="41"/>
      <c r="C6" s="29"/>
      <c r="D6" s="29"/>
      <c r="E6" s="29"/>
      <c r="F6" s="2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0"/>
      <c r="Z6" s="40"/>
    </row>
    <row r="7" spans="1:27" ht="24" thickBot="1" x14ac:dyDescent="0.4">
      <c r="A7" s="651"/>
      <c r="B7" s="652"/>
      <c r="C7" s="652"/>
      <c r="D7" s="652"/>
      <c r="E7" s="652"/>
      <c r="F7" s="653"/>
      <c r="G7" s="65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0"/>
      <c r="Z7" s="40"/>
    </row>
    <row r="8" spans="1:27" ht="30.75" thickBot="1" x14ac:dyDescent="0.3">
      <c r="A8" s="353" t="s">
        <v>130</v>
      </c>
      <c r="B8" s="33" t="s">
        <v>124</v>
      </c>
      <c r="C8" s="353" t="s">
        <v>135</v>
      </c>
      <c r="D8" s="33" t="s">
        <v>41</v>
      </c>
      <c r="E8" s="144" t="s">
        <v>14</v>
      </c>
      <c r="F8" s="12" t="s">
        <v>15</v>
      </c>
      <c r="G8" s="26" t="s">
        <v>16</v>
      </c>
      <c r="H8" s="23" t="s">
        <v>408</v>
      </c>
      <c r="I8" s="24" t="s">
        <v>409</v>
      </c>
      <c r="J8" s="23" t="s">
        <v>410</v>
      </c>
      <c r="K8" s="24" t="s">
        <v>411</v>
      </c>
      <c r="L8" s="161" t="s">
        <v>412</v>
      </c>
      <c r="M8" s="162" t="s">
        <v>416</v>
      </c>
      <c r="N8" s="162" t="s">
        <v>606</v>
      </c>
      <c r="O8" s="162" t="s">
        <v>607</v>
      </c>
      <c r="P8" s="162" t="s">
        <v>608</v>
      </c>
      <c r="Q8" s="162" t="s">
        <v>609</v>
      </c>
      <c r="R8" s="24" t="s">
        <v>610</v>
      </c>
      <c r="S8" s="24" t="s">
        <v>611</v>
      </c>
      <c r="T8" s="23" t="s">
        <v>612</v>
      </c>
      <c r="U8" s="24" t="s">
        <v>613</v>
      </c>
      <c r="V8" s="24" t="s">
        <v>614</v>
      </c>
      <c r="W8" s="24" t="s">
        <v>619</v>
      </c>
      <c r="X8" s="23" t="s">
        <v>620</v>
      </c>
      <c r="Y8" s="12" t="s">
        <v>144</v>
      </c>
      <c r="Z8" s="12" t="s">
        <v>145</v>
      </c>
    </row>
    <row r="9" spans="1:27" s="31" customFormat="1" ht="29.1" customHeight="1" thickBot="1" x14ac:dyDescent="0.3">
      <c r="A9" s="578" t="s">
        <v>21</v>
      </c>
      <c r="B9" s="544" t="s">
        <v>76</v>
      </c>
      <c r="C9" s="545">
        <v>1878</v>
      </c>
      <c r="D9" s="546" t="s">
        <v>766</v>
      </c>
      <c r="E9" s="547">
        <v>140000</v>
      </c>
      <c r="F9" s="136">
        <f t="shared" ref="F9:F41" si="0">SUM(H9:X9)</f>
        <v>106626.41000000002</v>
      </c>
      <c r="G9" s="136">
        <f t="shared" ref="G9:G41" si="1">E9-F9</f>
        <v>33373.589999999982</v>
      </c>
      <c r="H9" s="548"/>
      <c r="I9" s="330"/>
      <c r="J9" s="549">
        <v>9205.19</v>
      </c>
      <c r="K9" s="550"/>
      <c r="L9" s="551">
        <v>4495.47</v>
      </c>
      <c r="M9" s="552"/>
      <c r="N9" s="551">
        <f>15448.55+37565.64</f>
        <v>53014.19</v>
      </c>
      <c r="O9" s="552"/>
      <c r="P9" s="552">
        <v>11210.27</v>
      </c>
      <c r="Q9" s="552"/>
      <c r="R9" s="553">
        <v>16283.63</v>
      </c>
      <c r="S9" s="553">
        <v>12417.66</v>
      </c>
      <c r="T9" s="553"/>
      <c r="U9" s="553"/>
      <c r="V9" s="330"/>
      <c r="W9" s="330"/>
      <c r="X9" s="330"/>
      <c r="Y9" s="55"/>
      <c r="Z9" s="55"/>
      <c r="AA9"/>
    </row>
    <row r="10" spans="1:27" s="31" customFormat="1" ht="29.1" customHeight="1" thickBot="1" x14ac:dyDescent="0.3">
      <c r="A10" s="578" t="s">
        <v>21</v>
      </c>
      <c r="B10" s="544" t="s">
        <v>76</v>
      </c>
      <c r="C10" s="545">
        <v>4000</v>
      </c>
      <c r="D10" s="546" t="s">
        <v>767</v>
      </c>
      <c r="E10" s="547">
        <v>140000</v>
      </c>
      <c r="F10" s="136">
        <f t="shared" si="0"/>
        <v>89783.26</v>
      </c>
      <c r="G10" s="136">
        <f t="shared" si="1"/>
        <v>50216.740000000005</v>
      </c>
      <c r="H10" s="331"/>
      <c r="I10" s="331"/>
      <c r="J10" s="554">
        <v>9205.19</v>
      </c>
      <c r="K10" s="554"/>
      <c r="L10" s="552">
        <v>4495.47</v>
      </c>
      <c r="M10" s="552"/>
      <c r="N10" s="551">
        <v>25440.880000000001</v>
      </c>
      <c r="O10" s="552"/>
      <c r="P10" s="552"/>
      <c r="Q10" s="552"/>
      <c r="R10" s="554">
        <f>28752.16+11318.32</f>
        <v>40070.479999999996</v>
      </c>
      <c r="S10" s="554">
        <v>10571.24</v>
      </c>
      <c r="T10" s="554"/>
      <c r="U10" s="554"/>
      <c r="V10" s="331"/>
      <c r="W10" s="331"/>
      <c r="X10" s="331"/>
      <c r="Y10" s="55"/>
      <c r="Z10" s="55"/>
      <c r="AA10"/>
    </row>
    <row r="11" spans="1:27" s="31" customFormat="1" ht="29.1" customHeight="1" thickBot="1" x14ac:dyDescent="0.3">
      <c r="A11" s="578" t="s">
        <v>21</v>
      </c>
      <c r="B11" s="544" t="s">
        <v>76</v>
      </c>
      <c r="C11" s="545">
        <v>5418</v>
      </c>
      <c r="D11" s="546" t="s">
        <v>768</v>
      </c>
      <c r="E11" s="547">
        <v>140000</v>
      </c>
      <c r="F11" s="136">
        <f t="shared" si="0"/>
        <v>113883.20999999999</v>
      </c>
      <c r="G11" s="136">
        <f t="shared" si="1"/>
        <v>26116.790000000008</v>
      </c>
      <c r="H11" s="332"/>
      <c r="I11" s="332"/>
      <c r="J11" s="555">
        <v>29289.26</v>
      </c>
      <c r="K11" s="555"/>
      <c r="L11" s="556">
        <v>14303.75</v>
      </c>
      <c r="M11" s="556"/>
      <c r="N11" s="551">
        <v>49696.35</v>
      </c>
      <c r="O11" s="556"/>
      <c r="P11" s="556"/>
      <c r="Q11" s="557"/>
      <c r="R11" s="558">
        <v>10300.08</v>
      </c>
      <c r="S11" s="555">
        <v>10293.77</v>
      </c>
      <c r="T11" s="555"/>
      <c r="U11" s="555"/>
      <c r="V11" s="332"/>
      <c r="W11" s="332"/>
      <c r="X11" s="332"/>
      <c r="Y11" s="55"/>
      <c r="Z11" s="55"/>
      <c r="AA11"/>
    </row>
    <row r="12" spans="1:27" s="31" customFormat="1" ht="29.1" customHeight="1" thickBot="1" x14ac:dyDescent="0.3">
      <c r="A12" s="578" t="s">
        <v>21</v>
      </c>
      <c r="B12" s="544" t="s">
        <v>76</v>
      </c>
      <c r="C12" s="545">
        <v>6376</v>
      </c>
      <c r="D12" s="546" t="s">
        <v>769</v>
      </c>
      <c r="E12" s="547">
        <v>140000</v>
      </c>
      <c r="F12" s="136">
        <f t="shared" si="0"/>
        <v>105800.11000000002</v>
      </c>
      <c r="G12" s="136">
        <f t="shared" si="1"/>
        <v>34199.889999999985</v>
      </c>
      <c r="H12" s="331"/>
      <c r="I12" s="331"/>
      <c r="J12" s="554">
        <v>11715.7</v>
      </c>
      <c r="K12" s="554"/>
      <c r="L12" s="552">
        <v>5721.5</v>
      </c>
      <c r="M12" s="552"/>
      <c r="N12" s="551">
        <v>33649.32</v>
      </c>
      <c r="O12" s="552"/>
      <c r="P12" s="552"/>
      <c r="Q12" s="559"/>
      <c r="R12" s="560">
        <f>34611.73+8578.65</f>
        <v>43190.380000000005</v>
      </c>
      <c r="S12" s="554">
        <v>11523.21</v>
      </c>
      <c r="T12" s="554"/>
      <c r="U12" s="554"/>
      <c r="V12" s="331"/>
      <c r="W12" s="331"/>
      <c r="X12" s="331"/>
      <c r="Y12" s="55"/>
      <c r="Z12" s="55"/>
      <c r="AA12"/>
    </row>
    <row r="13" spans="1:27" s="31" customFormat="1" ht="29.1" customHeight="1" thickBot="1" x14ac:dyDescent="0.3">
      <c r="A13" s="578" t="s">
        <v>21</v>
      </c>
      <c r="B13" s="544" t="s">
        <v>76</v>
      </c>
      <c r="C13" s="545">
        <v>8361</v>
      </c>
      <c r="D13" s="546" t="s">
        <v>770</v>
      </c>
      <c r="E13" s="547">
        <v>140000</v>
      </c>
      <c r="F13" s="136">
        <f t="shared" si="0"/>
        <v>102395.87</v>
      </c>
      <c r="G13" s="136">
        <f t="shared" si="1"/>
        <v>37604.130000000005</v>
      </c>
      <c r="H13" s="137"/>
      <c r="I13" s="137"/>
      <c r="J13" s="561">
        <v>11715.7</v>
      </c>
      <c r="K13" s="561"/>
      <c r="L13" s="552">
        <v>5721.5</v>
      </c>
      <c r="M13" s="552"/>
      <c r="N13" s="551">
        <v>33652.720000000001</v>
      </c>
      <c r="O13" s="552"/>
      <c r="P13" s="552"/>
      <c r="Q13" s="559"/>
      <c r="R13" s="560">
        <f>36857.61+9216.18</f>
        <v>46073.79</v>
      </c>
      <c r="S13" s="561">
        <v>5232.16</v>
      </c>
      <c r="T13" s="561"/>
      <c r="U13" s="561"/>
      <c r="V13" s="137"/>
      <c r="W13" s="137"/>
      <c r="X13" s="137"/>
      <c r="Y13" s="55"/>
      <c r="Z13" s="55"/>
      <c r="AA13"/>
    </row>
    <row r="14" spans="1:27" s="31" customFormat="1" ht="29.1" customHeight="1" thickBot="1" x14ac:dyDescent="0.3">
      <c r="A14" s="578" t="s">
        <v>21</v>
      </c>
      <c r="B14" s="544" t="s">
        <v>76</v>
      </c>
      <c r="C14" s="545">
        <v>8842</v>
      </c>
      <c r="D14" s="546" t="s">
        <v>771</v>
      </c>
      <c r="E14" s="547">
        <v>140000</v>
      </c>
      <c r="F14" s="136">
        <f t="shared" si="0"/>
        <v>101323.37</v>
      </c>
      <c r="G14" s="136">
        <f t="shared" si="1"/>
        <v>38676.630000000005</v>
      </c>
      <c r="H14" s="137"/>
      <c r="I14" s="137"/>
      <c r="J14" s="561">
        <v>12552.54</v>
      </c>
      <c r="K14" s="561"/>
      <c r="L14" s="552">
        <v>6130.18</v>
      </c>
      <c r="M14" s="552"/>
      <c r="N14" s="551">
        <v>33962.75</v>
      </c>
      <c r="O14" s="552"/>
      <c r="P14" s="552"/>
      <c r="Q14" s="559"/>
      <c r="R14" s="560">
        <f>28506.29+8271.91</f>
        <v>36778.199999999997</v>
      </c>
      <c r="S14" s="561">
        <v>11899.7</v>
      </c>
      <c r="T14" s="561"/>
      <c r="U14" s="561"/>
      <c r="V14" s="137"/>
      <c r="W14" s="137"/>
      <c r="X14" s="137"/>
      <c r="Y14" s="55"/>
      <c r="Z14" s="55"/>
      <c r="AA14"/>
    </row>
    <row r="15" spans="1:27" s="31" customFormat="1" ht="29.1" customHeight="1" thickBot="1" x14ac:dyDescent="0.3">
      <c r="A15" s="578" t="s">
        <v>4</v>
      </c>
      <c r="B15" s="544" t="s">
        <v>1000</v>
      </c>
      <c r="C15" s="545">
        <v>9060</v>
      </c>
      <c r="D15" s="546" t="s">
        <v>772</v>
      </c>
      <c r="E15" s="547">
        <v>149064</v>
      </c>
      <c r="F15" s="136">
        <f t="shared" si="0"/>
        <v>130826.6</v>
      </c>
      <c r="G15" s="136">
        <f t="shared" si="1"/>
        <v>18237.399999999994</v>
      </c>
      <c r="H15" s="137"/>
      <c r="I15" s="137"/>
      <c r="J15" s="561"/>
      <c r="K15" s="562">
        <v>4383.82</v>
      </c>
      <c r="L15" s="551">
        <v>13499.8</v>
      </c>
      <c r="M15" s="552">
        <v>14462.91</v>
      </c>
      <c r="N15" s="551">
        <v>5866.38</v>
      </c>
      <c r="O15" s="552">
        <v>4718.08</v>
      </c>
      <c r="P15" s="552">
        <v>19092.759999999998</v>
      </c>
      <c r="Q15" s="559">
        <v>8699.86</v>
      </c>
      <c r="R15" s="560">
        <v>13985.28</v>
      </c>
      <c r="S15" s="561">
        <v>15120.03</v>
      </c>
      <c r="T15" s="561">
        <v>17957.61</v>
      </c>
      <c r="U15" s="561">
        <v>13040.07</v>
      </c>
      <c r="V15" s="137"/>
      <c r="W15" s="137"/>
      <c r="X15" s="137"/>
      <c r="Y15" s="55"/>
      <c r="Z15" s="55"/>
      <c r="AA15"/>
    </row>
    <row r="16" spans="1:27" s="31" customFormat="1" ht="29.1" customHeight="1" thickBot="1" x14ac:dyDescent="0.3">
      <c r="A16" s="578" t="s">
        <v>4</v>
      </c>
      <c r="B16" s="544" t="s">
        <v>1000</v>
      </c>
      <c r="C16" s="545">
        <v>3471</v>
      </c>
      <c r="D16" s="546" t="s">
        <v>773</v>
      </c>
      <c r="E16" s="547">
        <v>149587</v>
      </c>
      <c r="F16" s="136">
        <f t="shared" si="0"/>
        <v>125120.34999999998</v>
      </c>
      <c r="G16" s="136">
        <f t="shared" si="1"/>
        <v>24466.650000000023</v>
      </c>
      <c r="H16" s="331"/>
      <c r="I16" s="331"/>
      <c r="J16" s="554"/>
      <c r="K16" s="563">
        <v>2075.64</v>
      </c>
      <c r="L16" s="551">
        <v>6327.08</v>
      </c>
      <c r="M16" s="609">
        <v>14349.16</v>
      </c>
      <c r="N16" s="551">
        <v>7183.89</v>
      </c>
      <c r="O16" s="609">
        <v>5627.7</v>
      </c>
      <c r="P16" s="609">
        <v>15113.8</v>
      </c>
      <c r="Q16" s="610">
        <v>7809.18</v>
      </c>
      <c r="R16" s="611">
        <v>11635.58</v>
      </c>
      <c r="S16" s="554">
        <v>19685.060000000001</v>
      </c>
      <c r="T16" s="554">
        <v>20775.84</v>
      </c>
      <c r="U16" s="554">
        <v>14537.42</v>
      </c>
      <c r="V16" s="331"/>
      <c r="W16" s="331"/>
      <c r="X16" s="331"/>
      <c r="Y16" s="137"/>
      <c r="Z16" s="137"/>
      <c r="AA16"/>
    </row>
    <row r="17" spans="1:27" s="31" customFormat="1" ht="29.1" customHeight="1" thickBot="1" x14ac:dyDescent="0.3">
      <c r="A17" s="564" t="s">
        <v>219</v>
      </c>
      <c r="B17" s="565" t="s">
        <v>621</v>
      </c>
      <c r="C17" s="545" t="s">
        <v>1001</v>
      </c>
      <c r="D17" s="546" t="s">
        <v>776</v>
      </c>
      <c r="E17" s="547">
        <v>112128</v>
      </c>
      <c r="F17" s="136">
        <f t="shared" si="0"/>
        <v>105106.01000000001</v>
      </c>
      <c r="G17" s="608">
        <f t="shared" si="1"/>
        <v>7021.9899999999907</v>
      </c>
      <c r="H17" s="616"/>
      <c r="I17" s="616"/>
      <c r="J17" s="617"/>
      <c r="K17" s="618">
        <v>5669.47</v>
      </c>
      <c r="L17" s="617">
        <v>16039.34</v>
      </c>
      <c r="M17" s="617">
        <v>12148.95</v>
      </c>
      <c r="N17" s="580">
        <v>8878.48</v>
      </c>
      <c r="O17" s="617">
        <v>7557.51</v>
      </c>
      <c r="P17" s="617">
        <v>8012.88</v>
      </c>
      <c r="Q17" s="617">
        <v>7212.09</v>
      </c>
      <c r="R17" s="617">
        <v>8204.32</v>
      </c>
      <c r="S17" s="617">
        <v>15649.55</v>
      </c>
      <c r="T17" s="617">
        <v>15733.42</v>
      </c>
      <c r="U17" s="617"/>
      <c r="V17" s="616"/>
      <c r="W17" s="616"/>
      <c r="X17" s="616"/>
      <c r="Y17" s="55"/>
      <c r="Z17" s="55"/>
      <c r="AA17"/>
    </row>
    <row r="18" spans="1:27" s="31" customFormat="1" ht="29.1" customHeight="1" thickBot="1" x14ac:dyDescent="0.3">
      <c r="A18" s="564" t="s">
        <v>219</v>
      </c>
      <c r="B18" s="565" t="s">
        <v>621</v>
      </c>
      <c r="C18" s="545" t="s">
        <v>1002</v>
      </c>
      <c r="D18" s="546" t="s">
        <v>778</v>
      </c>
      <c r="E18" s="547">
        <v>97900</v>
      </c>
      <c r="F18" s="136">
        <f t="shared" si="0"/>
        <v>86135.75</v>
      </c>
      <c r="G18" s="608">
        <f t="shared" si="1"/>
        <v>11764.25</v>
      </c>
      <c r="H18" s="616"/>
      <c r="I18" s="616"/>
      <c r="J18" s="617"/>
      <c r="K18" s="618">
        <v>3017.41</v>
      </c>
      <c r="L18" s="617">
        <v>11069.89</v>
      </c>
      <c r="M18" s="617">
        <v>10433.23</v>
      </c>
      <c r="N18" s="580">
        <v>2869.54</v>
      </c>
      <c r="O18" s="617">
        <v>7677.95</v>
      </c>
      <c r="P18" s="617">
        <v>8326.07</v>
      </c>
      <c r="Q18" s="617">
        <v>8383.27</v>
      </c>
      <c r="R18" s="617">
        <v>9356.57</v>
      </c>
      <c r="S18" s="617">
        <v>15177.8</v>
      </c>
      <c r="T18" s="617">
        <v>9824.02</v>
      </c>
      <c r="U18" s="617"/>
      <c r="V18" s="616"/>
      <c r="W18" s="616"/>
      <c r="X18" s="616"/>
      <c r="Y18" s="125"/>
      <c r="Z18" s="125"/>
      <c r="AA18"/>
    </row>
    <row r="19" spans="1:27" s="31" customFormat="1" ht="29.1" customHeight="1" thickBot="1" x14ac:dyDescent="0.3">
      <c r="A19" s="564" t="s">
        <v>219</v>
      </c>
      <c r="B19" s="565" t="s">
        <v>621</v>
      </c>
      <c r="C19" s="545" t="s">
        <v>1003</v>
      </c>
      <c r="D19" s="546" t="s">
        <v>774</v>
      </c>
      <c r="E19" s="547">
        <v>97900</v>
      </c>
      <c r="F19" s="136">
        <f t="shared" si="0"/>
        <v>87537.3</v>
      </c>
      <c r="G19" s="608">
        <f t="shared" si="1"/>
        <v>10362.699999999997</v>
      </c>
      <c r="H19" s="616"/>
      <c r="I19" s="616"/>
      <c r="J19" s="617"/>
      <c r="K19" s="618">
        <v>3793.23</v>
      </c>
      <c r="L19" s="580">
        <v>11201.41</v>
      </c>
      <c r="M19" s="617">
        <v>9492.75</v>
      </c>
      <c r="N19" s="580">
        <v>7085.56</v>
      </c>
      <c r="O19" s="617">
        <v>6552.68</v>
      </c>
      <c r="P19" s="617">
        <v>7119</v>
      </c>
      <c r="Q19" s="617">
        <v>8127.32</v>
      </c>
      <c r="R19" s="617">
        <v>8371.8700000000008</v>
      </c>
      <c r="S19" s="617">
        <v>18490.310000000001</v>
      </c>
      <c r="T19" s="617">
        <v>7303.17</v>
      </c>
      <c r="U19" s="617"/>
      <c r="V19" s="616"/>
      <c r="W19" s="616"/>
      <c r="X19" s="616"/>
      <c r="Y19" s="55"/>
      <c r="Z19" s="55"/>
      <c r="AA19"/>
    </row>
    <row r="20" spans="1:27" s="31" customFormat="1" ht="29.1" customHeight="1" thickBot="1" x14ac:dyDescent="0.3">
      <c r="A20" s="564" t="s">
        <v>219</v>
      </c>
      <c r="B20" s="565" t="s">
        <v>621</v>
      </c>
      <c r="C20" s="545" t="s">
        <v>1004</v>
      </c>
      <c r="D20" s="546" t="s">
        <v>777</v>
      </c>
      <c r="E20" s="547">
        <v>126194</v>
      </c>
      <c r="F20" s="136">
        <f t="shared" si="0"/>
        <v>112192.71</v>
      </c>
      <c r="G20" s="608">
        <f t="shared" si="1"/>
        <v>14001.289999999994</v>
      </c>
      <c r="H20" s="616"/>
      <c r="I20" s="616"/>
      <c r="J20" s="617"/>
      <c r="K20" s="618">
        <v>10930.93</v>
      </c>
      <c r="L20" s="617">
        <v>16948.96</v>
      </c>
      <c r="M20" s="617">
        <v>14622.81</v>
      </c>
      <c r="N20" s="580">
        <v>7782.98</v>
      </c>
      <c r="O20" s="617">
        <v>4906.1499999999996</v>
      </c>
      <c r="P20" s="617">
        <v>9450.2900000000009</v>
      </c>
      <c r="Q20" s="617">
        <v>9462.58</v>
      </c>
      <c r="R20" s="617">
        <v>10567.19</v>
      </c>
      <c r="S20" s="617">
        <v>17336.150000000001</v>
      </c>
      <c r="T20" s="617">
        <v>10184.67</v>
      </c>
      <c r="U20" s="617"/>
      <c r="V20" s="616"/>
      <c r="W20" s="616"/>
      <c r="X20" s="616"/>
      <c r="Y20" s="55"/>
      <c r="Z20" s="55"/>
      <c r="AA20"/>
    </row>
    <row r="21" spans="1:27" s="31" customFormat="1" ht="29.1" customHeight="1" thickBot="1" x14ac:dyDescent="0.3">
      <c r="A21" s="564" t="s">
        <v>219</v>
      </c>
      <c r="B21" s="565" t="s">
        <v>621</v>
      </c>
      <c r="C21" s="545" t="s">
        <v>1005</v>
      </c>
      <c r="D21" s="546" t="s">
        <v>775</v>
      </c>
      <c r="E21" s="547">
        <v>127964</v>
      </c>
      <c r="F21" s="136">
        <f t="shared" si="0"/>
        <v>127964</v>
      </c>
      <c r="G21" s="608">
        <f t="shared" si="1"/>
        <v>0</v>
      </c>
      <c r="H21" s="616"/>
      <c r="I21" s="616"/>
      <c r="J21" s="617"/>
      <c r="K21" s="618">
        <v>11248.25</v>
      </c>
      <c r="L21" s="617">
        <v>18444.84</v>
      </c>
      <c r="M21" s="617">
        <v>14780.6</v>
      </c>
      <c r="N21" s="580">
        <v>9879.6</v>
      </c>
      <c r="O21" s="617">
        <v>8484.98</v>
      </c>
      <c r="P21" s="617">
        <v>9836.51</v>
      </c>
      <c r="Q21" s="617">
        <v>10199.709999999999</v>
      </c>
      <c r="R21" s="617">
        <v>10653.94</v>
      </c>
      <c r="S21" s="617">
        <v>19724.36</v>
      </c>
      <c r="T21" s="617">
        <v>14711.21</v>
      </c>
      <c r="U21" s="617"/>
      <c r="V21" s="616"/>
      <c r="W21" s="616"/>
      <c r="X21" s="616"/>
      <c r="Y21" s="55"/>
      <c r="Z21" s="55"/>
      <c r="AA21" s="100"/>
    </row>
    <row r="22" spans="1:27" s="31" customFormat="1" ht="29.1" customHeight="1" thickBot="1" x14ac:dyDescent="0.3">
      <c r="A22" s="543" t="s">
        <v>90</v>
      </c>
      <c r="B22" s="544" t="s">
        <v>622</v>
      </c>
      <c r="C22" s="545" t="s">
        <v>1006</v>
      </c>
      <c r="D22" s="546" t="s">
        <v>779</v>
      </c>
      <c r="E22" s="566">
        <v>150000</v>
      </c>
      <c r="F22" s="136">
        <f t="shared" si="0"/>
        <v>150000</v>
      </c>
      <c r="G22" s="608">
        <f t="shared" si="1"/>
        <v>0</v>
      </c>
      <c r="H22" s="616"/>
      <c r="I22" s="616"/>
      <c r="J22" s="617"/>
      <c r="K22" s="618">
        <v>771.97</v>
      </c>
      <c r="L22" s="580">
        <v>4941.32</v>
      </c>
      <c r="M22" s="617"/>
      <c r="N22" s="580">
        <v>19788.759999999998</v>
      </c>
      <c r="O22" s="617">
        <v>13481.31</v>
      </c>
      <c r="P22" s="617">
        <v>16961.560000000001</v>
      </c>
      <c r="Q22" s="617">
        <v>18435.400000000001</v>
      </c>
      <c r="R22" s="617">
        <v>16148.09</v>
      </c>
      <c r="S22" s="617">
        <v>14883.4</v>
      </c>
      <c r="T22" s="617">
        <f>28527.99+16060.2</f>
        <v>44588.19</v>
      </c>
      <c r="U22" s="617"/>
      <c r="V22" s="616"/>
      <c r="W22" s="616"/>
      <c r="X22" s="616"/>
      <c r="Y22" s="55"/>
      <c r="Z22" s="55"/>
      <c r="AA22"/>
    </row>
    <row r="23" spans="1:27" s="31" customFormat="1" ht="28.5" customHeight="1" thickBot="1" x14ac:dyDescent="0.3">
      <c r="A23" s="543">
        <v>8001</v>
      </c>
      <c r="B23" s="544" t="s">
        <v>156</v>
      </c>
      <c r="C23" s="545">
        <v>657</v>
      </c>
      <c r="D23" s="546" t="s">
        <v>781</v>
      </c>
      <c r="E23" s="566">
        <v>145747</v>
      </c>
      <c r="F23" s="136">
        <f t="shared" si="0"/>
        <v>121040.77</v>
      </c>
      <c r="G23" s="136">
        <f t="shared" si="1"/>
        <v>24706.229999999996</v>
      </c>
      <c r="H23" s="137"/>
      <c r="I23" s="137"/>
      <c r="J23" s="561"/>
      <c r="K23" s="561"/>
      <c r="L23" s="613">
        <v>23253.4</v>
      </c>
      <c r="M23" s="576"/>
      <c r="N23" s="554">
        <v>30707.4</v>
      </c>
      <c r="O23" s="576"/>
      <c r="P23" s="614">
        <v>29117.59</v>
      </c>
      <c r="Q23" s="614"/>
      <c r="R23" s="561">
        <f>28985</f>
        <v>28985</v>
      </c>
      <c r="S23" s="561"/>
      <c r="T23" s="561">
        <v>8977.3799999999992</v>
      </c>
      <c r="U23" s="561"/>
      <c r="V23" s="137"/>
      <c r="W23" s="137"/>
      <c r="X23" s="137"/>
      <c r="Y23" s="55"/>
      <c r="Z23" s="55"/>
      <c r="AA23"/>
    </row>
    <row r="24" spans="1:27" s="31" customFormat="1" ht="29.1" customHeight="1" thickBot="1" x14ac:dyDescent="0.3">
      <c r="A24" s="543">
        <v>1010</v>
      </c>
      <c r="B24" s="544" t="s">
        <v>208</v>
      </c>
      <c r="C24" s="545">
        <v>7482</v>
      </c>
      <c r="D24" s="546" t="s">
        <v>780</v>
      </c>
      <c r="E24" s="567">
        <v>85557.86</v>
      </c>
      <c r="F24" s="136">
        <f t="shared" si="0"/>
        <v>27456.17</v>
      </c>
      <c r="G24" s="136">
        <f t="shared" si="1"/>
        <v>58101.69</v>
      </c>
      <c r="H24" s="137"/>
      <c r="I24" s="137"/>
      <c r="J24" s="561"/>
      <c r="K24" s="561"/>
      <c r="L24" s="554"/>
      <c r="M24" s="609">
        <v>7146.45</v>
      </c>
      <c r="N24" s="612">
        <v>8118.72</v>
      </c>
      <c r="O24" s="609"/>
      <c r="P24" s="609"/>
      <c r="Q24" s="609"/>
      <c r="R24" s="554"/>
      <c r="S24" s="554">
        <v>7829.4</v>
      </c>
      <c r="T24" s="561">
        <v>4361.6000000000004</v>
      </c>
      <c r="U24" s="561"/>
      <c r="V24" s="137"/>
      <c r="W24" s="137"/>
      <c r="X24" s="137"/>
      <c r="Y24" s="55"/>
      <c r="Z24" s="55"/>
      <c r="AA24"/>
    </row>
    <row r="25" spans="1:27" s="31" customFormat="1" ht="29.1" customHeight="1" thickBot="1" x14ac:dyDescent="0.3">
      <c r="A25" s="543" t="s">
        <v>216</v>
      </c>
      <c r="B25" s="544" t="s">
        <v>227</v>
      </c>
      <c r="C25" s="545" t="s">
        <v>1007</v>
      </c>
      <c r="D25" s="546" t="s">
        <v>782</v>
      </c>
      <c r="E25" s="547">
        <v>70000</v>
      </c>
      <c r="F25" s="136">
        <f t="shared" si="0"/>
        <v>70000.000000000015</v>
      </c>
      <c r="G25" s="608">
        <f t="shared" si="1"/>
        <v>0</v>
      </c>
      <c r="H25" s="616"/>
      <c r="I25" s="616"/>
      <c r="J25" s="618">
        <v>13483.36</v>
      </c>
      <c r="K25" s="617"/>
      <c r="L25" s="617"/>
      <c r="M25" s="617">
        <v>18869.77</v>
      </c>
      <c r="N25" s="617"/>
      <c r="O25" s="617"/>
      <c r="P25" s="617"/>
      <c r="Q25" s="617">
        <v>20035.060000000001</v>
      </c>
      <c r="R25" s="617"/>
      <c r="S25" s="617">
        <v>14992.74</v>
      </c>
      <c r="T25" s="617">
        <v>2619.0700000000002</v>
      </c>
      <c r="U25" s="617"/>
      <c r="V25" s="616"/>
      <c r="W25" s="616"/>
      <c r="X25" s="616"/>
      <c r="Y25" s="55"/>
      <c r="Z25" s="55"/>
      <c r="AA25"/>
    </row>
    <row r="26" spans="1:27" s="31" customFormat="1" ht="29.1" customHeight="1" thickBot="1" x14ac:dyDescent="0.3">
      <c r="A26" s="543">
        <v>1420</v>
      </c>
      <c r="B26" s="544" t="s">
        <v>78</v>
      </c>
      <c r="C26" s="545">
        <v>4422</v>
      </c>
      <c r="D26" s="546" t="s">
        <v>783</v>
      </c>
      <c r="E26" s="547">
        <v>150000</v>
      </c>
      <c r="F26" s="136">
        <f t="shared" si="0"/>
        <v>112554.31999999999</v>
      </c>
      <c r="G26" s="136">
        <f t="shared" si="1"/>
        <v>37445.680000000008</v>
      </c>
      <c r="H26" s="137"/>
      <c r="I26" s="137"/>
      <c r="J26" s="561"/>
      <c r="K26" s="561"/>
      <c r="L26" s="551">
        <v>21691.87</v>
      </c>
      <c r="M26" s="576">
        <v>9046.2099999999991</v>
      </c>
      <c r="N26" s="551">
        <v>8060.59</v>
      </c>
      <c r="O26" s="568">
        <v>5481.54</v>
      </c>
      <c r="P26" s="568">
        <v>8976.0400000000009</v>
      </c>
      <c r="Q26" s="568">
        <v>8462.35</v>
      </c>
      <c r="R26" s="554">
        <v>8579</v>
      </c>
      <c r="S26" s="561">
        <v>13133.21</v>
      </c>
      <c r="T26" s="561">
        <v>29123.51</v>
      </c>
      <c r="U26" s="561"/>
      <c r="V26" s="137"/>
      <c r="W26" s="137"/>
      <c r="X26" s="137"/>
      <c r="Y26" s="55"/>
      <c r="Z26" s="55"/>
      <c r="AA26"/>
    </row>
    <row r="27" spans="1:27" s="31" customFormat="1" ht="29.1" customHeight="1" thickBot="1" x14ac:dyDescent="0.3">
      <c r="A27" s="543">
        <v>1420</v>
      </c>
      <c r="B27" s="544" t="s">
        <v>78</v>
      </c>
      <c r="C27" s="545">
        <v>5354</v>
      </c>
      <c r="D27" s="546" t="s">
        <v>784</v>
      </c>
      <c r="E27" s="569">
        <v>150000</v>
      </c>
      <c r="F27" s="136">
        <f t="shared" si="0"/>
        <v>129950.98999999999</v>
      </c>
      <c r="G27" s="136">
        <f t="shared" si="1"/>
        <v>20049.010000000009</v>
      </c>
      <c r="H27" s="137"/>
      <c r="I27" s="137"/>
      <c r="J27" s="570"/>
      <c r="K27" s="562">
        <v>9085.14</v>
      </c>
      <c r="L27" s="551">
        <v>9901.1</v>
      </c>
      <c r="M27" s="552">
        <v>13396.28</v>
      </c>
      <c r="N27" s="551">
        <v>17067.55</v>
      </c>
      <c r="O27" s="568">
        <v>9735.26</v>
      </c>
      <c r="P27" s="568">
        <v>9319.7900000000009</v>
      </c>
      <c r="Q27" s="568">
        <v>17846.259999999998</v>
      </c>
      <c r="R27" s="561">
        <v>12368.48</v>
      </c>
      <c r="S27" s="561">
        <v>14627.25</v>
      </c>
      <c r="T27" s="561">
        <v>16603.88</v>
      </c>
      <c r="U27" s="561"/>
      <c r="V27" s="137"/>
      <c r="W27" s="137"/>
      <c r="X27" s="137"/>
      <c r="Y27" s="55"/>
      <c r="Z27" s="55"/>
      <c r="AA27"/>
    </row>
    <row r="28" spans="1:27" s="31" customFormat="1" ht="29.1" customHeight="1" thickBot="1" x14ac:dyDescent="0.3">
      <c r="A28" s="543">
        <v>1420</v>
      </c>
      <c r="B28" s="544" t="s">
        <v>78</v>
      </c>
      <c r="C28" s="545">
        <v>8223</v>
      </c>
      <c r="D28" s="546" t="s">
        <v>785</v>
      </c>
      <c r="E28" s="547">
        <v>150000</v>
      </c>
      <c r="F28" s="136">
        <f t="shared" si="0"/>
        <v>118947.09</v>
      </c>
      <c r="G28" s="136">
        <f t="shared" si="1"/>
        <v>31052.910000000003</v>
      </c>
      <c r="H28" s="137"/>
      <c r="I28" s="137"/>
      <c r="J28" s="561"/>
      <c r="K28" s="562">
        <v>6343.2</v>
      </c>
      <c r="L28" s="551">
        <v>9319.57</v>
      </c>
      <c r="M28" s="609">
        <v>13158.51</v>
      </c>
      <c r="N28" s="551">
        <v>15662.94</v>
      </c>
      <c r="O28" s="568">
        <v>9674.85</v>
      </c>
      <c r="P28" s="568">
        <v>8853.73</v>
      </c>
      <c r="Q28" s="568">
        <v>13660.36</v>
      </c>
      <c r="R28" s="561">
        <v>9911.98</v>
      </c>
      <c r="S28" s="561">
        <v>15881.14</v>
      </c>
      <c r="T28" s="561">
        <v>16480.810000000001</v>
      </c>
      <c r="U28" s="561"/>
      <c r="V28" s="137"/>
      <c r="W28" s="137"/>
      <c r="X28" s="137"/>
      <c r="Y28" s="55"/>
      <c r="Z28" s="55"/>
      <c r="AA28"/>
    </row>
    <row r="29" spans="1:27" s="31" customFormat="1" ht="29.1" customHeight="1" thickBot="1" x14ac:dyDescent="0.3">
      <c r="A29" s="543" t="s">
        <v>218</v>
      </c>
      <c r="B29" s="544" t="s">
        <v>627</v>
      </c>
      <c r="C29" s="545" t="s">
        <v>1008</v>
      </c>
      <c r="D29" s="546" t="s">
        <v>786</v>
      </c>
      <c r="E29" s="567">
        <v>112612.78</v>
      </c>
      <c r="F29" s="136">
        <f t="shared" si="0"/>
        <v>104998.01000000001</v>
      </c>
      <c r="G29" s="608">
        <f t="shared" si="1"/>
        <v>7614.7699999999895</v>
      </c>
      <c r="H29" s="616"/>
      <c r="I29" s="616"/>
      <c r="J29" s="618">
        <v>2220.09</v>
      </c>
      <c r="K29" s="618">
        <v>6023.99</v>
      </c>
      <c r="L29" s="580">
        <v>3001.95</v>
      </c>
      <c r="M29" s="617">
        <v>4874.7</v>
      </c>
      <c r="N29" s="617"/>
      <c r="O29" s="619">
        <v>10037.200000000001</v>
      </c>
      <c r="P29" s="619">
        <v>6860.64</v>
      </c>
      <c r="Q29" s="619">
        <v>10196.77</v>
      </c>
      <c r="R29" s="617">
        <v>8697.52</v>
      </c>
      <c r="S29" s="617">
        <v>23681.49</v>
      </c>
      <c r="T29" s="617"/>
      <c r="U29" s="617">
        <v>29403.66</v>
      </c>
      <c r="V29" s="616"/>
      <c r="W29" s="616"/>
      <c r="X29" s="616"/>
      <c r="Y29" s="55"/>
      <c r="Z29" s="55"/>
      <c r="AA29"/>
    </row>
    <row r="30" spans="1:27" s="31" customFormat="1" ht="29.1" customHeight="1" thickBot="1" x14ac:dyDescent="0.3">
      <c r="A30" s="357" t="s">
        <v>217</v>
      </c>
      <c r="B30" s="356" t="s">
        <v>627</v>
      </c>
      <c r="C30" s="358" t="s">
        <v>217</v>
      </c>
      <c r="D30" s="571" t="s">
        <v>787</v>
      </c>
      <c r="E30" s="572">
        <v>141000</v>
      </c>
      <c r="F30" s="136">
        <f t="shared" si="0"/>
        <v>119369.67000000001</v>
      </c>
      <c r="G30" s="608">
        <f t="shared" si="1"/>
        <v>21630.329999999987</v>
      </c>
      <c r="H30" s="616"/>
      <c r="I30" s="616"/>
      <c r="J30" s="618">
        <v>2220.09</v>
      </c>
      <c r="K30" s="618">
        <v>6574.3</v>
      </c>
      <c r="L30" s="580">
        <v>5465.29</v>
      </c>
      <c r="M30" s="617">
        <v>5296.17</v>
      </c>
      <c r="N30" s="617"/>
      <c r="O30" s="619">
        <v>11872.04</v>
      </c>
      <c r="P30" s="619">
        <v>8317.59</v>
      </c>
      <c r="Q30" s="619">
        <f>10914.81+8703.99</f>
        <v>19618.8</v>
      </c>
      <c r="R30" s="617">
        <v>14501.66</v>
      </c>
      <c r="S30" s="617"/>
      <c r="T30" s="617"/>
      <c r="U30" s="617">
        <v>45503.73</v>
      </c>
      <c r="V30" s="616"/>
      <c r="W30" s="616"/>
      <c r="X30" s="616"/>
      <c r="Y30" s="55"/>
      <c r="Z30" s="55"/>
      <c r="AA30"/>
    </row>
    <row r="31" spans="1:27" s="31" customFormat="1" ht="29.1" customHeight="1" thickBot="1" x14ac:dyDescent="0.3">
      <c r="A31" s="573" t="s">
        <v>761</v>
      </c>
      <c r="B31" s="574" t="s">
        <v>760</v>
      </c>
      <c r="C31" s="575" t="s">
        <v>761</v>
      </c>
      <c r="D31" s="571" t="s">
        <v>788</v>
      </c>
      <c r="E31" s="572">
        <v>109500</v>
      </c>
      <c r="F31" s="136">
        <f t="shared" si="0"/>
        <v>94897.680000000008</v>
      </c>
      <c r="G31" s="608">
        <f t="shared" si="1"/>
        <v>14602.319999999992</v>
      </c>
      <c r="H31" s="616"/>
      <c r="I31" s="616"/>
      <c r="J31" s="617"/>
      <c r="K31" s="617"/>
      <c r="L31" s="581">
        <v>14783</v>
      </c>
      <c r="M31" s="617">
        <v>5514</v>
      </c>
      <c r="N31" s="580">
        <v>14172.94</v>
      </c>
      <c r="O31" s="620">
        <v>6706.97</v>
      </c>
      <c r="P31" s="620"/>
      <c r="Q31" s="620">
        <f>11091.62+6181.37</f>
        <v>17272.990000000002</v>
      </c>
      <c r="R31" s="620">
        <v>7794.49</v>
      </c>
      <c r="S31" s="617">
        <v>16601.009999999998</v>
      </c>
      <c r="T31" s="617">
        <v>12052.28</v>
      </c>
      <c r="U31" s="617"/>
      <c r="V31" s="616"/>
      <c r="W31" s="616"/>
      <c r="X31" s="616"/>
      <c r="Y31" s="55"/>
      <c r="Z31" s="55"/>
      <c r="AA31"/>
    </row>
    <row r="32" spans="1:27" s="31" customFormat="1" ht="29.1" customHeight="1" thickBot="1" x14ac:dyDescent="0.3">
      <c r="A32" s="573" t="s">
        <v>762</v>
      </c>
      <c r="B32" s="574" t="s">
        <v>229</v>
      </c>
      <c r="C32" s="575" t="s">
        <v>1009</v>
      </c>
      <c r="D32" s="571" t="s">
        <v>793</v>
      </c>
      <c r="E32" s="572">
        <v>150000</v>
      </c>
      <c r="F32" s="136">
        <f t="shared" si="0"/>
        <v>150000</v>
      </c>
      <c r="G32" s="608">
        <f t="shared" si="1"/>
        <v>0</v>
      </c>
      <c r="H32" s="616"/>
      <c r="I32" s="616"/>
      <c r="J32" s="617">
        <v>7238.38</v>
      </c>
      <c r="K32" s="618">
        <v>11380.7</v>
      </c>
      <c r="L32" s="580">
        <v>22922.74</v>
      </c>
      <c r="M32" s="617">
        <v>10737.69</v>
      </c>
      <c r="N32" s="580">
        <v>15457.4</v>
      </c>
      <c r="O32" s="620">
        <v>9736.19</v>
      </c>
      <c r="P32" s="620">
        <v>16121.95</v>
      </c>
      <c r="Q32" s="620">
        <v>22659.24</v>
      </c>
      <c r="R32" s="617">
        <v>18225.28</v>
      </c>
      <c r="S32" s="617">
        <v>7750.43</v>
      </c>
      <c r="T32" s="617">
        <v>7770</v>
      </c>
      <c r="U32" s="617"/>
      <c r="V32" s="616"/>
      <c r="W32" s="616"/>
      <c r="X32" s="616"/>
      <c r="Y32" s="55"/>
      <c r="Z32" s="55"/>
      <c r="AA32"/>
    </row>
    <row r="33" spans="1:27" s="31" customFormat="1" ht="29.1" customHeight="1" thickBot="1" x14ac:dyDescent="0.3">
      <c r="A33" s="573" t="s">
        <v>762</v>
      </c>
      <c r="B33" s="574" t="s">
        <v>229</v>
      </c>
      <c r="C33" s="575" t="s">
        <v>1010</v>
      </c>
      <c r="D33" s="571" t="s">
        <v>790</v>
      </c>
      <c r="E33" s="572">
        <v>150000</v>
      </c>
      <c r="F33" s="136">
        <f t="shared" si="0"/>
        <v>144625.74999999997</v>
      </c>
      <c r="G33" s="608">
        <f t="shared" si="1"/>
        <v>5374.2500000000291</v>
      </c>
      <c r="H33" s="616"/>
      <c r="I33" s="616"/>
      <c r="J33" s="617">
        <v>11885.62</v>
      </c>
      <c r="K33" s="618">
        <v>12040.92</v>
      </c>
      <c r="L33" s="580">
        <v>20883.91</v>
      </c>
      <c r="M33" s="617">
        <v>8770.81</v>
      </c>
      <c r="N33" s="580">
        <v>8401.15</v>
      </c>
      <c r="O33" s="620">
        <v>6682.68</v>
      </c>
      <c r="P33" s="620">
        <v>16544.75</v>
      </c>
      <c r="Q33" s="620">
        <v>19267.59</v>
      </c>
      <c r="R33" s="617">
        <v>17552.2</v>
      </c>
      <c r="S33" s="617">
        <v>8820.82</v>
      </c>
      <c r="T33" s="617">
        <v>13775.3</v>
      </c>
      <c r="U33" s="617"/>
      <c r="V33" s="616"/>
      <c r="W33" s="616"/>
      <c r="X33" s="616"/>
      <c r="Y33" s="55"/>
      <c r="Z33" s="55"/>
      <c r="AA33"/>
    </row>
    <row r="34" spans="1:27" s="31" customFormat="1" ht="29.1" customHeight="1" thickBot="1" x14ac:dyDescent="0.3">
      <c r="A34" s="573" t="s">
        <v>762</v>
      </c>
      <c r="B34" s="574" t="s">
        <v>229</v>
      </c>
      <c r="C34" s="575" t="s">
        <v>1011</v>
      </c>
      <c r="D34" s="571" t="s">
        <v>791</v>
      </c>
      <c r="E34" s="572">
        <v>150000</v>
      </c>
      <c r="F34" s="136">
        <f t="shared" si="0"/>
        <v>150000</v>
      </c>
      <c r="G34" s="608">
        <f t="shared" si="1"/>
        <v>0</v>
      </c>
      <c r="H34" s="616"/>
      <c r="I34" s="616"/>
      <c r="J34" s="617">
        <v>11704.38</v>
      </c>
      <c r="K34" s="618">
        <v>16449.2</v>
      </c>
      <c r="L34" s="580">
        <v>19868.18</v>
      </c>
      <c r="M34" s="617">
        <v>8791.42</v>
      </c>
      <c r="N34" s="580">
        <v>11145.25</v>
      </c>
      <c r="O34" s="620">
        <v>9086.23</v>
      </c>
      <c r="P34" s="620">
        <v>16897.27</v>
      </c>
      <c r="Q34" s="620">
        <v>21415.41</v>
      </c>
      <c r="R34" s="617">
        <v>16537.46</v>
      </c>
      <c r="S34" s="617">
        <v>8836.9500000000007</v>
      </c>
      <c r="T34" s="617">
        <v>9268.25</v>
      </c>
      <c r="U34" s="617"/>
      <c r="V34" s="616"/>
      <c r="W34" s="616"/>
      <c r="X34" s="616"/>
      <c r="Y34" s="55"/>
      <c r="Z34" s="55"/>
      <c r="AA34"/>
    </row>
    <row r="35" spans="1:27" s="31" customFormat="1" ht="29.1" customHeight="1" thickBot="1" x14ac:dyDescent="0.3">
      <c r="A35" s="573" t="s">
        <v>762</v>
      </c>
      <c r="B35" s="574" t="s">
        <v>229</v>
      </c>
      <c r="C35" s="575" t="s">
        <v>1012</v>
      </c>
      <c r="D35" s="571" t="s">
        <v>794</v>
      </c>
      <c r="E35" s="572">
        <v>150000</v>
      </c>
      <c r="F35" s="136">
        <f t="shared" si="0"/>
        <v>150000</v>
      </c>
      <c r="G35" s="608">
        <f t="shared" si="1"/>
        <v>0</v>
      </c>
      <c r="H35" s="616"/>
      <c r="I35" s="616"/>
      <c r="J35" s="617">
        <v>18922.47</v>
      </c>
      <c r="K35" s="618">
        <v>19302.27</v>
      </c>
      <c r="L35" s="580">
        <v>26016.91</v>
      </c>
      <c r="M35" s="617">
        <v>9391.48</v>
      </c>
      <c r="N35" s="580">
        <v>7631.03</v>
      </c>
      <c r="O35" s="620">
        <v>7578.2</v>
      </c>
      <c r="P35" s="620">
        <v>12308.31</v>
      </c>
      <c r="Q35" s="620">
        <v>16716.48</v>
      </c>
      <c r="R35" s="617">
        <v>12024.24</v>
      </c>
      <c r="S35" s="617">
        <v>13343.23</v>
      </c>
      <c r="T35" s="617">
        <v>6765.38</v>
      </c>
      <c r="U35" s="617"/>
      <c r="V35" s="616"/>
      <c r="W35" s="616"/>
      <c r="X35" s="616"/>
      <c r="Y35" s="55"/>
      <c r="Z35" s="55"/>
      <c r="AA35"/>
    </row>
    <row r="36" spans="1:27" s="31" customFormat="1" ht="29.1" customHeight="1" thickBot="1" x14ac:dyDescent="0.3">
      <c r="A36" s="573" t="s">
        <v>763</v>
      </c>
      <c r="B36" s="574" t="s">
        <v>229</v>
      </c>
      <c r="C36" s="575" t="s">
        <v>763</v>
      </c>
      <c r="D36" s="571" t="s">
        <v>795</v>
      </c>
      <c r="E36" s="572">
        <v>150000</v>
      </c>
      <c r="F36" s="136">
        <f t="shared" si="0"/>
        <v>150000</v>
      </c>
      <c r="G36" s="608">
        <f t="shared" si="1"/>
        <v>0</v>
      </c>
      <c r="H36" s="616"/>
      <c r="I36" s="616"/>
      <c r="J36" s="617">
        <v>14454.53</v>
      </c>
      <c r="K36" s="618">
        <v>15471.3</v>
      </c>
      <c r="L36" s="580">
        <v>21977.89</v>
      </c>
      <c r="M36" s="617">
        <v>9017.65</v>
      </c>
      <c r="N36" s="580">
        <v>11372.71</v>
      </c>
      <c r="O36" s="620">
        <v>6293.51</v>
      </c>
      <c r="P36" s="620">
        <v>13060.12</v>
      </c>
      <c r="Q36" s="620">
        <v>18526.78</v>
      </c>
      <c r="R36" s="617">
        <v>13696.89</v>
      </c>
      <c r="S36" s="617">
        <v>10211.620000000001</v>
      </c>
      <c r="T36" s="617">
        <v>15917</v>
      </c>
      <c r="U36" s="617"/>
      <c r="V36" s="616"/>
      <c r="W36" s="616"/>
      <c r="X36" s="616"/>
      <c r="Y36" s="55"/>
      <c r="Z36" s="55"/>
      <c r="AA36"/>
    </row>
    <row r="37" spans="1:27" s="31" customFormat="1" ht="29.1" customHeight="1" thickBot="1" x14ac:dyDescent="0.3">
      <c r="A37" s="573" t="s">
        <v>762</v>
      </c>
      <c r="B37" s="574" t="s">
        <v>229</v>
      </c>
      <c r="C37" s="575" t="s">
        <v>1013</v>
      </c>
      <c r="D37" s="571" t="s">
        <v>792</v>
      </c>
      <c r="E37" s="572">
        <v>150000</v>
      </c>
      <c r="F37" s="136">
        <f t="shared" si="0"/>
        <v>149999.99999999997</v>
      </c>
      <c r="G37" s="608">
        <f t="shared" si="1"/>
        <v>0</v>
      </c>
      <c r="H37" s="616"/>
      <c r="I37" s="621"/>
      <c r="J37" s="617">
        <v>7822.25</v>
      </c>
      <c r="K37" s="618">
        <v>9656.34</v>
      </c>
      <c r="L37" s="580">
        <v>17286.64</v>
      </c>
      <c r="M37" s="617">
        <v>9359.98</v>
      </c>
      <c r="N37" s="580">
        <v>13369.88</v>
      </c>
      <c r="O37" s="620">
        <v>9537.83</v>
      </c>
      <c r="P37" s="620">
        <v>15488.01</v>
      </c>
      <c r="Q37" s="620">
        <v>19888.12</v>
      </c>
      <c r="R37" s="617">
        <v>17887.11</v>
      </c>
      <c r="S37" s="617">
        <v>14804.84</v>
      </c>
      <c r="T37" s="617">
        <v>14899</v>
      </c>
      <c r="U37" s="617"/>
      <c r="V37" s="616"/>
      <c r="W37" s="616"/>
      <c r="X37" s="616"/>
      <c r="Y37" s="55"/>
      <c r="Z37" s="55"/>
      <c r="AA37"/>
    </row>
    <row r="38" spans="1:27" s="31" customFormat="1" ht="29.1" customHeight="1" thickBot="1" x14ac:dyDescent="0.3">
      <c r="A38" s="573" t="s">
        <v>762</v>
      </c>
      <c r="B38" s="574" t="s">
        <v>229</v>
      </c>
      <c r="C38" s="575" t="s">
        <v>762</v>
      </c>
      <c r="D38" s="571" t="s">
        <v>789</v>
      </c>
      <c r="E38" s="572">
        <v>150000</v>
      </c>
      <c r="F38" s="136">
        <f t="shared" si="0"/>
        <v>149999.99999999997</v>
      </c>
      <c r="G38" s="608">
        <f t="shared" si="1"/>
        <v>0</v>
      </c>
      <c r="H38" s="616"/>
      <c r="I38" s="616"/>
      <c r="J38" s="618">
        <v>6831.94</v>
      </c>
      <c r="K38" s="618">
        <v>9714.42</v>
      </c>
      <c r="L38" s="580">
        <v>18891.86</v>
      </c>
      <c r="M38" s="617">
        <v>8526.85</v>
      </c>
      <c r="N38" s="580">
        <v>14213.03</v>
      </c>
      <c r="O38" s="620">
        <v>5996.99</v>
      </c>
      <c r="P38" s="620">
        <v>16708.46</v>
      </c>
      <c r="Q38" s="620">
        <v>22864.81</v>
      </c>
      <c r="R38" s="617">
        <v>18937.05</v>
      </c>
      <c r="S38" s="617">
        <v>14184.63</v>
      </c>
      <c r="T38" s="617">
        <v>13129.96</v>
      </c>
      <c r="U38" s="617"/>
      <c r="V38" s="616"/>
      <c r="W38" s="616"/>
      <c r="X38" s="616"/>
      <c r="Y38" s="55"/>
      <c r="Z38" s="55"/>
      <c r="AA38"/>
    </row>
    <row r="39" spans="1:27" s="31" customFormat="1" ht="29.1" customHeight="1" thickBot="1" x14ac:dyDescent="0.3">
      <c r="A39" s="573" t="s">
        <v>764</v>
      </c>
      <c r="B39" s="574" t="s">
        <v>758</v>
      </c>
      <c r="C39" s="575">
        <v>24</v>
      </c>
      <c r="D39" s="571" t="s">
        <v>796</v>
      </c>
      <c r="E39" s="572">
        <v>150000</v>
      </c>
      <c r="F39" s="136">
        <f t="shared" si="0"/>
        <v>0</v>
      </c>
      <c r="G39" s="608">
        <f t="shared" si="1"/>
        <v>150000</v>
      </c>
      <c r="H39" s="616"/>
      <c r="I39" s="616"/>
      <c r="J39" s="617"/>
      <c r="K39" s="617"/>
      <c r="L39" s="580">
        <v>10000</v>
      </c>
      <c r="M39" s="617"/>
      <c r="N39" s="617"/>
      <c r="O39" s="617"/>
      <c r="P39" s="617"/>
      <c r="Q39" s="617"/>
      <c r="R39" s="617"/>
      <c r="S39" s="617">
        <v>-10000</v>
      </c>
      <c r="T39" s="617"/>
      <c r="U39" s="617"/>
      <c r="V39" s="616"/>
      <c r="W39" s="616"/>
      <c r="X39" s="616"/>
      <c r="Y39" s="137"/>
      <c r="Z39" s="137"/>
      <c r="AA39"/>
    </row>
    <row r="40" spans="1:27" s="31" customFormat="1" ht="29.1" customHeight="1" thickBot="1" x14ac:dyDescent="0.3">
      <c r="A40" s="573" t="s">
        <v>765</v>
      </c>
      <c r="B40" s="574" t="s">
        <v>759</v>
      </c>
      <c r="C40" s="575" t="s">
        <v>1014</v>
      </c>
      <c r="D40" s="571" t="s">
        <v>797</v>
      </c>
      <c r="E40" s="572">
        <v>59829</v>
      </c>
      <c r="F40" s="136">
        <f t="shared" si="0"/>
        <v>59829</v>
      </c>
      <c r="G40" s="608">
        <f t="shared" si="1"/>
        <v>0</v>
      </c>
      <c r="H40" s="616"/>
      <c r="I40" s="616"/>
      <c r="J40" s="617"/>
      <c r="K40" s="617"/>
      <c r="L40" s="580">
        <v>7252.54</v>
      </c>
      <c r="M40" s="617">
        <v>4313.2700000000004</v>
      </c>
      <c r="N40" s="580">
        <v>3412.07</v>
      </c>
      <c r="O40" s="619">
        <v>5400.6</v>
      </c>
      <c r="P40" s="619"/>
      <c r="Q40" s="619">
        <v>5108.49</v>
      </c>
      <c r="R40" s="617"/>
      <c r="S40" s="617">
        <v>10196</v>
      </c>
      <c r="T40" s="617"/>
      <c r="U40" s="617">
        <f>14456.35+9689.68</f>
        <v>24146.03</v>
      </c>
      <c r="V40" s="616"/>
      <c r="W40" s="616"/>
      <c r="X40" s="616"/>
      <c r="Y40" s="137"/>
      <c r="Z40" s="137"/>
      <c r="AA40"/>
    </row>
    <row r="41" spans="1:27" s="31" customFormat="1" ht="29.1" customHeight="1" thickBot="1" x14ac:dyDescent="0.3">
      <c r="A41" s="573" t="s">
        <v>91</v>
      </c>
      <c r="B41" s="574" t="s">
        <v>381</v>
      </c>
      <c r="C41" s="575" t="s">
        <v>1015</v>
      </c>
      <c r="D41" s="571" t="s">
        <v>798</v>
      </c>
      <c r="E41" s="577">
        <v>140000</v>
      </c>
      <c r="F41" s="136">
        <f t="shared" si="0"/>
        <v>103423.90000000001</v>
      </c>
      <c r="G41" s="608">
        <f t="shared" si="1"/>
        <v>36576.099999999991</v>
      </c>
      <c r="H41" s="616"/>
      <c r="I41" s="616"/>
      <c r="J41" s="617"/>
      <c r="K41" s="617"/>
      <c r="L41" s="617"/>
      <c r="M41" s="617"/>
      <c r="N41" s="580">
        <v>17772.12</v>
      </c>
      <c r="O41" s="620">
        <v>12060.37</v>
      </c>
      <c r="P41" s="620"/>
      <c r="Q41" s="620">
        <f>8637.57+16056.36+12060.37</f>
        <v>36754.300000000003</v>
      </c>
      <c r="R41" s="622"/>
      <c r="S41" s="617"/>
      <c r="T41" s="617">
        <f>10795.12+9258.12+16783.87</f>
        <v>36837.11</v>
      </c>
      <c r="U41" s="617"/>
      <c r="V41" s="616"/>
      <c r="W41" s="616"/>
      <c r="X41" s="616"/>
      <c r="Y41" s="55"/>
      <c r="Z41" s="55"/>
      <c r="AA41"/>
    </row>
    <row r="42" spans="1:27" ht="20.100000000000001" customHeight="1" thickBot="1" x14ac:dyDescent="0.3">
      <c r="E42" s="16"/>
      <c r="F42" s="16"/>
      <c r="G42" s="16"/>
      <c r="L42" s="615"/>
      <c r="M42" s="615"/>
      <c r="N42" s="615"/>
      <c r="O42" s="615"/>
      <c r="P42" s="615"/>
      <c r="Q42" s="615"/>
      <c r="Y42" s="16"/>
      <c r="Z42" s="16"/>
    </row>
    <row r="43" spans="1:27" s="31" customFormat="1" ht="20.100000000000001" customHeight="1" thickBot="1" x14ac:dyDescent="0.3">
      <c r="A43" s="78"/>
      <c r="B43" s="36"/>
      <c r="C43" s="52"/>
      <c r="D43" s="36" t="s">
        <v>44</v>
      </c>
      <c r="E43" s="381">
        <f>SUM(E9:E42)</f>
        <v>4364983.6400000006</v>
      </c>
      <c r="F43" s="381">
        <f t="shared" ref="F43:Z43" si="2">SUM(F9:F42)</f>
        <v>3651788.3</v>
      </c>
      <c r="G43" s="381">
        <f t="shared" si="2"/>
        <v>713195.34</v>
      </c>
      <c r="H43" s="381">
        <f t="shared" si="2"/>
        <v>0</v>
      </c>
      <c r="I43" s="381">
        <f t="shared" si="2"/>
        <v>0</v>
      </c>
      <c r="J43" s="381">
        <f t="shared" si="2"/>
        <v>180466.68999999997</v>
      </c>
      <c r="K43" s="381">
        <f t="shared" si="2"/>
        <v>163932.5</v>
      </c>
      <c r="L43" s="381">
        <f t="shared" si="2"/>
        <v>391857.36</v>
      </c>
      <c r="M43" s="381">
        <f t="shared" si="2"/>
        <v>236501.65000000005</v>
      </c>
      <c r="N43" s="381">
        <f t="shared" si="2"/>
        <v>495316.18000000017</v>
      </c>
      <c r="O43" s="381">
        <f t="shared" si="2"/>
        <v>184886.82</v>
      </c>
      <c r="P43" s="381">
        <f t="shared" si="2"/>
        <v>283697.39000000007</v>
      </c>
      <c r="Q43" s="381">
        <f t="shared" si="2"/>
        <v>368623.22</v>
      </c>
      <c r="R43" s="381">
        <f t="shared" si="2"/>
        <v>487317.75999999995</v>
      </c>
      <c r="S43" s="381">
        <f t="shared" si="2"/>
        <v>382899.16</v>
      </c>
      <c r="T43" s="381">
        <f t="shared" si="2"/>
        <v>349658.66000000003</v>
      </c>
      <c r="U43" s="381">
        <f t="shared" si="2"/>
        <v>126630.91</v>
      </c>
      <c r="V43" s="381">
        <f t="shared" si="2"/>
        <v>0</v>
      </c>
      <c r="W43" s="381">
        <f t="shared" si="2"/>
        <v>0</v>
      </c>
      <c r="X43" s="381">
        <f t="shared" si="2"/>
        <v>0</v>
      </c>
      <c r="Y43" s="381">
        <f t="shared" si="2"/>
        <v>0</v>
      </c>
      <c r="Z43" s="381">
        <f t="shared" si="2"/>
        <v>0</v>
      </c>
    </row>
    <row r="44" spans="1:27" ht="35.25" hidden="1" customHeight="1" thickBot="1" x14ac:dyDescent="0.3">
      <c r="C44" s="16"/>
      <c r="D44" s="16"/>
      <c r="E44" s="16"/>
      <c r="F44" s="55"/>
      <c r="I44" s="55"/>
      <c r="J44" s="203"/>
      <c r="K44" s="55"/>
      <c r="L44" s="55"/>
      <c r="O44" s="55"/>
      <c r="Q44" s="16"/>
      <c r="Y44" s="16"/>
      <c r="Z44" s="16"/>
    </row>
    <row r="45" spans="1:27" ht="33" hidden="1" customHeight="1" x14ac:dyDescent="0.25">
      <c r="C45" s="16"/>
      <c r="D45" s="16"/>
      <c r="E45" s="16"/>
      <c r="J45" s="203"/>
      <c r="K45" s="55"/>
      <c r="M45" s="55"/>
      <c r="N45" s="55"/>
      <c r="O45" s="55"/>
      <c r="Q45" s="203"/>
      <c r="Y45" s="16"/>
      <c r="Z45" s="16"/>
    </row>
    <row r="46" spans="1:27" ht="26.25" hidden="1" customHeight="1" x14ac:dyDescent="0.25">
      <c r="C46" s="16"/>
      <c r="D46" s="16"/>
      <c r="E46" s="16"/>
      <c r="F46" s="55"/>
      <c r="G46" s="55"/>
      <c r="J46" s="135"/>
      <c r="K46" s="55"/>
      <c r="P46" s="55"/>
      <c r="Q46" s="203"/>
      <c r="Y46" s="16"/>
      <c r="Z46" s="16"/>
    </row>
    <row r="47" spans="1:27" ht="33.75" hidden="1" customHeight="1" x14ac:dyDescent="0.25">
      <c r="C47" s="16"/>
      <c r="D47" s="16"/>
      <c r="E47" s="16"/>
      <c r="F47" s="55"/>
      <c r="P47" s="55"/>
      <c r="Q47" s="200"/>
      <c r="Y47" s="16"/>
      <c r="Z47" s="16"/>
    </row>
    <row r="48" spans="1:27" ht="36" hidden="1" customHeight="1" x14ac:dyDescent="0.25">
      <c r="C48" s="16"/>
      <c r="D48" s="16"/>
      <c r="E48" s="16"/>
      <c r="O48" s="55"/>
      <c r="Q48" s="200"/>
      <c r="R48" s="55"/>
      <c r="Y48" s="16"/>
      <c r="Z48" s="16"/>
    </row>
    <row r="49" spans="3:26" ht="29.25" hidden="1" customHeight="1" x14ac:dyDescent="0.25">
      <c r="C49" s="16"/>
      <c r="D49" s="16"/>
      <c r="E49" s="16"/>
      <c r="I49" s="55"/>
      <c r="Q49" s="200"/>
      <c r="Y49" s="16"/>
      <c r="Z49" s="16"/>
    </row>
    <row r="50" spans="3:26" ht="33.75" hidden="1" customHeight="1" x14ac:dyDescent="0.25">
      <c r="C50" s="16"/>
      <c r="D50" s="16"/>
      <c r="E50" s="16"/>
      <c r="Q50" s="203"/>
      <c r="Y50" s="16"/>
      <c r="Z50" s="16"/>
    </row>
    <row r="51" spans="3:26" hidden="1" x14ac:dyDescent="0.25">
      <c r="C51" s="16"/>
      <c r="D51" s="16"/>
      <c r="E51" s="16"/>
      <c r="Y51" s="16"/>
      <c r="Z51" s="16"/>
    </row>
    <row r="52" spans="3:26" ht="16.350000000000001" customHeight="1" x14ac:dyDescent="0.25">
      <c r="C52" s="16"/>
      <c r="D52" s="16"/>
      <c r="E52" s="16"/>
      <c r="J52" s="203"/>
      <c r="K52" s="203"/>
      <c r="L52" s="203"/>
      <c r="N52" s="203"/>
      <c r="Y52" s="16"/>
      <c r="Z52" s="16"/>
    </row>
    <row r="53" spans="3:26" ht="16.350000000000001" customHeight="1" x14ac:dyDescent="0.25">
      <c r="C53" s="16"/>
      <c r="D53" s="16"/>
      <c r="E53" s="16"/>
      <c r="K53" s="203"/>
      <c r="L53" s="203"/>
      <c r="N53" s="55"/>
      <c r="Y53" s="16"/>
      <c r="Z53" s="16"/>
    </row>
    <row r="54" spans="3:26" ht="16.350000000000001" customHeight="1" x14ac:dyDescent="0.25">
      <c r="C54" s="16"/>
      <c r="D54" s="16"/>
      <c r="E54" s="16"/>
      <c r="K54" s="203"/>
      <c r="L54" s="55"/>
      <c r="Y54" s="16"/>
      <c r="Z54" s="16"/>
    </row>
    <row r="55" spans="3:26" ht="16.350000000000001" customHeight="1" x14ac:dyDescent="0.25">
      <c r="C55" s="16"/>
      <c r="D55" s="16"/>
      <c r="E55" s="16"/>
    </row>
    <row r="56" spans="3:26" ht="16.350000000000001" customHeight="1" x14ac:dyDescent="0.25">
      <c r="C56" s="16"/>
      <c r="D56" s="16"/>
      <c r="E56" s="16"/>
    </row>
    <row r="57" spans="3:26" x14ac:dyDescent="0.25">
      <c r="C57" s="16"/>
      <c r="D57" s="16"/>
      <c r="E57" s="16"/>
    </row>
    <row r="58" spans="3:26" x14ac:dyDescent="0.25">
      <c r="C58" s="16"/>
      <c r="D58" s="16"/>
      <c r="E58" s="16"/>
    </row>
    <row r="59" spans="3:26" x14ac:dyDescent="0.25">
      <c r="E59" s="16"/>
      <c r="F59" s="16"/>
      <c r="G59" s="16"/>
    </row>
    <row r="60" spans="3:26" x14ac:dyDescent="0.25">
      <c r="E60" s="16"/>
      <c r="F60" s="16"/>
      <c r="G60" s="16"/>
    </row>
    <row r="61" spans="3:26" x14ac:dyDescent="0.25">
      <c r="E61" s="16"/>
      <c r="F61" s="16"/>
      <c r="G61" s="16"/>
    </row>
    <row r="62" spans="3:26" x14ac:dyDescent="0.25">
      <c r="E62" s="16"/>
      <c r="F62" s="16"/>
      <c r="G62" s="16"/>
    </row>
    <row r="63" spans="3:26" x14ac:dyDescent="0.25">
      <c r="E63" s="16"/>
      <c r="F63" s="16"/>
      <c r="G63" s="16"/>
    </row>
    <row r="64" spans="3:26" x14ac:dyDescent="0.25">
      <c r="F64" s="16"/>
      <c r="G64" s="16"/>
    </row>
    <row r="65" spans="6:7" x14ac:dyDescent="0.25">
      <c r="F65" s="16"/>
      <c r="G65" s="16"/>
    </row>
    <row r="66" spans="6:7" x14ac:dyDescent="0.25">
      <c r="F66" s="16"/>
      <c r="G66" s="16"/>
    </row>
  </sheetData>
  <sheetProtection algorithmName="SHA-512" hashValue="HHp2mBjEnfcMZCwdLZ1gD/Ft04mrL2EuK2T/00Z9rDwCDDoFS8dsEoxxOuNI5SAQgbu6zxtau3yqDpkh/nuxyw==" saltValue="awtpsK0Gzsk4fqzz+U1W6g==" spinCount="100000" sheet="1" objects="1" scenarios="1"/>
  <autoFilter ref="A8:AN41" xr:uid="{00000000-0009-0000-0000-000001000000}">
    <sortState xmlns:xlrd2="http://schemas.microsoft.com/office/spreadsheetml/2017/richdata2" ref="A9:AM41">
      <sortCondition ref="A8"/>
    </sortState>
  </autoFilter>
  <mergeCells count="1">
    <mergeCell ref="A7:G7"/>
  </mergeCells>
  <hyperlinks>
    <hyperlink ref="C5" r:id="rId1" xr:uid="{CA6D784A-F5DD-4FF5-855F-BFD5178E439C}"/>
  </hyperlinks>
  <pageMargins left="0.7" right="0.7" top="0.75" bottom="0.75" header="0.3" footer="0.3"/>
  <pageSetup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F0BA-D25C-447F-BBFA-A6FBF57232BF}">
  <sheetPr codeName="Sheet16"/>
  <dimension ref="A1:V51"/>
  <sheetViews>
    <sheetView workbookViewId="0">
      <pane xSplit="8" ySplit="8" topLeftCell="I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O23" sqref="O23"/>
    </sheetView>
  </sheetViews>
  <sheetFormatPr defaultColWidth="9.42578125" defaultRowHeight="15" x14ac:dyDescent="0.25"/>
  <cols>
    <col min="2" max="2" width="40.42578125" bestFit="1" customWidth="1"/>
    <col min="3" max="8" width="14.5703125" customWidth="1"/>
    <col min="9" max="20" width="12.5703125" customWidth="1"/>
    <col min="21" max="21" width="11.5703125" customWidth="1"/>
  </cols>
  <sheetData>
    <row r="1" spans="1:22" ht="21" x14ac:dyDescent="0.35">
      <c r="A1" s="28" t="s">
        <v>0</v>
      </c>
      <c r="B1" s="41"/>
      <c r="C1" s="37" t="s">
        <v>805</v>
      </c>
      <c r="D1" s="37"/>
      <c r="E1" s="37"/>
      <c r="F1" s="37"/>
      <c r="G1" s="42"/>
      <c r="H1" s="41"/>
      <c r="I1" s="28" t="str">
        <f>$C$1</f>
        <v xml:space="preserve">Colorado Literacy State Development </v>
      </c>
      <c r="J1" s="41"/>
      <c r="K1" s="41"/>
      <c r="L1" s="41"/>
      <c r="M1" s="41"/>
      <c r="N1" s="41"/>
      <c r="O1" s="41"/>
      <c r="P1" s="28" t="str">
        <f>$C$1</f>
        <v xml:space="preserve">Colorado Literacy State Development </v>
      </c>
      <c r="Q1" s="37"/>
      <c r="R1" s="41"/>
      <c r="S1" s="41"/>
      <c r="T1" s="41"/>
      <c r="U1" s="41"/>
      <c r="V1" s="41"/>
    </row>
    <row r="2" spans="1:22" ht="21" x14ac:dyDescent="0.35">
      <c r="A2" s="28" t="s">
        <v>137</v>
      </c>
      <c r="B2" s="41"/>
      <c r="C2" s="37" t="s">
        <v>800</v>
      </c>
      <c r="D2" s="37"/>
      <c r="E2" s="37"/>
      <c r="F2" s="37"/>
      <c r="G2" s="42"/>
      <c r="H2" s="41"/>
      <c r="I2" s="107" t="str">
        <f>"FY"&amp;$C$4</f>
        <v>FYFY21-22</v>
      </c>
      <c r="J2" s="41"/>
      <c r="K2" s="41"/>
      <c r="L2" s="41"/>
      <c r="M2" s="41"/>
      <c r="N2" s="41"/>
      <c r="O2" s="41"/>
      <c r="P2" s="108" t="str">
        <f>"FY"&amp;$C$4</f>
        <v>FYFY21-22</v>
      </c>
      <c r="Q2" s="37"/>
      <c r="R2" s="41"/>
      <c r="S2" s="41"/>
      <c r="T2" s="41"/>
      <c r="U2" s="41"/>
      <c r="V2" s="41"/>
    </row>
    <row r="3" spans="1:22" ht="15.75" x14ac:dyDescent="0.25">
      <c r="A3" s="29" t="s">
        <v>1</v>
      </c>
      <c r="B3" s="41"/>
      <c r="C3" s="39">
        <v>5371</v>
      </c>
      <c r="D3" s="39"/>
      <c r="E3" s="39"/>
      <c r="F3" s="39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.75" x14ac:dyDescent="0.25">
      <c r="A4" s="29" t="s">
        <v>2</v>
      </c>
      <c r="B4" s="41"/>
      <c r="C4" s="39" t="s">
        <v>617</v>
      </c>
      <c r="D4" s="39"/>
      <c r="E4" s="39"/>
      <c r="F4" s="39"/>
      <c r="G4" s="29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5.75" x14ac:dyDescent="0.25">
      <c r="A5" s="29" t="s">
        <v>376</v>
      </c>
      <c r="B5" s="41"/>
      <c r="C5" s="54" t="s">
        <v>415</v>
      </c>
      <c r="D5" s="54"/>
      <c r="E5" s="29"/>
      <c r="F5" s="2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5.75" x14ac:dyDescent="0.25">
      <c r="A6" s="29"/>
      <c r="B6" s="41"/>
      <c r="C6" s="54"/>
      <c r="D6" s="54"/>
      <c r="E6" s="29"/>
      <c r="F6" s="2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6.5" thickBot="1" x14ac:dyDescent="0.3">
      <c r="A7" s="29" t="s">
        <v>414</v>
      </c>
      <c r="B7" s="41"/>
      <c r="C7" s="29"/>
      <c r="D7" s="29"/>
      <c r="E7" s="29"/>
      <c r="F7" s="29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30.75" thickBot="1" x14ac:dyDescent="0.3">
      <c r="A8" s="43" t="s">
        <v>130</v>
      </c>
      <c r="B8" s="45" t="s">
        <v>124</v>
      </c>
      <c r="C8" s="43" t="s">
        <v>14</v>
      </c>
      <c r="D8" s="43" t="s">
        <v>959</v>
      </c>
      <c r="E8" s="43" t="s">
        <v>97</v>
      </c>
      <c r="F8" s="43" t="s">
        <v>132</v>
      </c>
      <c r="G8" s="43" t="s">
        <v>15</v>
      </c>
      <c r="H8" s="22" t="s">
        <v>16</v>
      </c>
      <c r="I8" s="24" t="s">
        <v>411</v>
      </c>
      <c r="J8" s="24" t="s">
        <v>412</v>
      </c>
      <c r="K8" s="24" t="s">
        <v>416</v>
      </c>
      <c r="L8" s="24" t="s">
        <v>606</v>
      </c>
      <c r="M8" s="24" t="s">
        <v>607</v>
      </c>
      <c r="N8" s="24" t="s">
        <v>608</v>
      </c>
      <c r="O8" s="24" t="s">
        <v>609</v>
      </c>
      <c r="P8" s="24" t="s">
        <v>610</v>
      </c>
      <c r="Q8" s="24" t="s">
        <v>611</v>
      </c>
      <c r="R8" s="24" t="s">
        <v>612</v>
      </c>
      <c r="S8" s="24" t="s">
        <v>613</v>
      </c>
      <c r="T8" s="24" t="s">
        <v>614</v>
      </c>
      <c r="U8" s="24" t="s">
        <v>295</v>
      </c>
      <c r="V8" s="24" t="s">
        <v>296</v>
      </c>
    </row>
    <row r="9" spans="1:22" ht="15.75" thickBot="1" x14ac:dyDescent="0.3">
      <c r="A9" s="372" t="s">
        <v>4</v>
      </c>
      <c r="B9" s="266" t="s">
        <v>931</v>
      </c>
      <c r="C9" s="373">
        <v>629098</v>
      </c>
      <c r="D9" s="373"/>
      <c r="E9" s="123"/>
      <c r="F9" s="123">
        <f t="shared" ref="F9:F18" si="0">SUM(C9:E9)</f>
        <v>629098</v>
      </c>
      <c r="G9" s="123">
        <f t="shared" ref="G9:G18" si="1">SUM(I9:T9)</f>
        <v>0</v>
      </c>
      <c r="H9" s="123">
        <f t="shared" ref="H9:H18" si="2">F9-G9</f>
        <v>629098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58"/>
      <c r="V9" s="158"/>
    </row>
    <row r="10" spans="1:22" ht="15.75" thickBot="1" x14ac:dyDescent="0.3">
      <c r="A10" s="372" t="s">
        <v>52</v>
      </c>
      <c r="B10" s="266" t="s">
        <v>932</v>
      </c>
      <c r="C10" s="373">
        <v>211625</v>
      </c>
      <c r="D10" s="373">
        <v>43475</v>
      </c>
      <c r="E10" s="123"/>
      <c r="F10" s="123">
        <f t="shared" si="0"/>
        <v>255100</v>
      </c>
      <c r="G10" s="123">
        <f t="shared" si="1"/>
        <v>0</v>
      </c>
      <c r="H10" s="123">
        <f t="shared" si="2"/>
        <v>255100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58"/>
      <c r="V10" s="158"/>
    </row>
    <row r="11" spans="1:22" ht="15.75" thickBot="1" x14ac:dyDescent="0.3">
      <c r="A11" s="83" t="s">
        <v>301</v>
      </c>
      <c r="B11" s="266" t="s">
        <v>302</v>
      </c>
      <c r="C11" s="123">
        <v>1460585</v>
      </c>
      <c r="D11" s="123"/>
      <c r="E11" s="123"/>
      <c r="F11" s="123">
        <f t="shared" si="0"/>
        <v>1460585</v>
      </c>
      <c r="G11" s="123">
        <f t="shared" si="1"/>
        <v>0</v>
      </c>
      <c r="H11" s="123">
        <f t="shared" si="2"/>
        <v>1460585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8"/>
      <c r="V11" s="158"/>
    </row>
    <row r="12" spans="1:22" ht="15.75" thickBot="1" x14ac:dyDescent="0.3">
      <c r="A12" s="83" t="s">
        <v>181</v>
      </c>
      <c r="B12" s="266" t="s">
        <v>184</v>
      </c>
      <c r="C12" s="123">
        <v>304198</v>
      </c>
      <c r="D12" s="123"/>
      <c r="E12" s="123"/>
      <c r="F12" s="123">
        <f t="shared" si="0"/>
        <v>304198</v>
      </c>
      <c r="G12" s="123">
        <f t="shared" si="1"/>
        <v>60165.19</v>
      </c>
      <c r="H12" s="123">
        <f t="shared" si="2"/>
        <v>244032.81</v>
      </c>
      <c r="I12" s="137"/>
      <c r="J12" s="137"/>
      <c r="K12" s="137"/>
      <c r="L12" s="137"/>
      <c r="M12" s="137"/>
      <c r="N12" s="137"/>
      <c r="O12" s="137">
        <v>48782.15</v>
      </c>
      <c r="P12" s="137"/>
      <c r="Q12" s="137">
        <v>11383.04</v>
      </c>
      <c r="R12" s="137"/>
      <c r="S12" s="137"/>
      <c r="T12" s="137"/>
      <c r="U12" s="158"/>
      <c r="V12" s="158"/>
    </row>
    <row r="13" spans="1:22" ht="15.75" thickBot="1" x14ac:dyDescent="0.3">
      <c r="A13" s="83" t="s">
        <v>33</v>
      </c>
      <c r="B13" s="266" t="s">
        <v>154</v>
      </c>
      <c r="C13" s="123">
        <v>631784</v>
      </c>
      <c r="D13" s="373">
        <v>204155</v>
      </c>
      <c r="E13" s="123"/>
      <c r="F13" s="123">
        <f t="shared" si="0"/>
        <v>835939</v>
      </c>
      <c r="G13" s="123">
        <f t="shared" si="1"/>
        <v>305176.73</v>
      </c>
      <c r="H13" s="123">
        <f t="shared" si="2"/>
        <v>530762.27</v>
      </c>
      <c r="I13" s="137"/>
      <c r="J13" s="137"/>
      <c r="K13" s="137"/>
      <c r="L13" s="137">
        <v>36300</v>
      </c>
      <c r="M13" s="137">
        <v>42340.27</v>
      </c>
      <c r="N13" s="137">
        <v>33889.15</v>
      </c>
      <c r="O13" s="137">
        <v>3389.15</v>
      </c>
      <c r="P13" s="137">
        <v>58589.15</v>
      </c>
      <c r="Q13" s="137"/>
      <c r="R13" s="137">
        <v>130669.01</v>
      </c>
      <c r="S13" s="137"/>
      <c r="T13" s="137"/>
      <c r="U13" s="158"/>
      <c r="V13" s="158"/>
    </row>
    <row r="14" spans="1:22" ht="15.75" thickBot="1" x14ac:dyDescent="0.3">
      <c r="A14" s="372" t="s">
        <v>396</v>
      </c>
      <c r="B14" s="266" t="s">
        <v>933</v>
      </c>
      <c r="C14" s="373">
        <v>340040</v>
      </c>
      <c r="D14" s="373">
        <v>101298</v>
      </c>
      <c r="E14" s="123"/>
      <c r="F14" s="123">
        <f t="shared" si="0"/>
        <v>441338</v>
      </c>
      <c r="G14" s="123">
        <f t="shared" si="1"/>
        <v>84587.54</v>
      </c>
      <c r="H14" s="123">
        <f t="shared" si="2"/>
        <v>356750.46</v>
      </c>
      <c r="I14" s="137"/>
      <c r="J14" s="137"/>
      <c r="K14" s="137"/>
      <c r="L14" s="137"/>
      <c r="M14" s="137"/>
      <c r="N14" s="137"/>
      <c r="O14" s="137"/>
      <c r="P14" s="137">
        <v>73713.87</v>
      </c>
      <c r="Q14" s="137"/>
      <c r="R14" s="137"/>
      <c r="S14" s="137">
        <v>10873.67</v>
      </c>
      <c r="T14" s="137"/>
      <c r="U14" s="158"/>
      <c r="V14" s="158"/>
    </row>
    <row r="15" spans="1:22" ht="15.75" thickBot="1" x14ac:dyDescent="0.3">
      <c r="A15" s="372" t="s">
        <v>298</v>
      </c>
      <c r="B15" s="266" t="s">
        <v>934</v>
      </c>
      <c r="C15" s="373">
        <v>241880</v>
      </c>
      <c r="D15" s="373"/>
      <c r="E15" s="123"/>
      <c r="F15" s="123">
        <f t="shared" si="0"/>
        <v>241880</v>
      </c>
      <c r="G15" s="123">
        <f t="shared" si="1"/>
        <v>14960.07</v>
      </c>
      <c r="H15" s="123">
        <f t="shared" si="2"/>
        <v>226919.93</v>
      </c>
      <c r="I15" s="137"/>
      <c r="J15" s="137"/>
      <c r="K15" s="137"/>
      <c r="L15" s="137"/>
      <c r="M15" s="137"/>
      <c r="N15" s="137"/>
      <c r="O15" s="137"/>
      <c r="P15" s="137"/>
      <c r="Q15" s="137">
        <v>7473.18</v>
      </c>
      <c r="R15" s="137">
        <v>7486.89</v>
      </c>
      <c r="S15" s="137"/>
      <c r="T15" s="137"/>
      <c r="U15" s="158"/>
      <c r="V15" s="158"/>
    </row>
    <row r="16" spans="1:22" ht="15.75" thickBot="1" x14ac:dyDescent="0.3">
      <c r="A16" s="372" t="s">
        <v>46</v>
      </c>
      <c r="B16" s="266" t="s">
        <v>94</v>
      </c>
      <c r="C16" s="373">
        <v>433461</v>
      </c>
      <c r="D16" s="373"/>
      <c r="E16" s="123"/>
      <c r="F16" s="123">
        <f t="shared" si="0"/>
        <v>433461</v>
      </c>
      <c r="G16" s="123">
        <f t="shared" si="1"/>
        <v>55275.7</v>
      </c>
      <c r="H16" s="123">
        <f t="shared" si="2"/>
        <v>378185.3</v>
      </c>
      <c r="I16" s="137"/>
      <c r="J16" s="137"/>
      <c r="K16" s="137"/>
      <c r="L16" s="137"/>
      <c r="M16" s="137"/>
      <c r="N16" s="137"/>
      <c r="O16" s="137">
        <v>11194.82</v>
      </c>
      <c r="P16" s="137">
        <v>11194.82</v>
      </c>
      <c r="Q16" s="137">
        <v>32886.06</v>
      </c>
      <c r="R16" s="137"/>
      <c r="S16" s="137"/>
      <c r="T16" s="137"/>
      <c r="U16" s="158"/>
      <c r="V16" s="158"/>
    </row>
    <row r="17" spans="1:22" ht="15.75" thickBot="1" x14ac:dyDescent="0.3">
      <c r="A17" s="83" t="s">
        <v>803</v>
      </c>
      <c r="B17" s="266" t="s">
        <v>801</v>
      </c>
      <c r="C17" s="123">
        <v>510703</v>
      </c>
      <c r="D17" s="373">
        <v>295452.08</v>
      </c>
      <c r="E17" s="123"/>
      <c r="F17" s="123">
        <f t="shared" si="0"/>
        <v>806155.08000000007</v>
      </c>
      <c r="G17" s="123">
        <f t="shared" si="1"/>
        <v>107694.92</v>
      </c>
      <c r="H17" s="123">
        <f t="shared" si="2"/>
        <v>698460.16000000003</v>
      </c>
      <c r="I17" s="137"/>
      <c r="J17" s="137"/>
      <c r="K17" s="137">
        <v>10524.28</v>
      </c>
      <c r="L17" s="137"/>
      <c r="M17" s="137">
        <v>14733.63</v>
      </c>
      <c r="N17" s="137"/>
      <c r="O17" s="137">
        <v>30638.04</v>
      </c>
      <c r="P17" s="137">
        <v>19686.96</v>
      </c>
      <c r="Q17" s="137">
        <v>32112.01</v>
      </c>
      <c r="R17" s="137"/>
      <c r="S17" s="137"/>
      <c r="T17" s="137"/>
      <c r="U17" s="158"/>
      <c r="V17" s="158"/>
    </row>
    <row r="18" spans="1:22" ht="15.75" thickBot="1" x14ac:dyDescent="0.3">
      <c r="A18" s="83" t="s">
        <v>804</v>
      </c>
      <c r="B18" s="266" t="s">
        <v>802</v>
      </c>
      <c r="C18" s="123">
        <v>138505</v>
      </c>
      <c r="D18" s="123"/>
      <c r="E18" s="123"/>
      <c r="F18" s="123">
        <f t="shared" si="0"/>
        <v>138505</v>
      </c>
      <c r="G18" s="123">
        <f t="shared" si="1"/>
        <v>0</v>
      </c>
      <c r="H18" s="123">
        <f t="shared" si="2"/>
        <v>138505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58"/>
      <c r="V18" s="158"/>
    </row>
    <row r="19" spans="1:22" s="14" customFormat="1" ht="15.75" thickBot="1" x14ac:dyDescent="0.3">
      <c r="A19" s="34" t="s">
        <v>44</v>
      </c>
      <c r="B19" s="46"/>
      <c r="C19" s="157">
        <f t="shared" ref="C19:T19" si="3">SUM(C9:C18)</f>
        <v>4901879</v>
      </c>
      <c r="D19" s="157"/>
      <c r="E19" s="157">
        <f t="shared" si="3"/>
        <v>0</v>
      </c>
      <c r="F19" s="157">
        <f t="shared" si="3"/>
        <v>5546259.0800000001</v>
      </c>
      <c r="G19" s="157">
        <f t="shared" si="3"/>
        <v>627860.15</v>
      </c>
      <c r="H19" s="157">
        <f t="shared" si="3"/>
        <v>4918398.93</v>
      </c>
      <c r="I19" s="157">
        <f t="shared" si="3"/>
        <v>0</v>
      </c>
      <c r="J19" s="157">
        <f t="shared" si="3"/>
        <v>0</v>
      </c>
      <c r="K19" s="157">
        <f t="shared" si="3"/>
        <v>10524.28</v>
      </c>
      <c r="L19" s="157">
        <f t="shared" si="3"/>
        <v>36300</v>
      </c>
      <c r="M19" s="157">
        <f t="shared" si="3"/>
        <v>57073.899999999994</v>
      </c>
      <c r="N19" s="157">
        <f t="shared" si="3"/>
        <v>33889.15</v>
      </c>
      <c r="O19" s="157">
        <f t="shared" si="3"/>
        <v>94004.160000000003</v>
      </c>
      <c r="P19" s="157">
        <f t="shared" si="3"/>
        <v>163184.79999999999</v>
      </c>
      <c r="Q19" s="157">
        <f t="shared" si="3"/>
        <v>83854.289999999994</v>
      </c>
      <c r="R19" s="157">
        <f t="shared" si="3"/>
        <v>138155.9</v>
      </c>
      <c r="S19" s="157">
        <f t="shared" si="3"/>
        <v>10873.67</v>
      </c>
      <c r="T19" s="157">
        <f t="shared" si="3"/>
        <v>0</v>
      </c>
      <c r="U19" s="157">
        <v>0</v>
      </c>
      <c r="V19" s="157">
        <v>0</v>
      </c>
    </row>
    <row r="20" spans="1:22" x14ac:dyDescent="0.25">
      <c r="C20" s="16"/>
      <c r="D20" s="16"/>
      <c r="E20" s="16"/>
      <c r="F20" s="16"/>
      <c r="H20" s="267"/>
      <c r="I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2" x14ac:dyDescent="0.25">
      <c r="C21" s="16"/>
      <c r="D21" s="16"/>
      <c r="E21" s="16"/>
      <c r="F21" s="16"/>
      <c r="H21" s="117"/>
      <c r="I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2" x14ac:dyDescent="0.25">
      <c r="C22" s="16"/>
      <c r="D22" s="16"/>
      <c r="E22" s="16"/>
      <c r="F22" s="16"/>
      <c r="I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2" x14ac:dyDescent="0.25">
      <c r="C23" s="16"/>
      <c r="D23" s="16"/>
      <c r="E23" s="16"/>
      <c r="F23" s="16"/>
      <c r="I23" s="6"/>
      <c r="L23" s="16"/>
      <c r="M23" s="16"/>
      <c r="N23" s="16"/>
      <c r="O23" s="16"/>
      <c r="P23" s="16"/>
      <c r="Q23" s="16"/>
      <c r="R23" s="16"/>
      <c r="S23" s="16" t="s">
        <v>32</v>
      </c>
      <c r="T23" s="16"/>
    </row>
    <row r="24" spans="1:22" x14ac:dyDescent="0.25">
      <c r="C24" s="16"/>
      <c r="D24" s="16"/>
      <c r="E24" s="16"/>
      <c r="F24" s="16"/>
      <c r="I24" s="6"/>
      <c r="L24" s="16"/>
      <c r="M24" s="16"/>
      <c r="N24" s="16"/>
      <c r="O24" s="16"/>
      <c r="P24" s="16"/>
      <c r="Q24" s="16"/>
      <c r="R24" s="16"/>
      <c r="S24" s="16"/>
      <c r="T24" s="16"/>
    </row>
    <row r="25" spans="1:22" x14ac:dyDescent="0.25">
      <c r="C25" s="16"/>
      <c r="D25" s="16"/>
      <c r="E25" s="16"/>
      <c r="F25" s="16"/>
      <c r="I25" s="6"/>
      <c r="L25" s="16"/>
      <c r="M25" s="16"/>
      <c r="N25" s="16"/>
      <c r="O25" s="16"/>
      <c r="P25" s="16"/>
      <c r="Q25" s="16"/>
      <c r="R25" s="16"/>
      <c r="S25" s="16"/>
      <c r="T25" s="16"/>
    </row>
    <row r="26" spans="1:22" x14ac:dyDescent="0.25">
      <c r="C26" s="16"/>
      <c r="D26" s="16"/>
      <c r="E26" s="16"/>
      <c r="F26" s="16"/>
      <c r="I26" s="6"/>
      <c r="L26" s="16"/>
      <c r="M26" s="16"/>
      <c r="N26" s="16"/>
      <c r="O26" s="16"/>
      <c r="P26" s="16"/>
      <c r="Q26" s="16"/>
      <c r="R26" s="16"/>
      <c r="S26" s="16"/>
      <c r="T26" s="16"/>
    </row>
    <row r="27" spans="1:22" x14ac:dyDescent="0.25">
      <c r="C27" s="16"/>
      <c r="D27" s="16"/>
      <c r="E27" s="16"/>
      <c r="F27" s="16"/>
      <c r="I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2" x14ac:dyDescent="0.25">
      <c r="C28" s="16"/>
      <c r="D28" s="16"/>
      <c r="E28" s="16"/>
      <c r="F28" s="16"/>
      <c r="I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2" x14ac:dyDescent="0.25">
      <c r="C29" s="16"/>
      <c r="D29" s="16"/>
      <c r="E29" s="16"/>
      <c r="F29" s="16"/>
      <c r="I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2" x14ac:dyDescent="0.25">
      <c r="C30" s="16"/>
      <c r="D30" s="16"/>
      <c r="E30" s="16"/>
      <c r="F30" s="16"/>
      <c r="I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2" x14ac:dyDescent="0.25">
      <c r="C31" s="16"/>
      <c r="D31" s="16"/>
      <c r="E31" s="16"/>
      <c r="F31" s="16"/>
      <c r="I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2" x14ac:dyDescent="0.25">
      <c r="C32" s="16"/>
      <c r="D32" s="16"/>
      <c r="E32" s="16"/>
      <c r="F32" s="16"/>
      <c r="I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3:20" x14ac:dyDescent="0.25">
      <c r="C33" s="16"/>
      <c r="D33" s="16"/>
      <c r="E33" s="16"/>
      <c r="F33" s="16"/>
      <c r="I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3:20" x14ac:dyDescent="0.25">
      <c r="I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3:20" x14ac:dyDescent="0.25">
      <c r="I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3:20" x14ac:dyDescent="0.25">
      <c r="I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3:20" x14ac:dyDescent="0.25">
      <c r="I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3:20" x14ac:dyDescent="0.25">
      <c r="I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3:20" x14ac:dyDescent="0.25">
      <c r="I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3:20" x14ac:dyDescent="0.25">
      <c r="I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3:20" x14ac:dyDescent="0.25">
      <c r="I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3:20" x14ac:dyDescent="0.25">
      <c r="I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3:20" x14ac:dyDescent="0.25">
      <c r="I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3:20" x14ac:dyDescent="0.25">
      <c r="I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3:20" x14ac:dyDescent="0.25">
      <c r="I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3:20" x14ac:dyDescent="0.25">
      <c r="I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3:20" x14ac:dyDescent="0.25">
      <c r="I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3:20" x14ac:dyDescent="0.25">
      <c r="I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9:20" x14ac:dyDescent="0.25">
      <c r="I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9:20" x14ac:dyDescent="0.25">
      <c r="I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9:20" x14ac:dyDescent="0.25">
      <c r="I51" s="16"/>
      <c r="L51" s="16"/>
      <c r="M51" s="16"/>
      <c r="N51" s="16"/>
      <c r="O51" s="16"/>
      <c r="P51" s="16"/>
      <c r="Q51" s="16"/>
      <c r="R51" s="16"/>
      <c r="S51" s="16"/>
      <c r="T51" s="16"/>
    </row>
  </sheetData>
  <sheetProtection algorithmName="SHA-512" hashValue="M50r+q2wkEYf0OLdqpr5B9VYo3BIW0DL6w6ATCi9KQDLMVSSJYM8BzM6qN3giueUGMatQxQCrEKDhJaAA4qlIQ==" saltValue="rS3iBC7i04TZkR25X5D1vw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9"/>
  <dimension ref="A1:U46"/>
  <sheetViews>
    <sheetView workbookViewId="0">
      <pane xSplit="7" ySplit="8" topLeftCell="M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E18" sqref="E18"/>
    </sheetView>
  </sheetViews>
  <sheetFormatPr defaultColWidth="9.42578125" defaultRowHeight="15" x14ac:dyDescent="0.25"/>
  <cols>
    <col min="2" max="2" width="46.85546875" bestFit="1" customWidth="1"/>
    <col min="3" max="7" width="14.5703125" customWidth="1"/>
    <col min="8" max="19" width="12.5703125" customWidth="1"/>
    <col min="20" max="20" width="11.5703125" customWidth="1"/>
  </cols>
  <sheetData>
    <row r="1" spans="1:21" ht="21" x14ac:dyDescent="0.35">
      <c r="A1" s="28" t="s">
        <v>0</v>
      </c>
      <c r="B1" s="41"/>
      <c r="C1" s="37" t="s">
        <v>589</v>
      </c>
      <c r="D1" s="37"/>
      <c r="E1" s="37"/>
      <c r="F1" s="42"/>
      <c r="G1" s="41"/>
      <c r="H1" s="28" t="str">
        <f>$C$1</f>
        <v xml:space="preserve">Title V -SRAE </v>
      </c>
      <c r="I1" s="41"/>
      <c r="J1" s="41"/>
      <c r="K1" s="41"/>
      <c r="L1" s="41"/>
      <c r="M1" s="41"/>
      <c r="N1" s="41"/>
      <c r="O1" s="28" t="str">
        <f>$C$1</f>
        <v xml:space="preserve">Title V -SRAE </v>
      </c>
      <c r="P1" s="37"/>
      <c r="Q1" s="41"/>
      <c r="R1" s="41"/>
      <c r="S1" s="41"/>
      <c r="T1" s="41"/>
      <c r="U1" s="41"/>
    </row>
    <row r="2" spans="1:21" ht="21" x14ac:dyDescent="0.35">
      <c r="A2" s="28" t="s">
        <v>137</v>
      </c>
      <c r="B2" s="41"/>
      <c r="C2" s="37" t="s">
        <v>897</v>
      </c>
      <c r="D2" s="37"/>
      <c r="E2" s="37"/>
      <c r="F2" s="42"/>
      <c r="G2" s="41"/>
      <c r="H2" s="107" t="str">
        <f>"FY"&amp;$C$4</f>
        <v>FYFY21-22 672C</v>
      </c>
      <c r="I2" s="41"/>
      <c r="J2" s="41"/>
      <c r="K2" s="41"/>
      <c r="L2" s="41"/>
      <c r="M2" s="41"/>
      <c r="N2" s="41"/>
      <c r="O2" s="108" t="str">
        <f>"FY"&amp;$C$4</f>
        <v>FYFY21-22 672C</v>
      </c>
      <c r="P2" s="37"/>
      <c r="Q2" s="41"/>
      <c r="R2" s="41"/>
      <c r="S2" s="41"/>
      <c r="T2" s="41"/>
      <c r="U2" s="41"/>
    </row>
    <row r="3" spans="1:21" ht="15.75" x14ac:dyDescent="0.25">
      <c r="A3" s="29" t="s">
        <v>1</v>
      </c>
      <c r="B3" s="41"/>
      <c r="C3" s="39">
        <v>7235</v>
      </c>
      <c r="D3" s="39"/>
      <c r="E3" s="39"/>
      <c r="F3" s="42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x14ac:dyDescent="0.25">
      <c r="A4" s="29" t="s">
        <v>2</v>
      </c>
      <c r="B4" s="41"/>
      <c r="C4" s="39" t="s">
        <v>898</v>
      </c>
      <c r="D4" s="39"/>
      <c r="E4" s="39"/>
      <c r="F4" s="2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x14ac:dyDescent="0.25">
      <c r="A5" s="29" t="s">
        <v>376</v>
      </c>
      <c r="B5" s="41"/>
      <c r="C5" s="54" t="s">
        <v>881</v>
      </c>
      <c r="D5" s="29"/>
      <c r="E5" s="29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5.75" x14ac:dyDescent="0.25">
      <c r="A6" s="29"/>
      <c r="B6" s="41"/>
      <c r="C6" s="54"/>
      <c r="D6" s="29"/>
      <c r="E6" s="2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6.5" thickBot="1" x14ac:dyDescent="0.3">
      <c r="A7" s="29" t="s">
        <v>414</v>
      </c>
      <c r="B7" s="41"/>
      <c r="C7" s="29"/>
      <c r="D7" s="29"/>
      <c r="E7" s="29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30.75" thickBot="1" x14ac:dyDescent="0.3">
      <c r="A8" s="43" t="s">
        <v>130</v>
      </c>
      <c r="B8" s="45" t="s">
        <v>124</v>
      </c>
      <c r="C8" s="43" t="s">
        <v>14</v>
      </c>
      <c r="D8" s="43" t="s">
        <v>97</v>
      </c>
      <c r="E8" s="43" t="s">
        <v>132</v>
      </c>
      <c r="F8" s="43" t="s">
        <v>15</v>
      </c>
      <c r="G8" s="22" t="s">
        <v>16</v>
      </c>
      <c r="H8" s="24" t="s">
        <v>411</v>
      </c>
      <c r="I8" s="24" t="s">
        <v>412</v>
      </c>
      <c r="J8" s="24" t="s">
        <v>416</v>
      </c>
      <c r="K8" s="24" t="s">
        <v>606</v>
      </c>
      <c r="L8" s="24" t="s">
        <v>607</v>
      </c>
      <c r="M8" s="24" t="s">
        <v>608</v>
      </c>
      <c r="N8" s="24" t="s">
        <v>609</v>
      </c>
      <c r="O8" s="24" t="s">
        <v>610</v>
      </c>
      <c r="P8" s="24" t="s">
        <v>611</v>
      </c>
      <c r="Q8" s="24" t="s">
        <v>612</v>
      </c>
      <c r="R8" s="24" t="s">
        <v>613</v>
      </c>
      <c r="S8" s="24" t="s">
        <v>614</v>
      </c>
      <c r="T8" s="24" t="s">
        <v>295</v>
      </c>
      <c r="U8" s="24" t="s">
        <v>296</v>
      </c>
    </row>
    <row r="9" spans="1:21" ht="15.75" thickBot="1" x14ac:dyDescent="0.3">
      <c r="A9" s="83" t="s">
        <v>284</v>
      </c>
      <c r="B9" s="266" t="s">
        <v>285</v>
      </c>
      <c r="C9" s="370">
        <v>192462</v>
      </c>
      <c r="D9" s="123">
        <v>129205.45999999999</v>
      </c>
      <c r="E9" s="123">
        <f t="shared" ref="E9:E13" si="0">SUM(C9:D9)</f>
        <v>321667.45999999996</v>
      </c>
      <c r="F9" s="123">
        <f t="shared" ref="F9:F13" si="1">SUM(H9:S9)</f>
        <v>111633.73999999999</v>
      </c>
      <c r="G9" s="123">
        <f t="shared" ref="G9:G13" si="2">E9-F9</f>
        <v>210033.71999999997</v>
      </c>
      <c r="H9" s="137"/>
      <c r="I9" s="137"/>
      <c r="J9" s="137"/>
      <c r="K9" s="137"/>
      <c r="L9" s="137"/>
      <c r="M9" s="137"/>
      <c r="N9" s="137">
        <v>58954.8</v>
      </c>
      <c r="O9" s="137"/>
      <c r="P9" s="137"/>
      <c r="Q9" s="137"/>
      <c r="R9" s="137">
        <v>52678.939999999995</v>
      </c>
      <c r="S9" s="137"/>
      <c r="T9" s="158"/>
      <c r="U9" s="158"/>
    </row>
    <row r="10" spans="1:21" ht="15.75" thickBot="1" x14ac:dyDescent="0.3">
      <c r="A10" s="83" t="s">
        <v>93</v>
      </c>
      <c r="B10" s="266" t="s">
        <v>294</v>
      </c>
      <c r="C10" s="370">
        <v>163226</v>
      </c>
      <c r="D10" s="123">
        <v>18510.01999999999</v>
      </c>
      <c r="E10" s="123">
        <f t="shared" si="0"/>
        <v>181736.02</v>
      </c>
      <c r="F10" s="123">
        <f t="shared" si="1"/>
        <v>110982.51999999999</v>
      </c>
      <c r="G10" s="123">
        <f t="shared" si="2"/>
        <v>70753.5</v>
      </c>
      <c r="H10" s="137"/>
      <c r="I10" s="137"/>
      <c r="J10" s="137">
        <v>10835.23</v>
      </c>
      <c r="K10" s="137">
        <v>9064.3799999999992</v>
      </c>
      <c r="L10" s="137" t="s">
        <v>32</v>
      </c>
      <c r="M10" s="137">
        <f>11356.78+11414.92</f>
        <v>22771.7</v>
      </c>
      <c r="N10" s="137">
        <v>6455.09</v>
      </c>
      <c r="O10" s="137">
        <v>29082.400000000001</v>
      </c>
      <c r="P10" s="137">
        <v>10775.4</v>
      </c>
      <c r="Q10" s="137">
        <v>21998.32</v>
      </c>
      <c r="R10" s="137" t="s">
        <v>32</v>
      </c>
      <c r="S10" s="137"/>
      <c r="T10" s="158"/>
      <c r="U10" s="158"/>
    </row>
    <row r="11" spans="1:21" ht="15.75" thickBot="1" x14ac:dyDescent="0.3">
      <c r="A11" s="83" t="s">
        <v>380</v>
      </c>
      <c r="B11" s="266" t="s">
        <v>379</v>
      </c>
      <c r="C11" s="370">
        <v>50000</v>
      </c>
      <c r="D11" s="123">
        <v>0</v>
      </c>
      <c r="E11" s="123">
        <f t="shared" si="0"/>
        <v>50000</v>
      </c>
      <c r="F11" s="123">
        <f t="shared" si="1"/>
        <v>44945.53</v>
      </c>
      <c r="G11" s="123">
        <f t="shared" si="2"/>
        <v>5054.4700000000012</v>
      </c>
      <c r="H11" s="137"/>
      <c r="I11" s="137"/>
      <c r="J11" s="137"/>
      <c r="K11" s="137"/>
      <c r="L11" s="137"/>
      <c r="M11" s="137"/>
      <c r="N11" s="137">
        <v>26175.26</v>
      </c>
      <c r="O11" s="137"/>
      <c r="P11" s="137"/>
      <c r="Q11" s="137"/>
      <c r="R11" s="137">
        <v>18770.27</v>
      </c>
      <c r="S11" s="137"/>
      <c r="T11" s="158"/>
      <c r="U11" s="158"/>
    </row>
    <row r="12" spans="1:21" ht="15.75" thickBot="1" x14ac:dyDescent="0.3">
      <c r="A12" s="83" t="s">
        <v>220</v>
      </c>
      <c r="B12" s="266" t="s">
        <v>364</v>
      </c>
      <c r="C12" s="370">
        <v>79139</v>
      </c>
      <c r="D12" s="123">
        <v>371.16000000000349</v>
      </c>
      <c r="E12" s="123">
        <f t="shared" si="0"/>
        <v>79510.16</v>
      </c>
      <c r="F12" s="123">
        <f t="shared" si="1"/>
        <v>57148.369999999995</v>
      </c>
      <c r="G12" s="123">
        <f t="shared" si="2"/>
        <v>22361.790000000008</v>
      </c>
      <c r="H12" s="137"/>
      <c r="I12" s="137"/>
      <c r="J12" s="137"/>
      <c r="K12" s="137"/>
      <c r="L12" s="137"/>
      <c r="M12" s="137"/>
      <c r="N12" s="137">
        <v>51802.13</v>
      </c>
      <c r="P12" s="137">
        <v>5346.24</v>
      </c>
      <c r="Q12" s="137"/>
      <c r="R12" s="137"/>
      <c r="S12" s="137"/>
      <c r="T12" s="158"/>
      <c r="U12" s="158"/>
    </row>
    <row r="13" spans="1:21" ht="15.75" thickBot="1" x14ac:dyDescent="0.3">
      <c r="A13" s="83" t="s">
        <v>365</v>
      </c>
      <c r="B13" s="266" t="s">
        <v>366</v>
      </c>
      <c r="C13" s="370">
        <v>42168</v>
      </c>
      <c r="D13" s="123">
        <v>20624.359999999993</v>
      </c>
      <c r="E13" s="123">
        <f t="shared" si="0"/>
        <v>62792.359999999993</v>
      </c>
      <c r="F13" s="123">
        <f t="shared" si="1"/>
        <v>22995.9</v>
      </c>
      <c r="G13" s="123">
        <f t="shared" si="2"/>
        <v>39796.459999999992</v>
      </c>
      <c r="H13" s="137"/>
      <c r="I13" s="137"/>
      <c r="J13" s="137" t="s">
        <v>32</v>
      </c>
      <c r="K13" s="137">
        <f>2561.65+2282.11</f>
        <v>4843.76</v>
      </c>
      <c r="L13" s="137" t="s">
        <v>32</v>
      </c>
      <c r="M13" s="137">
        <f>2020.79+2941.49</f>
        <v>4962.28</v>
      </c>
      <c r="N13" s="137">
        <v>2978.27</v>
      </c>
      <c r="O13" s="137">
        <v>2917.37</v>
      </c>
      <c r="P13" s="137">
        <v>2978.86</v>
      </c>
      <c r="Q13" s="137">
        <v>1802.16</v>
      </c>
      <c r="R13" s="137">
        <v>2513.1999999999998</v>
      </c>
      <c r="S13" s="137"/>
      <c r="T13" s="158"/>
      <c r="U13" s="158"/>
    </row>
    <row r="14" spans="1:21" s="14" customFormat="1" ht="15.75" thickBot="1" x14ac:dyDescent="0.3">
      <c r="A14" s="34" t="s">
        <v>44</v>
      </c>
      <c r="B14" s="46"/>
      <c r="C14" s="157">
        <f t="shared" ref="C14:S14" si="3">SUM(C9:C13)</f>
        <v>526995</v>
      </c>
      <c r="D14" s="157">
        <f t="shared" si="3"/>
        <v>168710.99999999997</v>
      </c>
      <c r="E14" s="157">
        <f t="shared" si="3"/>
        <v>695706</v>
      </c>
      <c r="F14" s="157">
        <f t="shared" si="3"/>
        <v>347706.06</v>
      </c>
      <c r="G14" s="157">
        <f t="shared" si="3"/>
        <v>347999.93999999994</v>
      </c>
      <c r="H14" s="157">
        <f t="shared" si="3"/>
        <v>0</v>
      </c>
      <c r="I14" s="157">
        <f t="shared" si="3"/>
        <v>0</v>
      </c>
      <c r="J14" s="157">
        <f t="shared" si="3"/>
        <v>10835.23</v>
      </c>
      <c r="K14" s="157">
        <f t="shared" si="3"/>
        <v>13908.14</v>
      </c>
      <c r="L14" s="157">
        <f t="shared" si="3"/>
        <v>0</v>
      </c>
      <c r="M14" s="157">
        <f t="shared" si="3"/>
        <v>27733.98</v>
      </c>
      <c r="N14" s="157">
        <f t="shared" si="3"/>
        <v>146365.54999999999</v>
      </c>
      <c r="O14" s="157">
        <f t="shared" si="3"/>
        <v>31999.77</v>
      </c>
      <c r="P14" s="157">
        <f t="shared" si="3"/>
        <v>19100.5</v>
      </c>
      <c r="Q14" s="157">
        <f t="shared" si="3"/>
        <v>23800.48</v>
      </c>
      <c r="R14" s="157">
        <f t="shared" si="3"/>
        <v>73962.409999999989</v>
      </c>
      <c r="S14" s="157">
        <f t="shared" si="3"/>
        <v>0</v>
      </c>
      <c r="T14" s="157">
        <v>0</v>
      </c>
      <c r="U14" s="157">
        <v>0</v>
      </c>
    </row>
    <row r="15" spans="1:21" x14ac:dyDescent="0.25">
      <c r="C15" s="16"/>
      <c r="D15" s="16"/>
      <c r="E15" s="16"/>
      <c r="G15" s="267"/>
      <c r="H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1" x14ac:dyDescent="0.25">
      <c r="C16" s="16"/>
      <c r="D16" s="16"/>
      <c r="E16" s="16"/>
      <c r="G16" s="117"/>
      <c r="H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3:19" x14ac:dyDescent="0.25">
      <c r="C17" s="16"/>
      <c r="D17" s="16"/>
      <c r="E17" s="16"/>
      <c r="H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3:19" x14ac:dyDescent="0.25">
      <c r="C18" s="16"/>
      <c r="D18" s="16"/>
      <c r="E18" s="16"/>
      <c r="H18" s="6"/>
      <c r="K18" s="16"/>
      <c r="L18" s="16"/>
      <c r="M18" s="16"/>
      <c r="N18" s="16"/>
      <c r="O18" s="16"/>
      <c r="P18" s="16"/>
      <c r="Q18" s="16"/>
      <c r="R18" s="16" t="s">
        <v>32</v>
      </c>
      <c r="S18" s="16"/>
    </row>
    <row r="19" spans="3:19" x14ac:dyDescent="0.25">
      <c r="C19" s="16"/>
      <c r="D19" s="16"/>
      <c r="E19" s="16"/>
      <c r="H19" s="6"/>
      <c r="K19" s="16"/>
      <c r="L19" s="16"/>
      <c r="M19" s="16"/>
      <c r="N19" s="16"/>
      <c r="O19" s="16"/>
      <c r="P19" s="16"/>
      <c r="Q19" s="16"/>
      <c r="R19" s="16"/>
      <c r="S19" s="16"/>
    </row>
    <row r="20" spans="3:19" x14ac:dyDescent="0.25">
      <c r="C20" s="16"/>
      <c r="D20" s="16"/>
      <c r="E20" s="16"/>
      <c r="H20" s="6"/>
      <c r="K20" s="16"/>
      <c r="L20" s="16"/>
      <c r="M20" s="16"/>
      <c r="N20" s="16"/>
      <c r="O20" s="16"/>
      <c r="P20" s="16"/>
      <c r="Q20" s="16"/>
      <c r="R20" s="16"/>
      <c r="S20" s="16"/>
    </row>
    <row r="21" spans="3:19" x14ac:dyDescent="0.25">
      <c r="C21" s="16"/>
      <c r="D21" s="16"/>
      <c r="E21" s="16"/>
      <c r="H21" s="6"/>
      <c r="K21" s="16"/>
      <c r="L21" s="16"/>
      <c r="M21" s="16"/>
      <c r="N21" s="16"/>
      <c r="O21" s="16"/>
      <c r="P21" s="16"/>
      <c r="Q21" s="16"/>
      <c r="R21" s="16"/>
      <c r="S21" s="16"/>
    </row>
    <row r="22" spans="3:19" x14ac:dyDescent="0.25">
      <c r="C22" s="16"/>
      <c r="D22" s="16"/>
      <c r="E22" s="16"/>
      <c r="H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3:19" x14ac:dyDescent="0.25">
      <c r="C23" s="16"/>
      <c r="D23" s="16"/>
      <c r="E23" s="16"/>
      <c r="H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3:19" x14ac:dyDescent="0.25">
      <c r="C24" s="16"/>
      <c r="D24" s="16"/>
      <c r="E24" s="16"/>
      <c r="H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3:19" x14ac:dyDescent="0.25">
      <c r="C25" s="16"/>
      <c r="D25" s="16"/>
      <c r="E25" s="16"/>
      <c r="H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3:19" x14ac:dyDescent="0.25">
      <c r="C26" s="16"/>
      <c r="D26" s="16"/>
      <c r="E26" s="16"/>
      <c r="H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3:19" x14ac:dyDescent="0.25">
      <c r="C27" s="16"/>
      <c r="D27" s="16"/>
      <c r="E27" s="16"/>
      <c r="H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3:19" x14ac:dyDescent="0.25">
      <c r="C28" s="16"/>
      <c r="D28" s="16"/>
      <c r="E28" s="16"/>
      <c r="H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3:19" x14ac:dyDescent="0.25">
      <c r="H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3:19" x14ac:dyDescent="0.25">
      <c r="H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3:19" x14ac:dyDescent="0.25">
      <c r="H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3:19" x14ac:dyDescent="0.25">
      <c r="H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8:19" x14ac:dyDescent="0.25">
      <c r="H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8:19" x14ac:dyDescent="0.25">
      <c r="H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8:19" x14ac:dyDescent="0.25">
      <c r="H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8:19" x14ac:dyDescent="0.25">
      <c r="H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8:19" x14ac:dyDescent="0.25">
      <c r="H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8:19" x14ac:dyDescent="0.25">
      <c r="H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8:19" x14ac:dyDescent="0.25">
      <c r="H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8:19" x14ac:dyDescent="0.25">
      <c r="H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8:19" x14ac:dyDescent="0.25">
      <c r="H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8:19" x14ac:dyDescent="0.25">
      <c r="H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8:19" x14ac:dyDescent="0.25">
      <c r="H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8:19" x14ac:dyDescent="0.25">
      <c r="H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8:19" x14ac:dyDescent="0.25">
      <c r="H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8:19" x14ac:dyDescent="0.25">
      <c r="H46" s="16"/>
      <c r="K46" s="16"/>
      <c r="L46" s="16"/>
      <c r="M46" s="16"/>
      <c r="N46" s="16"/>
      <c r="O46" s="16"/>
      <c r="P46" s="16"/>
      <c r="Q46" s="16"/>
      <c r="R46" s="16"/>
      <c r="S46" s="16"/>
    </row>
  </sheetData>
  <sheetProtection algorithmName="SHA-512" hashValue="JlQsxx9MOEcL29Cct/oGEWJgkUksPguK5EeGbV9xIO7GZMfL1uz+ZYodgIukdVVJtxjkyscdyHcaC687EeMgcw==" saltValue="WjWjMiifXLBk1m0caYO+Ag==" spinCount="100000" sheet="1" objects="1" scenarios="1"/>
  <sortState xmlns:xlrd2="http://schemas.microsoft.com/office/spreadsheetml/2017/richdata2" ref="A9:G13">
    <sortCondition ref="A9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B371-A937-42C9-8B3D-7387C8DE9DBD}">
  <sheetPr>
    <tabColor theme="2"/>
  </sheetPr>
  <dimension ref="A1:Y19"/>
  <sheetViews>
    <sheetView workbookViewId="0">
      <selection activeCell="A7" sqref="A7:G7"/>
    </sheetView>
  </sheetViews>
  <sheetFormatPr defaultColWidth="8.85546875" defaultRowHeight="15" x14ac:dyDescent="0.25"/>
  <cols>
    <col min="1" max="1" width="15.5703125" customWidth="1"/>
    <col min="2" max="2" width="33.5703125" customWidth="1"/>
    <col min="3" max="3" width="15.5703125" customWidth="1"/>
    <col min="4" max="4" width="13.42578125" bestFit="1" customWidth="1"/>
    <col min="5" max="5" width="16.140625" customWidth="1"/>
    <col min="6" max="25" width="15.5703125" customWidth="1"/>
  </cols>
  <sheetData>
    <row r="1" spans="1:25" ht="21" x14ac:dyDescent="0.35">
      <c r="A1" s="50" t="s">
        <v>0</v>
      </c>
      <c r="B1" s="41"/>
      <c r="C1" s="53" t="s">
        <v>874</v>
      </c>
      <c r="D1" s="29"/>
      <c r="E1" s="29"/>
      <c r="F1" s="29"/>
      <c r="G1" s="42"/>
      <c r="H1" s="41"/>
      <c r="I1" s="37"/>
      <c r="J1" s="53"/>
      <c r="K1" s="41"/>
      <c r="L1" s="41"/>
      <c r="M1" s="37"/>
      <c r="N1" s="41"/>
      <c r="O1" s="41"/>
      <c r="P1" s="53"/>
      <c r="Q1" s="37"/>
      <c r="R1" s="37"/>
      <c r="S1" s="41"/>
      <c r="T1" s="37"/>
      <c r="U1" s="41"/>
      <c r="V1" s="37"/>
      <c r="W1" s="41"/>
      <c r="X1" s="28"/>
      <c r="Y1" s="28"/>
    </row>
    <row r="2" spans="1:25" s="3" customFormat="1" ht="21" x14ac:dyDescent="0.35">
      <c r="A2" s="28" t="s">
        <v>875</v>
      </c>
      <c r="B2" s="38"/>
      <c r="C2" s="50" t="s">
        <v>876</v>
      </c>
      <c r="D2" s="37"/>
      <c r="E2" s="37"/>
      <c r="F2" s="37"/>
      <c r="G2" s="15"/>
      <c r="H2" s="38"/>
      <c r="I2" s="38"/>
      <c r="J2" s="54"/>
      <c r="K2" s="38"/>
      <c r="L2" s="38"/>
      <c r="M2" s="38"/>
      <c r="N2" s="38"/>
      <c r="O2" s="38"/>
      <c r="P2" s="54"/>
      <c r="Q2" s="38"/>
      <c r="R2" s="38"/>
      <c r="S2" s="38"/>
      <c r="T2" s="38"/>
      <c r="U2" s="38"/>
      <c r="V2" s="38"/>
      <c r="W2" s="38"/>
      <c r="X2" s="28"/>
      <c r="Y2" s="28"/>
    </row>
    <row r="3" spans="1:25" ht="15.75" x14ac:dyDescent="0.25">
      <c r="A3" s="51" t="s">
        <v>1</v>
      </c>
      <c r="B3" s="41"/>
      <c r="C3" s="54" t="s">
        <v>877</v>
      </c>
      <c r="D3" s="29"/>
      <c r="E3" s="29"/>
      <c r="F3" s="29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42"/>
    </row>
    <row r="4" spans="1:25" ht="15.75" x14ac:dyDescent="0.25">
      <c r="A4" s="51" t="s">
        <v>2</v>
      </c>
      <c r="B4" s="41"/>
      <c r="C4" s="54" t="s">
        <v>617</v>
      </c>
      <c r="D4" s="29"/>
      <c r="E4" s="29"/>
      <c r="F4" s="29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  <c r="Y4" s="42"/>
    </row>
    <row r="5" spans="1:25" ht="15.75" x14ac:dyDescent="0.25">
      <c r="A5" s="51"/>
      <c r="B5" s="41"/>
      <c r="C5" s="51" t="s">
        <v>32</v>
      </c>
      <c r="D5" s="29"/>
      <c r="E5" s="29"/>
      <c r="F5" s="2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0"/>
      <c r="Y5" s="40"/>
    </row>
    <row r="6" spans="1:25" ht="15.75" x14ac:dyDescent="0.25">
      <c r="A6" s="51" t="s">
        <v>929</v>
      </c>
      <c r="B6" s="41"/>
      <c r="C6" s="292"/>
      <c r="D6" s="29"/>
      <c r="E6" s="29"/>
      <c r="F6" s="2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0"/>
      <c r="Y6" s="40"/>
    </row>
    <row r="7" spans="1:25" ht="24" thickBot="1" x14ac:dyDescent="0.4">
      <c r="A7" s="651"/>
      <c r="B7" s="652"/>
      <c r="C7" s="652"/>
      <c r="D7" s="652"/>
      <c r="E7" s="652"/>
      <c r="F7" s="653"/>
      <c r="G7" s="65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0"/>
      <c r="Y7" s="40"/>
    </row>
    <row r="8" spans="1:25" ht="30.75" thickBot="1" x14ac:dyDescent="0.3">
      <c r="A8" s="353" t="s">
        <v>130</v>
      </c>
      <c r="B8" s="33" t="s">
        <v>124</v>
      </c>
      <c r="C8" s="144" t="s">
        <v>14</v>
      </c>
      <c r="D8" s="12" t="s">
        <v>15</v>
      </c>
      <c r="E8" s="26" t="s">
        <v>16</v>
      </c>
      <c r="F8" s="23" t="s">
        <v>408</v>
      </c>
      <c r="G8" s="24" t="s">
        <v>409</v>
      </c>
      <c r="H8" s="23" t="s">
        <v>410</v>
      </c>
      <c r="I8" s="24" t="s">
        <v>411</v>
      </c>
      <c r="J8" s="23" t="s">
        <v>412</v>
      </c>
      <c r="K8" s="24" t="s">
        <v>416</v>
      </c>
      <c r="L8" s="24" t="s">
        <v>606</v>
      </c>
      <c r="M8" s="24" t="s">
        <v>607</v>
      </c>
      <c r="N8" s="24" t="s">
        <v>608</v>
      </c>
      <c r="O8" s="24" t="s">
        <v>609</v>
      </c>
      <c r="P8" s="24" t="s">
        <v>610</v>
      </c>
      <c r="Q8" s="24" t="s">
        <v>611</v>
      </c>
      <c r="R8" s="23" t="s">
        <v>612</v>
      </c>
      <c r="S8" s="24" t="s">
        <v>613</v>
      </c>
      <c r="T8" s="24" t="s">
        <v>614</v>
      </c>
      <c r="U8" s="24" t="s">
        <v>619</v>
      </c>
      <c r="V8" s="12" t="s">
        <v>144</v>
      </c>
      <c r="W8" s="12" t="s">
        <v>145</v>
      </c>
    </row>
    <row r="9" spans="1:25" s="31" customFormat="1" ht="15.75" thickBot="1" x14ac:dyDescent="0.3">
      <c r="A9" s="354" t="s">
        <v>28</v>
      </c>
      <c r="B9" s="354" t="s">
        <v>78</v>
      </c>
      <c r="C9" s="363">
        <v>30658</v>
      </c>
      <c r="D9" s="367">
        <f t="shared" ref="D9:D15" si="0">SUM(F9:W9)</f>
        <v>30658</v>
      </c>
      <c r="E9" s="293">
        <f t="shared" ref="E9:E15" si="1">C9-D9</f>
        <v>0</v>
      </c>
      <c r="F9" s="104"/>
      <c r="G9" s="95"/>
      <c r="H9" s="95"/>
      <c r="I9" s="95"/>
      <c r="J9" s="362"/>
      <c r="K9" s="201"/>
      <c r="L9" s="363">
        <v>30658</v>
      </c>
      <c r="M9" s="201"/>
      <c r="N9" s="201"/>
      <c r="O9" s="201"/>
      <c r="P9" s="201"/>
      <c r="Q9" s="201"/>
      <c r="R9" s="201"/>
      <c r="S9" s="201"/>
      <c r="T9" s="201"/>
      <c r="U9" s="201"/>
      <c r="V9"/>
      <c r="W9"/>
    </row>
    <row r="10" spans="1:25" s="31" customFormat="1" ht="15.75" thickBot="1" x14ac:dyDescent="0.3">
      <c r="A10" s="354" t="s">
        <v>29</v>
      </c>
      <c r="B10" s="354" t="s">
        <v>289</v>
      </c>
      <c r="C10" s="363">
        <v>2403</v>
      </c>
      <c r="D10" s="367">
        <f t="shared" si="0"/>
        <v>2403</v>
      </c>
      <c r="E10" s="293">
        <f t="shared" si="1"/>
        <v>0</v>
      </c>
      <c r="F10" s="61"/>
      <c r="G10" s="61"/>
      <c r="H10" s="61"/>
      <c r="I10" s="61"/>
      <c r="J10" s="362"/>
      <c r="K10" s="171"/>
      <c r="L10" s="363">
        <v>2403</v>
      </c>
      <c r="M10" s="171"/>
      <c r="N10" s="171"/>
      <c r="O10" s="171"/>
      <c r="P10" s="171"/>
      <c r="Q10" s="171"/>
      <c r="R10" s="171"/>
      <c r="S10" s="171"/>
      <c r="T10" s="171"/>
      <c r="U10" s="171"/>
      <c r="V10"/>
      <c r="W10"/>
    </row>
    <row r="11" spans="1:25" s="31" customFormat="1" ht="15.75" thickBot="1" x14ac:dyDescent="0.3">
      <c r="A11" s="354" t="s">
        <v>66</v>
      </c>
      <c r="B11" s="354" t="s">
        <v>73</v>
      </c>
      <c r="C11" s="363">
        <v>135852</v>
      </c>
      <c r="D11" s="367">
        <f t="shared" si="0"/>
        <v>135852</v>
      </c>
      <c r="E11" s="293">
        <f t="shared" si="1"/>
        <v>0</v>
      </c>
      <c r="F11" s="61"/>
      <c r="G11" s="61"/>
      <c r="H11" s="61"/>
      <c r="I11" s="61"/>
      <c r="J11" s="171"/>
      <c r="K11" s="171"/>
      <c r="L11" s="363">
        <v>135852</v>
      </c>
      <c r="M11" s="171"/>
      <c r="N11" s="171"/>
      <c r="O11" s="171"/>
      <c r="P11" s="171"/>
      <c r="Q11" s="171"/>
      <c r="R11" s="171"/>
      <c r="S11" s="171"/>
      <c r="T11" s="171"/>
      <c r="U11" s="171"/>
      <c r="V11"/>
      <c r="W11"/>
    </row>
    <row r="12" spans="1:25" s="31" customFormat="1" ht="15.75" thickBot="1" x14ac:dyDescent="0.3">
      <c r="A12" s="354" t="s">
        <v>871</v>
      </c>
      <c r="B12" s="354" t="s">
        <v>867</v>
      </c>
      <c r="C12" s="363">
        <v>1088</v>
      </c>
      <c r="D12" s="367">
        <f t="shared" si="0"/>
        <v>1088</v>
      </c>
      <c r="E12" s="293">
        <f t="shared" si="1"/>
        <v>0</v>
      </c>
      <c r="F12" s="61"/>
      <c r="G12" s="61"/>
      <c r="H12" s="61"/>
      <c r="I12" s="61"/>
      <c r="J12" s="171"/>
      <c r="K12" s="171"/>
      <c r="L12" s="363">
        <v>1088</v>
      </c>
      <c r="M12" s="171"/>
      <c r="N12" s="171"/>
      <c r="O12" s="171"/>
      <c r="P12" s="171"/>
      <c r="Q12" s="171"/>
      <c r="R12" s="171"/>
      <c r="S12" s="171"/>
      <c r="T12" s="171"/>
      <c r="U12" s="171"/>
      <c r="V12"/>
      <c r="W12"/>
    </row>
    <row r="13" spans="1:25" s="31" customFormat="1" ht="15.75" thickBot="1" x14ac:dyDescent="0.3">
      <c r="A13" s="354" t="s">
        <v>872</v>
      </c>
      <c r="B13" s="354" t="s">
        <v>868</v>
      </c>
      <c r="C13" s="363">
        <v>23000</v>
      </c>
      <c r="D13" s="367">
        <f t="shared" si="0"/>
        <v>23000</v>
      </c>
      <c r="E13" s="293">
        <f t="shared" si="1"/>
        <v>0</v>
      </c>
      <c r="F13" s="61"/>
      <c r="G13" s="61"/>
      <c r="H13" s="61"/>
      <c r="I13" s="61"/>
      <c r="J13" s="171"/>
      <c r="K13" s="171"/>
      <c r="L13" s="363">
        <v>23000</v>
      </c>
      <c r="M13" s="171"/>
      <c r="N13" s="171"/>
      <c r="O13" s="171"/>
      <c r="P13" s="171"/>
      <c r="Q13" s="171"/>
      <c r="R13" s="171"/>
      <c r="S13" s="171"/>
      <c r="T13" s="171"/>
      <c r="U13" s="171"/>
      <c r="V13"/>
      <c r="W13"/>
    </row>
    <row r="14" spans="1:25" s="31" customFormat="1" ht="15.75" thickBot="1" x14ac:dyDescent="0.3">
      <c r="A14" s="354" t="s">
        <v>873</v>
      </c>
      <c r="B14" s="354" t="s">
        <v>869</v>
      </c>
      <c r="C14" s="363">
        <v>2000</v>
      </c>
      <c r="D14" s="367">
        <f t="shared" si="0"/>
        <v>2000</v>
      </c>
      <c r="E14" s="293">
        <f t="shared" si="1"/>
        <v>0</v>
      </c>
      <c r="F14" s="61"/>
      <c r="G14" s="61"/>
      <c r="H14" s="61"/>
      <c r="I14" s="61"/>
      <c r="J14" s="171"/>
      <c r="K14" s="171"/>
      <c r="L14" s="363">
        <v>2000</v>
      </c>
      <c r="M14" s="171"/>
      <c r="N14" s="171"/>
      <c r="O14" s="171"/>
      <c r="P14" s="171"/>
      <c r="Q14" s="171"/>
      <c r="R14" s="171"/>
      <c r="S14" s="171"/>
      <c r="T14" s="171"/>
      <c r="U14" s="171"/>
      <c r="V14"/>
      <c r="W14"/>
    </row>
    <row r="15" spans="1:25" ht="15.75" thickBot="1" x14ac:dyDescent="0.3">
      <c r="A15" s="354" t="s">
        <v>245</v>
      </c>
      <c r="B15" s="354" t="s">
        <v>870</v>
      </c>
      <c r="C15" s="363">
        <v>5000</v>
      </c>
      <c r="D15" s="367">
        <f t="shared" si="0"/>
        <v>5000</v>
      </c>
      <c r="E15" s="293">
        <f t="shared" si="1"/>
        <v>0</v>
      </c>
      <c r="F15" s="61"/>
      <c r="G15" s="61"/>
      <c r="H15" s="61"/>
      <c r="I15" s="61"/>
      <c r="J15" s="171"/>
      <c r="K15" s="171"/>
      <c r="L15" s="363">
        <v>5000</v>
      </c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5" s="14" customFormat="1" ht="15.75" thickBot="1" x14ac:dyDescent="0.3">
      <c r="A16" s="366"/>
      <c r="B16" s="364"/>
      <c r="C16" s="365"/>
      <c r="D16" s="82"/>
      <c r="E16" s="82"/>
      <c r="F16" s="72"/>
      <c r="G16" s="72"/>
      <c r="H16" s="72"/>
      <c r="I16" s="7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72"/>
      <c r="W16" s="72"/>
    </row>
    <row r="17" spans="1:25" x14ac:dyDescent="0.25">
      <c r="A17" s="2"/>
      <c r="C17" s="2"/>
      <c r="E17" s="16"/>
      <c r="F17" s="16"/>
      <c r="G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X17" s="16"/>
      <c r="Y17" s="16"/>
    </row>
    <row r="18" spans="1:25" x14ac:dyDescent="0.25">
      <c r="A18" s="2"/>
      <c r="C18" s="16"/>
      <c r="D18" s="16"/>
      <c r="E18" s="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X18" s="16"/>
      <c r="Y18" s="16"/>
    </row>
    <row r="19" spans="1:25" x14ac:dyDescent="0.25">
      <c r="A19" s="2"/>
      <c r="C19" s="16"/>
      <c r="D19" s="16"/>
      <c r="E19" s="16"/>
      <c r="Q19" s="16"/>
      <c r="X19" s="16"/>
      <c r="Y19" s="16"/>
    </row>
  </sheetData>
  <sheetProtection algorithmName="SHA-512" hashValue="Lz9/DlfS8i96R0Kb05P/c8KMzeQOo0IjUDYAOzI7XpvktxmylMu4UzvemX3VIOMaq+KmUleN6vQWKGVE/UbVSQ==" saltValue="ilD5OpkmjWpYtxEv1EGxBg==" spinCount="100000" sheet="1" objects="1" scenarios="1"/>
  <mergeCells count="1">
    <mergeCell ref="A7:G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2"/>
  </sheetPr>
  <dimension ref="A1:W12"/>
  <sheetViews>
    <sheetView zoomScale="70" zoomScaleNormal="70" workbookViewId="0">
      <selection activeCell="B15" sqref="B15"/>
    </sheetView>
  </sheetViews>
  <sheetFormatPr defaultColWidth="8.5703125" defaultRowHeight="15" x14ac:dyDescent="0.25"/>
  <cols>
    <col min="1" max="1" width="12.5703125" customWidth="1"/>
    <col min="2" max="2" width="30.42578125" customWidth="1"/>
    <col min="3" max="3" width="17.5703125" customWidth="1"/>
    <col min="4" max="4" width="16" bestFit="1" customWidth="1"/>
    <col min="5" max="5" width="16.5703125" bestFit="1" customWidth="1"/>
    <col min="6" max="6" width="13.42578125" customWidth="1"/>
    <col min="7" max="7" width="12.5703125" customWidth="1"/>
    <col min="8" max="8" width="15.42578125" customWidth="1"/>
    <col min="9" max="9" width="15" bestFit="1" customWidth="1"/>
    <col min="10" max="11" width="14.5703125" customWidth="1"/>
    <col min="12" max="15" width="12.5703125" customWidth="1"/>
    <col min="16" max="16" width="15.5703125" customWidth="1"/>
    <col min="17" max="17" width="14.42578125" customWidth="1"/>
    <col min="18" max="18" width="12.5703125" customWidth="1"/>
    <col min="19" max="19" width="14.5703125" customWidth="1"/>
    <col min="20" max="23" width="12.5703125" customWidth="1"/>
  </cols>
  <sheetData>
    <row r="1" spans="1:23" ht="21" x14ac:dyDescent="0.35">
      <c r="A1" s="28" t="s">
        <v>0</v>
      </c>
      <c r="B1" s="41"/>
      <c r="C1" s="37" t="s">
        <v>333</v>
      </c>
      <c r="D1" s="28"/>
      <c r="E1" s="38"/>
      <c r="F1" s="28" t="str">
        <f>$C$1</f>
        <v>Colorado Multi-Tiered Behavioral Framework: School Climate Grant</v>
      </c>
      <c r="G1" s="28"/>
      <c r="H1" s="28"/>
      <c r="I1" s="28"/>
      <c r="J1" s="28"/>
      <c r="K1" s="28"/>
      <c r="L1" s="37"/>
      <c r="M1" s="37"/>
      <c r="N1" s="37"/>
      <c r="O1" s="28"/>
      <c r="P1" s="28"/>
      <c r="Q1" s="38"/>
      <c r="R1" s="28"/>
      <c r="S1" s="42"/>
      <c r="T1" s="42"/>
      <c r="U1" s="37"/>
      <c r="V1" s="37"/>
      <c r="W1" s="28"/>
    </row>
    <row r="2" spans="1:23" ht="21" x14ac:dyDescent="0.35">
      <c r="A2" s="28" t="s">
        <v>137</v>
      </c>
      <c r="B2" s="38"/>
      <c r="C2" s="28" t="s">
        <v>431</v>
      </c>
      <c r="D2" s="29"/>
      <c r="E2" s="9"/>
      <c r="F2" s="109"/>
      <c r="G2" s="40"/>
      <c r="H2" s="40"/>
      <c r="I2" s="40"/>
      <c r="J2" s="40"/>
      <c r="K2" s="40"/>
      <c r="L2" s="9"/>
      <c r="M2" s="9"/>
      <c r="N2" s="9"/>
      <c r="O2" s="40"/>
      <c r="P2" s="40"/>
      <c r="Q2" s="40"/>
      <c r="R2" s="109"/>
      <c r="S2" s="40"/>
      <c r="T2" s="40"/>
      <c r="U2" s="40"/>
      <c r="V2" s="40"/>
      <c r="W2" s="9"/>
    </row>
    <row r="3" spans="1:23" ht="15.75" x14ac:dyDescent="0.25">
      <c r="A3" s="29" t="s">
        <v>1</v>
      </c>
      <c r="B3" s="41"/>
      <c r="C3" s="39">
        <v>8174</v>
      </c>
      <c r="D3" s="29"/>
      <c r="E3" s="18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5.75" x14ac:dyDescent="0.25">
      <c r="A4" s="29" t="s">
        <v>2</v>
      </c>
      <c r="B4" s="41"/>
      <c r="C4" s="39" t="s">
        <v>401</v>
      </c>
      <c r="D4" s="29"/>
      <c r="E4" s="1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29" t="s">
        <v>18</v>
      </c>
      <c r="B5" s="41"/>
      <c r="C5" s="292" t="s">
        <v>572</v>
      </c>
      <c r="D5" s="29"/>
      <c r="E5" s="9"/>
      <c r="F5" s="40"/>
      <c r="G5" s="40"/>
      <c r="H5" s="40"/>
      <c r="I5" s="40"/>
      <c r="J5" s="40"/>
      <c r="K5" s="40"/>
      <c r="L5" s="9"/>
      <c r="M5" s="9"/>
      <c r="N5" s="9"/>
      <c r="O5" s="40"/>
      <c r="P5" s="40"/>
      <c r="Q5" s="40"/>
      <c r="R5" s="40"/>
      <c r="S5" s="40"/>
      <c r="T5" s="40"/>
      <c r="U5" s="40"/>
      <c r="V5" s="40"/>
      <c r="W5" s="40"/>
    </row>
    <row r="6" spans="1:23" ht="16.5" thickBot="1" x14ac:dyDescent="0.3">
      <c r="A6" s="29" t="s">
        <v>930</v>
      </c>
      <c r="B6" s="41"/>
      <c r="C6" s="29"/>
      <c r="D6" s="29"/>
      <c r="E6" s="9"/>
      <c r="F6" s="40"/>
      <c r="G6" s="40"/>
      <c r="H6" s="40"/>
      <c r="I6" s="40"/>
      <c r="J6" s="40"/>
      <c r="K6" s="40"/>
      <c r="L6" s="9"/>
      <c r="M6" s="9"/>
      <c r="N6" s="9"/>
      <c r="O6" s="40"/>
      <c r="P6" s="40"/>
      <c r="Q6" s="40"/>
      <c r="R6" s="40"/>
      <c r="S6" s="40"/>
      <c r="T6" s="40"/>
      <c r="U6" s="40"/>
      <c r="V6" s="40"/>
      <c r="W6" s="40"/>
    </row>
    <row r="7" spans="1:23" ht="45.6" customHeight="1" thickBot="1" x14ac:dyDescent="0.3">
      <c r="A7" s="105" t="s">
        <v>130</v>
      </c>
      <c r="B7" s="12" t="s">
        <v>124</v>
      </c>
      <c r="C7" s="12" t="s">
        <v>14</v>
      </c>
      <c r="D7" s="13" t="s">
        <v>15</v>
      </c>
      <c r="E7" s="26" t="s">
        <v>16</v>
      </c>
      <c r="F7" s="23">
        <v>44105</v>
      </c>
      <c r="G7" s="24">
        <v>44136</v>
      </c>
      <c r="H7" s="23">
        <v>44166</v>
      </c>
      <c r="I7" s="24">
        <v>44197</v>
      </c>
      <c r="J7" s="23">
        <v>44228</v>
      </c>
      <c r="K7" s="24">
        <v>44256</v>
      </c>
      <c r="L7" s="23">
        <v>44287</v>
      </c>
      <c r="M7" s="24">
        <v>44317</v>
      </c>
      <c r="N7" s="23">
        <v>44348</v>
      </c>
      <c r="O7" s="24">
        <v>44378</v>
      </c>
      <c r="P7" s="23">
        <v>44409</v>
      </c>
      <c r="Q7" s="24">
        <v>44440</v>
      </c>
      <c r="R7" s="23">
        <v>44470</v>
      </c>
      <c r="S7" s="24">
        <v>44501</v>
      </c>
      <c r="T7" s="23">
        <v>44531</v>
      </c>
      <c r="U7" s="24">
        <v>44562</v>
      </c>
      <c r="V7" s="23">
        <v>44593</v>
      </c>
      <c r="W7" s="24">
        <v>44621</v>
      </c>
    </row>
    <row r="8" spans="1:23" ht="22.5" customHeight="1" thickBot="1" x14ac:dyDescent="0.3">
      <c r="A8" s="85">
        <v>1450</v>
      </c>
      <c r="B8" s="86" t="s">
        <v>419</v>
      </c>
      <c r="C8" s="329">
        <v>90000</v>
      </c>
      <c r="D8" s="87">
        <f>SUM(F8:W8)</f>
        <v>0</v>
      </c>
      <c r="E8" s="206">
        <f>C8-D8</f>
        <v>90000</v>
      </c>
      <c r="F8" s="279"/>
      <c r="G8" s="279"/>
      <c r="H8" s="279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ht="27.75" customHeight="1" thickBot="1" x14ac:dyDescent="0.3">
      <c r="A9" s="57" t="s">
        <v>80</v>
      </c>
      <c r="B9" s="102" t="s">
        <v>81</v>
      </c>
      <c r="C9" s="329">
        <v>90000</v>
      </c>
      <c r="D9" s="206">
        <f>SUM(F9:W9)</f>
        <v>50890.99</v>
      </c>
      <c r="E9" s="206">
        <f>C9-D9</f>
        <v>39109.01</v>
      </c>
      <c r="F9" s="279">
        <v>15314.13</v>
      </c>
      <c r="G9" s="279">
        <v>3189</v>
      </c>
      <c r="H9" s="279">
        <v>10999.76</v>
      </c>
      <c r="I9" s="88"/>
      <c r="J9" s="265">
        <v>21388.1</v>
      </c>
      <c r="K9" s="88"/>
      <c r="L9" s="88"/>
      <c r="M9" s="88"/>
      <c r="N9" s="88"/>
      <c r="O9" s="88"/>
      <c r="P9" s="265"/>
      <c r="Q9" s="265"/>
      <c r="R9" s="265"/>
      <c r="S9" s="265"/>
      <c r="T9" s="265"/>
      <c r="U9" s="265"/>
      <c r="V9" s="265"/>
      <c r="W9" s="265"/>
    </row>
    <row r="10" spans="1:23" ht="36" customHeight="1" thickBot="1" x14ac:dyDescent="0.3">
      <c r="A10" s="103" t="s">
        <v>251</v>
      </c>
      <c r="B10" s="102" t="s">
        <v>264</v>
      </c>
      <c r="C10" s="329">
        <v>90000</v>
      </c>
      <c r="D10" s="206">
        <f>SUM(F10:W10)</f>
        <v>49740.11</v>
      </c>
      <c r="E10" s="206">
        <f>C10-D10</f>
        <v>40259.89</v>
      </c>
      <c r="F10" s="280"/>
      <c r="G10" s="279"/>
      <c r="H10" s="279">
        <v>19937.419999999998</v>
      </c>
      <c r="I10" s="282">
        <v>29802.69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265"/>
      <c r="V10" s="265"/>
      <c r="W10" s="265"/>
    </row>
    <row r="11" spans="1:23" ht="35.85" customHeight="1" thickBot="1" x14ac:dyDescent="0.3">
      <c r="A11" s="57" t="s">
        <v>420</v>
      </c>
      <c r="B11" s="102" t="s">
        <v>421</v>
      </c>
      <c r="C11" s="329">
        <v>90000</v>
      </c>
      <c r="D11" s="206">
        <f>SUM(F11:W11)</f>
        <v>27765.5</v>
      </c>
      <c r="E11" s="206">
        <f>C11-D11</f>
        <v>62234.5</v>
      </c>
      <c r="F11" s="279">
        <v>27765.5</v>
      </c>
      <c r="G11" s="279"/>
      <c r="H11" s="279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s="14" customFormat="1" ht="15.75" thickBot="1" x14ac:dyDescent="0.3">
      <c r="A12" s="59" t="s">
        <v>44</v>
      </c>
      <c r="B12" s="35"/>
      <c r="C12" s="60">
        <f>SUM(C8:C11)</f>
        <v>360000</v>
      </c>
      <c r="D12" s="207">
        <f>SUM(D8:D11)</f>
        <v>128396.6</v>
      </c>
      <c r="E12" s="207">
        <f>SUM(E8:E11)</f>
        <v>231603.40000000002</v>
      </c>
      <c r="F12" s="281">
        <f t="shared" ref="F12:K12" si="0">SUM(F8:F10)</f>
        <v>15314.13</v>
      </c>
      <c r="G12" s="281">
        <f t="shared" si="0"/>
        <v>3189</v>
      </c>
      <c r="H12" s="281">
        <f t="shared" si="0"/>
        <v>30937.18</v>
      </c>
      <c r="I12" s="207">
        <f t="shared" si="0"/>
        <v>29802.69</v>
      </c>
      <c r="J12" s="207">
        <f t="shared" si="0"/>
        <v>21388.1</v>
      </c>
      <c r="K12" s="60">
        <f t="shared" si="0"/>
        <v>0</v>
      </c>
      <c r="L12" s="60">
        <f t="shared" ref="L12:W12" si="1">SUM(L8:L10)</f>
        <v>0</v>
      </c>
      <c r="M12" s="60">
        <f t="shared" si="1"/>
        <v>0</v>
      </c>
      <c r="N12" s="60">
        <f t="shared" si="1"/>
        <v>0</v>
      </c>
      <c r="O12" s="60">
        <f t="shared" si="1"/>
        <v>0</v>
      </c>
      <c r="P12" s="207">
        <f t="shared" si="1"/>
        <v>0</v>
      </c>
      <c r="Q12" s="207">
        <f t="shared" si="1"/>
        <v>0</v>
      </c>
      <c r="R12" s="207">
        <f t="shared" si="1"/>
        <v>0</v>
      </c>
      <c r="S12" s="207">
        <f t="shared" si="1"/>
        <v>0</v>
      </c>
      <c r="T12" s="60">
        <f t="shared" si="1"/>
        <v>0</v>
      </c>
      <c r="U12" s="60">
        <f t="shared" si="1"/>
        <v>0</v>
      </c>
      <c r="V12" s="60">
        <f t="shared" si="1"/>
        <v>0</v>
      </c>
      <c r="W12" s="60">
        <f t="shared" si="1"/>
        <v>0</v>
      </c>
    </row>
  </sheetData>
  <sheetProtection algorithmName="SHA-512" hashValue="+E2vCLRcX4DiGf1IstoowMhh7kn3RoB24EBzP1Cr0HUW51eqnbsH9S40IrzW+g62VwU8/ADRvfkLrS+wuJs8cw==" saltValue="ww2fLtE5af9ScVhWcrObpg==" spinCount="100000" sheet="1" objects="1" scenarios="1"/>
  <hyperlinks>
    <hyperlink ref="C5" r:id="rId1" xr:uid="{C9FEDDC5-D3EE-43BD-AF2A-39D3739FF8E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SLFRF - Concurrent Enrollment</vt:lpstr>
      <vt:lpstr>21ST ESSER I</vt:lpstr>
      <vt:lpstr>21ST C8</vt:lpstr>
      <vt:lpstr>21ST C9</vt:lpstr>
      <vt:lpstr>21ST CE2</vt:lpstr>
      <vt:lpstr>CLSD</vt:lpstr>
      <vt:lpstr>SRAE</vt:lpstr>
      <vt:lpstr>Workforce Diploma</vt:lpstr>
      <vt:lpstr>Colorado School Climate</vt:lpstr>
      <vt:lpstr>MTB Framework</vt:lpstr>
      <vt:lpstr>BEST Instruction</vt:lpstr>
      <vt:lpstr>AEFLA Match &amp; PI</vt:lpstr>
      <vt:lpstr>CDC Impr Student Health</vt:lpstr>
      <vt:lpstr>DB Centers</vt:lpstr>
      <vt:lpstr>High Flyers</vt:lpstr>
      <vt:lpstr>JAVITS R4R</vt:lpstr>
      <vt:lpstr>JAVITS R4R Y042</vt:lpstr>
      <vt:lpstr>IEL CIVICS Match &amp; PI</vt:lpstr>
      <vt:lpstr>McKinney Vento</vt:lpstr>
      <vt:lpstr>MSIX</vt:lpstr>
      <vt:lpstr>MTSS </vt:lpstr>
      <vt:lpstr>ARP HRCY 27SD</vt:lpstr>
      <vt:lpstr>ARP HRCY II 27SE</vt:lpstr>
      <vt:lpstr>Project Aware</vt:lpstr>
      <vt:lpstr>TITLE IC MIGRANT</vt:lpstr>
      <vt:lpstr>Title I Reallocated Assistance</vt:lpstr>
      <vt:lpstr>TITLE II B MSP</vt:lpstr>
      <vt:lpstr>Title III PD</vt:lpstr>
      <vt:lpstr>All_Allocations</vt:lpstr>
      <vt:lpstr>Charter School Remote Learning</vt:lpstr>
      <vt:lpstr>TITLE VI Charter 2020</vt:lpstr>
      <vt:lpstr>TITLE V CHARTER 44xC </vt:lpstr>
      <vt:lpstr>GEERS CEL</vt:lpstr>
      <vt:lpstr>GEERS QT</vt:lpstr>
      <vt:lpstr>Sheet2</vt:lpstr>
      <vt:lpstr>Sheet1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Davis, Evan</cp:lastModifiedBy>
  <cp:lastPrinted>2022-01-13T17:30:39Z</cp:lastPrinted>
  <dcterms:created xsi:type="dcterms:W3CDTF">2011-11-11T22:30:43Z</dcterms:created>
  <dcterms:modified xsi:type="dcterms:W3CDTF">2022-09-13T17:58:24Z</dcterms:modified>
</cp:coreProperties>
</file>