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S:\A_Payments\Distribution Sheets\ESSA-NCLB-ESSER Distributions\"/>
    </mc:Choice>
  </mc:AlternateContent>
  <xr:revisionPtr revIDLastSave="0" documentId="13_ncr:1_{8E5AE743-AF68-4C6E-8363-0A57091DB97B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ESSER II - Grant Code 4420" sheetId="1" r:id="rId1"/>
    <sheet name="Supplemental - Grant Code 4419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B102" i="2" l="1"/>
  <c r="AB103" i="2"/>
  <c r="AB92" i="2"/>
  <c r="AB148" i="2" s="1"/>
  <c r="AB153" i="2"/>
  <c r="AB81" i="2"/>
  <c r="AB109" i="2"/>
  <c r="AB57" i="2"/>
  <c r="AB191" i="1"/>
  <c r="AB124" i="1"/>
  <c r="AB118" i="1"/>
  <c r="AB17" i="1"/>
  <c r="AB24" i="1"/>
  <c r="AA153" i="2"/>
  <c r="AA148" i="2"/>
  <c r="AA155" i="2" s="1"/>
  <c r="AA81" i="2"/>
  <c r="AA66" i="2"/>
  <c r="AA57" i="2"/>
  <c r="AA191" i="1"/>
  <c r="AA127" i="1"/>
  <c r="Z57" i="2"/>
  <c r="Y74" i="1"/>
  <c r="Z191" i="1"/>
  <c r="Z27" i="1"/>
  <c r="Y20" i="2"/>
  <c r="Y85" i="2"/>
  <c r="Y180" i="1"/>
  <c r="Y50" i="1"/>
  <c r="Y16" i="1"/>
  <c r="Y12" i="1"/>
  <c r="X12" i="2"/>
  <c r="Y57" i="2"/>
  <c r="Y95" i="2"/>
  <c r="Y19" i="2"/>
  <c r="Y144" i="1"/>
  <c r="Y88" i="1"/>
  <c r="AB155" i="2" l="1"/>
  <c r="Y36" i="1"/>
  <c r="Y191" i="1"/>
  <c r="X41" i="1"/>
  <c r="X184" i="1"/>
  <c r="X148" i="1"/>
  <c r="X136" i="1"/>
  <c r="X87" i="1"/>
  <c r="W103" i="2"/>
  <c r="W133" i="2"/>
  <c r="W19" i="2"/>
  <c r="W178" i="1"/>
  <c r="W72" i="1"/>
  <c r="W60" i="1"/>
  <c r="W57" i="1"/>
  <c r="W50" i="1"/>
  <c r="W191" i="1" s="1"/>
  <c r="W36" i="1"/>
  <c r="W27" i="1"/>
  <c r="X191" i="1"/>
  <c r="T44" i="1" l="1"/>
  <c r="U44" i="1"/>
  <c r="T153" i="1"/>
  <c r="V98" i="2"/>
  <c r="V133" i="2"/>
  <c r="V191" i="1"/>
  <c r="V185" i="1"/>
  <c r="V144" i="1"/>
  <c r="V85" i="1"/>
  <c r="V54" i="1"/>
  <c r="T39" i="2"/>
  <c r="T119" i="1"/>
  <c r="U189" i="1" l="1"/>
  <c r="U95" i="2"/>
  <c r="U24" i="2"/>
  <c r="U11" i="2"/>
  <c r="U177" i="1" l="1"/>
  <c r="U117" i="1"/>
  <c r="U96" i="1"/>
  <c r="U63" i="1"/>
  <c r="U43" i="1"/>
  <c r="U11" i="1" l="1"/>
  <c r="U191" i="1"/>
  <c r="T78" i="1" l="1"/>
  <c r="T50" i="1"/>
  <c r="T42" i="1"/>
  <c r="T191" i="1" s="1"/>
  <c r="E81" i="2"/>
  <c r="T57" i="2"/>
  <c r="U57" i="2"/>
  <c r="V57" i="2"/>
  <c r="W57" i="2"/>
  <c r="X57" i="2"/>
  <c r="S57" i="2"/>
  <c r="S160" i="1"/>
  <c r="S148" i="1"/>
  <c r="S103" i="1"/>
  <c r="S63" i="1"/>
  <c r="S61" i="1"/>
  <c r="S53" i="1"/>
  <c r="S191" i="1" s="1"/>
  <c r="S50" i="1"/>
  <c r="S23" i="1"/>
  <c r="S18" i="1"/>
  <c r="R163" i="1"/>
  <c r="R138" i="2"/>
  <c r="R57" i="2"/>
  <c r="R126" i="1"/>
  <c r="R92" i="1"/>
  <c r="R88" i="1"/>
  <c r="R62" i="1"/>
  <c r="R14" i="1"/>
  <c r="R12" i="1"/>
  <c r="Q57" i="2"/>
  <c r="Q165" i="1"/>
  <c r="Q121" i="1"/>
  <c r="Q119" i="1"/>
  <c r="Q118" i="1"/>
  <c r="Q96" i="1"/>
  <c r="Q85" i="1"/>
  <c r="Q17" i="1"/>
  <c r="Q191" i="1"/>
  <c r="R191" i="1"/>
  <c r="P123" i="1"/>
  <c r="P49" i="1"/>
  <c r="P57" i="2" l="1"/>
  <c r="O62" i="1"/>
  <c r="O158" i="1"/>
  <c r="O57" i="2"/>
  <c r="N57" i="2"/>
  <c r="H155" i="2"/>
  <c r="I155" i="2"/>
  <c r="J155" i="2"/>
  <c r="K155" i="2"/>
  <c r="L155" i="2"/>
  <c r="H153" i="2"/>
  <c r="I153" i="2"/>
  <c r="J153" i="2"/>
  <c r="K153" i="2"/>
  <c r="L153" i="2"/>
  <c r="M153" i="2"/>
  <c r="N153" i="2"/>
  <c r="O153" i="2"/>
  <c r="P153" i="2"/>
  <c r="Q153" i="2"/>
  <c r="R153" i="2"/>
  <c r="S153" i="2"/>
  <c r="T153" i="2"/>
  <c r="U153" i="2"/>
  <c r="V153" i="2"/>
  <c r="W153" i="2"/>
  <c r="X153" i="2"/>
  <c r="Y153" i="2"/>
  <c r="Z153" i="2"/>
  <c r="H148" i="2"/>
  <c r="I148" i="2"/>
  <c r="J148" i="2"/>
  <c r="K148" i="2"/>
  <c r="L148" i="2"/>
  <c r="M148" i="2"/>
  <c r="N148" i="2"/>
  <c r="O148" i="2"/>
  <c r="P148" i="2"/>
  <c r="P155" i="2" s="1"/>
  <c r="Q148" i="2"/>
  <c r="Q155" i="2" s="1"/>
  <c r="R148" i="2"/>
  <c r="S148" i="2"/>
  <c r="T148" i="2"/>
  <c r="U148" i="2"/>
  <c r="V148" i="2"/>
  <c r="W148" i="2"/>
  <c r="X148" i="2"/>
  <c r="Y148" i="2"/>
  <c r="Z148" i="2"/>
  <c r="H81" i="2"/>
  <c r="I81" i="2"/>
  <c r="J81" i="2"/>
  <c r="K81" i="2"/>
  <c r="L81" i="2"/>
  <c r="M81" i="2"/>
  <c r="N81" i="2"/>
  <c r="N155" i="2" s="1"/>
  <c r="O81" i="2"/>
  <c r="P81" i="2"/>
  <c r="Q81" i="2"/>
  <c r="R81" i="2"/>
  <c r="S81" i="2"/>
  <c r="T81" i="2"/>
  <c r="U81" i="2"/>
  <c r="V81" i="2"/>
  <c r="W81" i="2"/>
  <c r="X81" i="2"/>
  <c r="Y81" i="2"/>
  <c r="Z81" i="2"/>
  <c r="N191" i="1"/>
  <c r="Z155" i="2" l="1"/>
  <c r="Y155" i="2"/>
  <c r="X155" i="2"/>
  <c r="W155" i="2"/>
  <c r="V155" i="2"/>
  <c r="U155" i="2"/>
  <c r="T155" i="2"/>
  <c r="S155" i="2"/>
  <c r="R155" i="2"/>
  <c r="O155" i="2"/>
  <c r="M191" i="1"/>
  <c r="C80" i="2" l="1"/>
  <c r="C72" i="2"/>
  <c r="C62" i="2"/>
  <c r="L191" i="1" l="1"/>
  <c r="C153" i="2" l="1"/>
  <c r="F152" i="2"/>
  <c r="E152" i="2"/>
  <c r="G152" i="2" s="1"/>
  <c r="F151" i="2"/>
  <c r="F153" i="2" s="1"/>
  <c r="E151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7" i="2"/>
  <c r="E118" i="2"/>
  <c r="E119" i="2"/>
  <c r="E120" i="2"/>
  <c r="E121" i="2"/>
  <c r="E122" i="2"/>
  <c r="E123" i="2"/>
  <c r="E124" i="2"/>
  <c r="E125" i="2"/>
  <c r="E126" i="2"/>
  <c r="E127" i="2"/>
  <c r="E128" i="2"/>
  <c r="E129" i="2"/>
  <c r="E130" i="2"/>
  <c r="E131" i="2"/>
  <c r="E132" i="2"/>
  <c r="E133" i="2"/>
  <c r="E134" i="2"/>
  <c r="E135" i="2"/>
  <c r="E136" i="2"/>
  <c r="E137" i="2"/>
  <c r="E138" i="2"/>
  <c r="E139" i="2"/>
  <c r="E140" i="2"/>
  <c r="E141" i="2"/>
  <c r="E142" i="2"/>
  <c r="E143" i="2"/>
  <c r="E144" i="2"/>
  <c r="E145" i="2"/>
  <c r="E146" i="2"/>
  <c r="E147" i="2"/>
  <c r="C148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E70" i="2"/>
  <c r="E71" i="2"/>
  <c r="E72" i="2"/>
  <c r="E73" i="2"/>
  <c r="E74" i="2"/>
  <c r="G74" i="2" s="1"/>
  <c r="E75" i="2"/>
  <c r="E76" i="2"/>
  <c r="E78" i="2"/>
  <c r="G78" i="2" s="1"/>
  <c r="E79" i="2"/>
  <c r="E80" i="2"/>
  <c r="E60" i="2"/>
  <c r="E61" i="2"/>
  <c r="E62" i="2"/>
  <c r="E63" i="2"/>
  <c r="E64" i="2"/>
  <c r="E65" i="2"/>
  <c r="E66" i="2"/>
  <c r="E67" i="2"/>
  <c r="E68" i="2"/>
  <c r="E69" i="2"/>
  <c r="C81" i="2"/>
  <c r="M57" i="2"/>
  <c r="M155" i="2" s="1"/>
  <c r="L57" i="2"/>
  <c r="K57" i="2"/>
  <c r="J57" i="2"/>
  <c r="I57" i="2"/>
  <c r="H57" i="2"/>
  <c r="D57" i="2"/>
  <c r="C57" i="2"/>
  <c r="F56" i="2"/>
  <c r="E56" i="2"/>
  <c r="F55" i="2"/>
  <c r="E55" i="2"/>
  <c r="F54" i="2"/>
  <c r="E54" i="2"/>
  <c r="F53" i="2"/>
  <c r="E53" i="2"/>
  <c r="F52" i="2"/>
  <c r="E52" i="2"/>
  <c r="F51" i="2"/>
  <c r="E51" i="2"/>
  <c r="F50" i="2"/>
  <c r="E50" i="2"/>
  <c r="F49" i="2"/>
  <c r="E49" i="2"/>
  <c r="F48" i="2"/>
  <c r="E48" i="2"/>
  <c r="F47" i="2"/>
  <c r="E47" i="2"/>
  <c r="F46" i="2"/>
  <c r="E46" i="2"/>
  <c r="F45" i="2"/>
  <c r="E45" i="2"/>
  <c r="F44" i="2"/>
  <c r="E44" i="2"/>
  <c r="F43" i="2"/>
  <c r="E43" i="2"/>
  <c r="F42" i="2"/>
  <c r="E42" i="2"/>
  <c r="F41" i="2"/>
  <c r="E41" i="2"/>
  <c r="F40" i="2"/>
  <c r="E40" i="2"/>
  <c r="F39" i="2"/>
  <c r="E39" i="2"/>
  <c r="F38" i="2"/>
  <c r="E38" i="2"/>
  <c r="F37" i="2"/>
  <c r="E37" i="2"/>
  <c r="F36" i="2"/>
  <c r="E36" i="2"/>
  <c r="F35" i="2"/>
  <c r="E35" i="2"/>
  <c r="F34" i="2"/>
  <c r="E34" i="2"/>
  <c r="F33" i="2"/>
  <c r="E33" i="2"/>
  <c r="F32" i="2"/>
  <c r="E32" i="2"/>
  <c r="F31" i="2"/>
  <c r="E31" i="2"/>
  <c r="F30" i="2"/>
  <c r="E30" i="2"/>
  <c r="F29" i="2"/>
  <c r="E29" i="2"/>
  <c r="F28" i="2"/>
  <c r="E28" i="2"/>
  <c r="F27" i="2"/>
  <c r="E27" i="2"/>
  <c r="F26" i="2"/>
  <c r="E26" i="2"/>
  <c r="F25" i="2"/>
  <c r="E25" i="2"/>
  <c r="F24" i="2"/>
  <c r="E24" i="2"/>
  <c r="F23" i="2"/>
  <c r="E23" i="2"/>
  <c r="F22" i="2"/>
  <c r="E22" i="2"/>
  <c r="F21" i="2"/>
  <c r="E21" i="2"/>
  <c r="F20" i="2"/>
  <c r="E20" i="2"/>
  <c r="F19" i="2"/>
  <c r="E19" i="2"/>
  <c r="F18" i="2"/>
  <c r="E18" i="2"/>
  <c r="F17" i="2"/>
  <c r="E17" i="2"/>
  <c r="F16" i="2"/>
  <c r="E16" i="2"/>
  <c r="F15" i="2"/>
  <c r="E15" i="2"/>
  <c r="F14" i="2"/>
  <c r="E14" i="2"/>
  <c r="F13" i="2"/>
  <c r="E13" i="2"/>
  <c r="F12" i="2"/>
  <c r="E12" i="2"/>
  <c r="F11" i="2"/>
  <c r="E11" i="2"/>
  <c r="G67" i="2" l="1"/>
  <c r="G63" i="2"/>
  <c r="G66" i="2"/>
  <c r="G62" i="2"/>
  <c r="G72" i="2"/>
  <c r="G79" i="2"/>
  <c r="G75" i="2"/>
  <c r="G71" i="2"/>
  <c r="G69" i="2"/>
  <c r="G65" i="2"/>
  <c r="G61" i="2"/>
  <c r="G12" i="2"/>
  <c r="G14" i="2"/>
  <c r="G16" i="2"/>
  <c r="G18" i="2"/>
  <c r="G20" i="2"/>
  <c r="G22" i="2"/>
  <c r="G24" i="2"/>
  <c r="G26" i="2"/>
  <c r="G28" i="2"/>
  <c r="G30" i="2"/>
  <c r="G32" i="2"/>
  <c r="G34" i="2"/>
  <c r="G36" i="2"/>
  <c r="G38" i="2"/>
  <c r="G40" i="2"/>
  <c r="G42" i="2"/>
  <c r="G44" i="2"/>
  <c r="G46" i="2"/>
  <c r="G48" i="2"/>
  <c r="G50" i="2"/>
  <c r="G52" i="2"/>
  <c r="G54" i="2"/>
  <c r="G56" i="2"/>
  <c r="G68" i="2"/>
  <c r="G64" i="2"/>
  <c r="G60" i="2"/>
  <c r="F81" i="2"/>
  <c r="G80" i="2"/>
  <c r="G77" i="2"/>
  <c r="G73" i="2"/>
  <c r="G70" i="2"/>
  <c r="G11" i="2"/>
  <c r="G13" i="2"/>
  <c r="G15" i="2"/>
  <c r="G17" i="2"/>
  <c r="G19" i="2"/>
  <c r="G21" i="2"/>
  <c r="G23" i="2"/>
  <c r="G25" i="2"/>
  <c r="G27" i="2"/>
  <c r="G29" i="2"/>
  <c r="G31" i="2"/>
  <c r="G33" i="2"/>
  <c r="G35" i="2"/>
  <c r="G37" i="2"/>
  <c r="G39" i="2"/>
  <c r="G41" i="2"/>
  <c r="G43" i="2"/>
  <c r="G45" i="2"/>
  <c r="G47" i="2"/>
  <c r="G49" i="2"/>
  <c r="G51" i="2"/>
  <c r="G53" i="2"/>
  <c r="G55" i="2"/>
  <c r="G76" i="2"/>
  <c r="E153" i="2"/>
  <c r="G151" i="2"/>
  <c r="C155" i="2"/>
  <c r="E148" i="2"/>
  <c r="F57" i="2"/>
  <c r="E57" i="2"/>
  <c r="G153" i="2"/>
  <c r="G81" i="2" l="1"/>
  <c r="E155" i="2"/>
  <c r="G57" i="2"/>
  <c r="C191" i="1"/>
  <c r="P191" i="1" l="1"/>
  <c r="O191" i="1" l="1"/>
  <c r="K191" i="1" l="1"/>
  <c r="I191" i="1" l="1"/>
  <c r="J191" i="1"/>
  <c r="H191" i="1" l="1"/>
  <c r="D191" i="1" l="1"/>
  <c r="F190" i="1"/>
  <c r="G190" i="1" s="1"/>
  <c r="E190" i="1"/>
  <c r="F189" i="1"/>
  <c r="G189" i="1" s="1"/>
  <c r="E189" i="1"/>
  <c r="F188" i="1"/>
  <c r="G188" i="1" s="1"/>
  <c r="E188" i="1"/>
  <c r="F187" i="1"/>
  <c r="G187" i="1" s="1"/>
  <c r="E187" i="1"/>
  <c r="F186" i="1"/>
  <c r="G186" i="1" s="1"/>
  <c r="E186" i="1"/>
  <c r="F185" i="1"/>
  <c r="G185" i="1" s="1"/>
  <c r="E185" i="1"/>
  <c r="F184" i="1"/>
  <c r="G184" i="1" s="1"/>
  <c r="E184" i="1"/>
  <c r="F183" i="1"/>
  <c r="G183" i="1" s="1"/>
  <c r="E183" i="1"/>
  <c r="F182" i="1"/>
  <c r="G182" i="1" s="1"/>
  <c r="E182" i="1"/>
  <c r="F181" i="1"/>
  <c r="G181" i="1" s="1"/>
  <c r="E181" i="1"/>
  <c r="F180" i="1"/>
  <c r="G180" i="1" s="1"/>
  <c r="E180" i="1"/>
  <c r="F179" i="1"/>
  <c r="G179" i="1" s="1"/>
  <c r="E179" i="1"/>
  <c r="F178" i="1"/>
  <c r="G178" i="1" s="1"/>
  <c r="E178" i="1"/>
  <c r="F177" i="1"/>
  <c r="G177" i="1" s="1"/>
  <c r="E177" i="1"/>
  <c r="F176" i="1"/>
  <c r="G176" i="1" s="1"/>
  <c r="E176" i="1"/>
  <c r="F175" i="1"/>
  <c r="G175" i="1" s="1"/>
  <c r="E175" i="1"/>
  <c r="F174" i="1"/>
  <c r="G174" i="1" s="1"/>
  <c r="E174" i="1"/>
  <c r="F173" i="1"/>
  <c r="G173" i="1" s="1"/>
  <c r="E173" i="1"/>
  <c r="F172" i="1"/>
  <c r="G172" i="1" s="1"/>
  <c r="E172" i="1"/>
  <c r="F171" i="1"/>
  <c r="G171" i="1" s="1"/>
  <c r="E171" i="1"/>
  <c r="F170" i="1"/>
  <c r="G170" i="1" s="1"/>
  <c r="E170" i="1"/>
  <c r="F169" i="1"/>
  <c r="G169" i="1" s="1"/>
  <c r="E169" i="1"/>
  <c r="F168" i="1"/>
  <c r="G168" i="1" s="1"/>
  <c r="E168" i="1"/>
  <c r="F167" i="1"/>
  <c r="G167" i="1" s="1"/>
  <c r="E167" i="1"/>
  <c r="F166" i="1"/>
  <c r="G166" i="1" s="1"/>
  <c r="E166" i="1"/>
  <c r="F165" i="1"/>
  <c r="G165" i="1" s="1"/>
  <c r="E165" i="1"/>
  <c r="F164" i="1"/>
  <c r="G164" i="1" s="1"/>
  <c r="E164" i="1"/>
  <c r="F163" i="1"/>
  <c r="G163" i="1" s="1"/>
  <c r="E163" i="1"/>
  <c r="F162" i="1"/>
  <c r="G162" i="1" s="1"/>
  <c r="E162" i="1"/>
  <c r="F161" i="1"/>
  <c r="G161" i="1" s="1"/>
  <c r="E161" i="1"/>
  <c r="F160" i="1"/>
  <c r="G160" i="1" s="1"/>
  <c r="E160" i="1"/>
  <c r="F159" i="1"/>
  <c r="G159" i="1" s="1"/>
  <c r="E159" i="1"/>
  <c r="F158" i="1"/>
  <c r="G158" i="1" s="1"/>
  <c r="E158" i="1"/>
  <c r="F157" i="1"/>
  <c r="G157" i="1" s="1"/>
  <c r="E157" i="1"/>
  <c r="F156" i="1"/>
  <c r="G156" i="1" s="1"/>
  <c r="E156" i="1"/>
  <c r="F155" i="1"/>
  <c r="G155" i="1" s="1"/>
  <c r="E155" i="1"/>
  <c r="F154" i="1"/>
  <c r="G154" i="1" s="1"/>
  <c r="E154" i="1"/>
  <c r="F153" i="1"/>
  <c r="G153" i="1" s="1"/>
  <c r="E153" i="1"/>
  <c r="F152" i="1"/>
  <c r="G152" i="1" s="1"/>
  <c r="E152" i="1"/>
  <c r="F151" i="1"/>
  <c r="G151" i="1" s="1"/>
  <c r="E151" i="1"/>
  <c r="F150" i="1"/>
  <c r="G150" i="1" s="1"/>
  <c r="E150" i="1"/>
  <c r="F149" i="1"/>
  <c r="G149" i="1" s="1"/>
  <c r="E149" i="1"/>
  <c r="F148" i="1"/>
  <c r="G148" i="1" s="1"/>
  <c r="E148" i="1"/>
  <c r="F147" i="1"/>
  <c r="G147" i="1" s="1"/>
  <c r="E147" i="1"/>
  <c r="F146" i="1"/>
  <c r="G146" i="1" s="1"/>
  <c r="E146" i="1"/>
  <c r="F145" i="1"/>
  <c r="G145" i="1" s="1"/>
  <c r="E145" i="1"/>
  <c r="F144" i="1"/>
  <c r="G144" i="1" s="1"/>
  <c r="E144" i="1"/>
  <c r="F143" i="1"/>
  <c r="G143" i="1" s="1"/>
  <c r="E143" i="1"/>
  <c r="F142" i="1"/>
  <c r="G142" i="1" s="1"/>
  <c r="E142" i="1"/>
  <c r="F141" i="1"/>
  <c r="G141" i="1" s="1"/>
  <c r="E141" i="1"/>
  <c r="F140" i="1"/>
  <c r="G140" i="1" s="1"/>
  <c r="E140" i="1"/>
  <c r="F139" i="1"/>
  <c r="G139" i="1" s="1"/>
  <c r="E139" i="1"/>
  <c r="F138" i="1"/>
  <c r="G138" i="1" s="1"/>
  <c r="E138" i="1"/>
  <c r="F137" i="1"/>
  <c r="G137" i="1" s="1"/>
  <c r="E137" i="1"/>
  <c r="F136" i="1"/>
  <c r="G136" i="1" s="1"/>
  <c r="E136" i="1"/>
  <c r="F135" i="1"/>
  <c r="G135" i="1" s="1"/>
  <c r="E135" i="1"/>
  <c r="F134" i="1"/>
  <c r="G134" i="1" s="1"/>
  <c r="E134" i="1"/>
  <c r="F133" i="1"/>
  <c r="G133" i="1" s="1"/>
  <c r="E133" i="1"/>
  <c r="F132" i="1"/>
  <c r="G132" i="1" s="1"/>
  <c r="E132" i="1"/>
  <c r="F131" i="1"/>
  <c r="G131" i="1" s="1"/>
  <c r="E131" i="1"/>
  <c r="F130" i="1"/>
  <c r="G130" i="1" s="1"/>
  <c r="E130" i="1"/>
  <c r="F129" i="1"/>
  <c r="G129" i="1" s="1"/>
  <c r="E129" i="1"/>
  <c r="F128" i="1"/>
  <c r="G128" i="1" s="1"/>
  <c r="E128" i="1"/>
  <c r="F127" i="1"/>
  <c r="G127" i="1" s="1"/>
  <c r="E127" i="1"/>
  <c r="F126" i="1"/>
  <c r="G126" i="1" s="1"/>
  <c r="E126" i="1"/>
  <c r="F125" i="1"/>
  <c r="G125" i="1" s="1"/>
  <c r="E125" i="1"/>
  <c r="F124" i="1"/>
  <c r="G124" i="1" s="1"/>
  <c r="E124" i="1"/>
  <c r="F123" i="1"/>
  <c r="G123" i="1" s="1"/>
  <c r="E123" i="1"/>
  <c r="F122" i="1"/>
  <c r="G122" i="1" s="1"/>
  <c r="E122" i="1"/>
  <c r="F121" i="1"/>
  <c r="G121" i="1" s="1"/>
  <c r="E121" i="1"/>
  <c r="F120" i="1"/>
  <c r="G120" i="1" s="1"/>
  <c r="E120" i="1"/>
  <c r="F119" i="1"/>
  <c r="G119" i="1" s="1"/>
  <c r="E119" i="1"/>
  <c r="F118" i="1"/>
  <c r="G118" i="1" s="1"/>
  <c r="E118" i="1"/>
  <c r="F117" i="1"/>
  <c r="G117" i="1" s="1"/>
  <c r="E117" i="1"/>
  <c r="F116" i="1"/>
  <c r="G116" i="1" s="1"/>
  <c r="E116" i="1"/>
  <c r="F115" i="1"/>
  <c r="G115" i="1" s="1"/>
  <c r="E115" i="1"/>
  <c r="F114" i="1"/>
  <c r="G114" i="1" s="1"/>
  <c r="E114" i="1"/>
  <c r="F113" i="1"/>
  <c r="G113" i="1" s="1"/>
  <c r="E113" i="1"/>
  <c r="F112" i="1"/>
  <c r="G112" i="1" s="1"/>
  <c r="E112" i="1"/>
  <c r="F111" i="1"/>
  <c r="G111" i="1" s="1"/>
  <c r="E111" i="1"/>
  <c r="F110" i="1"/>
  <c r="G110" i="1" s="1"/>
  <c r="E110" i="1"/>
  <c r="F109" i="1"/>
  <c r="G109" i="1" s="1"/>
  <c r="E109" i="1"/>
  <c r="F108" i="1"/>
  <c r="G108" i="1" s="1"/>
  <c r="E108" i="1"/>
  <c r="F107" i="1"/>
  <c r="G107" i="1" s="1"/>
  <c r="E107" i="1"/>
  <c r="F106" i="1"/>
  <c r="G106" i="1" s="1"/>
  <c r="E106" i="1"/>
  <c r="F105" i="1"/>
  <c r="G105" i="1" s="1"/>
  <c r="E105" i="1"/>
  <c r="F104" i="1"/>
  <c r="G104" i="1" s="1"/>
  <c r="E104" i="1"/>
  <c r="F103" i="1"/>
  <c r="G103" i="1" s="1"/>
  <c r="E103" i="1"/>
  <c r="F102" i="1"/>
  <c r="G102" i="1" s="1"/>
  <c r="E102" i="1"/>
  <c r="F101" i="1"/>
  <c r="G101" i="1" s="1"/>
  <c r="E101" i="1"/>
  <c r="F100" i="1"/>
  <c r="G100" i="1" s="1"/>
  <c r="E100" i="1"/>
  <c r="F99" i="1"/>
  <c r="G99" i="1" s="1"/>
  <c r="E99" i="1"/>
  <c r="F98" i="1"/>
  <c r="G98" i="1" s="1"/>
  <c r="E98" i="1"/>
  <c r="F97" i="1"/>
  <c r="G97" i="1" s="1"/>
  <c r="E97" i="1"/>
  <c r="F96" i="1"/>
  <c r="G96" i="1" s="1"/>
  <c r="E96" i="1"/>
  <c r="F95" i="1"/>
  <c r="G95" i="1" s="1"/>
  <c r="E95" i="1"/>
  <c r="F94" i="1"/>
  <c r="G94" i="1" s="1"/>
  <c r="E94" i="1"/>
  <c r="F93" i="1"/>
  <c r="G93" i="1" s="1"/>
  <c r="E93" i="1"/>
  <c r="F92" i="1"/>
  <c r="G92" i="1" s="1"/>
  <c r="E92" i="1"/>
  <c r="F91" i="1"/>
  <c r="G91" i="1" s="1"/>
  <c r="E91" i="1"/>
  <c r="F90" i="1"/>
  <c r="G90" i="1" s="1"/>
  <c r="E90" i="1"/>
  <c r="F89" i="1"/>
  <c r="G89" i="1" s="1"/>
  <c r="E89" i="1"/>
  <c r="F88" i="1"/>
  <c r="G88" i="1" s="1"/>
  <c r="E88" i="1"/>
  <c r="F87" i="1"/>
  <c r="G87" i="1" s="1"/>
  <c r="E87" i="1"/>
  <c r="F86" i="1"/>
  <c r="G86" i="1" s="1"/>
  <c r="E86" i="1"/>
  <c r="F85" i="1"/>
  <c r="G85" i="1" s="1"/>
  <c r="E85" i="1"/>
  <c r="F84" i="1"/>
  <c r="G84" i="1" s="1"/>
  <c r="E84" i="1"/>
  <c r="F83" i="1"/>
  <c r="G83" i="1" s="1"/>
  <c r="E83" i="1"/>
  <c r="F82" i="1"/>
  <c r="G82" i="1" s="1"/>
  <c r="E82" i="1"/>
  <c r="F81" i="1"/>
  <c r="G81" i="1" s="1"/>
  <c r="E81" i="1"/>
  <c r="F80" i="1"/>
  <c r="G80" i="1" s="1"/>
  <c r="E80" i="1"/>
  <c r="F79" i="1"/>
  <c r="G79" i="1" s="1"/>
  <c r="E79" i="1"/>
  <c r="F78" i="1"/>
  <c r="G78" i="1" s="1"/>
  <c r="E78" i="1"/>
  <c r="F77" i="1"/>
  <c r="G77" i="1" s="1"/>
  <c r="E77" i="1"/>
  <c r="F76" i="1"/>
  <c r="G76" i="1" s="1"/>
  <c r="E76" i="1"/>
  <c r="F75" i="1"/>
  <c r="G75" i="1" s="1"/>
  <c r="E75" i="1"/>
  <c r="F74" i="1"/>
  <c r="G74" i="1" s="1"/>
  <c r="E74" i="1"/>
  <c r="F73" i="1"/>
  <c r="G73" i="1" s="1"/>
  <c r="E73" i="1"/>
  <c r="F72" i="1"/>
  <c r="G72" i="1" s="1"/>
  <c r="E72" i="1"/>
  <c r="F71" i="1"/>
  <c r="G71" i="1" s="1"/>
  <c r="E71" i="1"/>
  <c r="F70" i="1"/>
  <c r="G70" i="1" s="1"/>
  <c r="E70" i="1"/>
  <c r="F69" i="1"/>
  <c r="G69" i="1" s="1"/>
  <c r="E69" i="1"/>
  <c r="F68" i="1"/>
  <c r="G68" i="1" s="1"/>
  <c r="E68" i="1"/>
  <c r="F67" i="1"/>
  <c r="G67" i="1" s="1"/>
  <c r="E67" i="1"/>
  <c r="F66" i="1"/>
  <c r="G66" i="1" s="1"/>
  <c r="E66" i="1"/>
  <c r="F65" i="1"/>
  <c r="G65" i="1" s="1"/>
  <c r="E65" i="1"/>
  <c r="F64" i="1"/>
  <c r="G64" i="1" s="1"/>
  <c r="E64" i="1"/>
  <c r="F63" i="1"/>
  <c r="G63" i="1" s="1"/>
  <c r="E63" i="1"/>
  <c r="F62" i="1"/>
  <c r="G62" i="1" s="1"/>
  <c r="E62" i="1"/>
  <c r="F61" i="1"/>
  <c r="G61" i="1" s="1"/>
  <c r="E61" i="1"/>
  <c r="F60" i="1"/>
  <c r="G60" i="1" s="1"/>
  <c r="E60" i="1"/>
  <c r="F59" i="1"/>
  <c r="G59" i="1" s="1"/>
  <c r="E59" i="1"/>
  <c r="F58" i="1"/>
  <c r="G58" i="1" s="1"/>
  <c r="E58" i="1"/>
  <c r="F57" i="1"/>
  <c r="G57" i="1" s="1"/>
  <c r="E57" i="1"/>
  <c r="F56" i="1"/>
  <c r="G56" i="1" s="1"/>
  <c r="E56" i="1"/>
  <c r="F55" i="1"/>
  <c r="G55" i="1" s="1"/>
  <c r="E55" i="1"/>
  <c r="F54" i="1"/>
  <c r="G54" i="1" s="1"/>
  <c r="E54" i="1"/>
  <c r="F53" i="1"/>
  <c r="G53" i="1" s="1"/>
  <c r="E53" i="1"/>
  <c r="F52" i="1"/>
  <c r="G52" i="1" s="1"/>
  <c r="E52" i="1"/>
  <c r="F51" i="1"/>
  <c r="G51" i="1" s="1"/>
  <c r="E51" i="1"/>
  <c r="F50" i="1"/>
  <c r="G50" i="1" s="1"/>
  <c r="E50" i="1"/>
  <c r="F49" i="1"/>
  <c r="G49" i="1" s="1"/>
  <c r="E49" i="1"/>
  <c r="F48" i="1"/>
  <c r="G48" i="1" s="1"/>
  <c r="E48" i="1"/>
  <c r="F47" i="1"/>
  <c r="G47" i="1" s="1"/>
  <c r="E47" i="1"/>
  <c r="F46" i="1"/>
  <c r="G46" i="1" s="1"/>
  <c r="E46" i="1"/>
  <c r="F45" i="1"/>
  <c r="G45" i="1" s="1"/>
  <c r="E45" i="1"/>
  <c r="F44" i="1"/>
  <c r="G44" i="1" s="1"/>
  <c r="E44" i="1"/>
  <c r="F43" i="1"/>
  <c r="G43" i="1" s="1"/>
  <c r="E43" i="1"/>
  <c r="F42" i="1"/>
  <c r="G42" i="1" s="1"/>
  <c r="E42" i="1"/>
  <c r="F41" i="1"/>
  <c r="G41" i="1" s="1"/>
  <c r="E41" i="1"/>
  <c r="F40" i="1"/>
  <c r="G40" i="1" s="1"/>
  <c r="E40" i="1"/>
  <c r="F39" i="1"/>
  <c r="G39" i="1" s="1"/>
  <c r="E39" i="1"/>
  <c r="F38" i="1"/>
  <c r="G38" i="1" s="1"/>
  <c r="E38" i="1"/>
  <c r="F37" i="1"/>
  <c r="G37" i="1" s="1"/>
  <c r="E37" i="1"/>
  <c r="F36" i="1"/>
  <c r="G36" i="1" s="1"/>
  <c r="E36" i="1"/>
  <c r="F35" i="1"/>
  <c r="G35" i="1" s="1"/>
  <c r="E35" i="1"/>
  <c r="F34" i="1"/>
  <c r="G34" i="1" s="1"/>
  <c r="E34" i="1"/>
  <c r="F33" i="1"/>
  <c r="G33" i="1" s="1"/>
  <c r="E33" i="1"/>
  <c r="F32" i="1"/>
  <c r="G32" i="1" s="1"/>
  <c r="E32" i="1"/>
  <c r="F31" i="1"/>
  <c r="G31" i="1" s="1"/>
  <c r="E31" i="1"/>
  <c r="F30" i="1"/>
  <c r="G30" i="1" s="1"/>
  <c r="E30" i="1"/>
  <c r="F29" i="1"/>
  <c r="G29" i="1" s="1"/>
  <c r="E29" i="1"/>
  <c r="F28" i="1"/>
  <c r="G28" i="1" s="1"/>
  <c r="E28" i="1"/>
  <c r="F27" i="1"/>
  <c r="G27" i="1" s="1"/>
  <c r="E27" i="1"/>
  <c r="F26" i="1"/>
  <c r="G26" i="1" s="1"/>
  <c r="E26" i="1"/>
  <c r="F25" i="1"/>
  <c r="G25" i="1" s="1"/>
  <c r="E25" i="1"/>
  <c r="F24" i="1"/>
  <c r="G24" i="1" s="1"/>
  <c r="E24" i="1"/>
  <c r="F23" i="1"/>
  <c r="G23" i="1" s="1"/>
  <c r="E23" i="1"/>
  <c r="F22" i="1"/>
  <c r="G22" i="1" s="1"/>
  <c r="E22" i="1"/>
  <c r="F21" i="1"/>
  <c r="G21" i="1" s="1"/>
  <c r="E21" i="1"/>
  <c r="F20" i="1"/>
  <c r="G20" i="1" s="1"/>
  <c r="E20" i="1"/>
  <c r="F19" i="1"/>
  <c r="G19" i="1" s="1"/>
  <c r="E19" i="1"/>
  <c r="F18" i="1"/>
  <c r="G18" i="1" s="1"/>
  <c r="E18" i="1"/>
  <c r="F17" i="1"/>
  <c r="G17" i="1" s="1"/>
  <c r="E17" i="1"/>
  <c r="F16" i="1"/>
  <c r="G16" i="1" s="1"/>
  <c r="E16" i="1"/>
  <c r="F15" i="1"/>
  <c r="G15" i="1" s="1"/>
  <c r="E15" i="1"/>
  <c r="F14" i="1"/>
  <c r="G14" i="1" s="1"/>
  <c r="E14" i="1"/>
  <c r="F13" i="1"/>
  <c r="G13" i="1" s="1"/>
  <c r="E13" i="1"/>
  <c r="F12" i="1"/>
  <c r="G12" i="1" s="1"/>
  <c r="E12" i="1"/>
  <c r="F11" i="1"/>
  <c r="G11" i="1" s="1"/>
  <c r="E11" i="1"/>
  <c r="E191" i="1" l="1"/>
  <c r="F191" i="1"/>
  <c r="G191" i="1" l="1"/>
  <c r="F139" i="2"/>
  <c r="G139" i="2" s="1"/>
  <c r="F127" i="2"/>
  <c r="G127" i="2" s="1"/>
  <c r="F115" i="2"/>
  <c r="G115" i="2" s="1"/>
  <c r="F103" i="2"/>
  <c r="G103" i="2" s="1"/>
  <c r="F99" i="2"/>
  <c r="G99" i="2" s="1"/>
  <c r="F87" i="2"/>
  <c r="G87" i="2" s="1"/>
  <c r="F146" i="2"/>
  <c r="G146" i="2" s="1"/>
  <c r="F142" i="2"/>
  <c r="G142" i="2" s="1"/>
  <c r="F138" i="2"/>
  <c r="G138" i="2" s="1"/>
  <c r="F134" i="2"/>
  <c r="G134" i="2" s="1"/>
  <c r="F130" i="2"/>
  <c r="G130" i="2" s="1"/>
  <c r="F126" i="2"/>
  <c r="G126" i="2" s="1"/>
  <c r="F122" i="2"/>
  <c r="G122" i="2" s="1"/>
  <c r="F118" i="2"/>
  <c r="G118" i="2" s="1"/>
  <c r="F114" i="2"/>
  <c r="G114" i="2" s="1"/>
  <c r="F110" i="2"/>
  <c r="G110" i="2" s="1"/>
  <c r="F106" i="2"/>
  <c r="G106" i="2" s="1"/>
  <c r="F102" i="2"/>
  <c r="G102" i="2" s="1"/>
  <c r="F98" i="2"/>
  <c r="G98" i="2" s="1"/>
  <c r="F94" i="2"/>
  <c r="G94" i="2" s="1"/>
  <c r="F90" i="2"/>
  <c r="G90" i="2" s="1"/>
  <c r="F86" i="2"/>
  <c r="G86" i="2" s="1"/>
  <c r="F143" i="2"/>
  <c r="F131" i="2"/>
  <c r="G131" i="2" s="1"/>
  <c r="F119" i="2"/>
  <c r="G119" i="2" s="1"/>
  <c r="F107" i="2"/>
  <c r="G107" i="2" s="1"/>
  <c r="F91" i="2"/>
  <c r="G91" i="2" s="1"/>
  <c r="F145" i="2"/>
  <c r="G145" i="2" s="1"/>
  <c r="F141" i="2"/>
  <c r="G141" i="2" s="1"/>
  <c r="F137" i="2"/>
  <c r="G137" i="2" s="1"/>
  <c r="F133" i="2"/>
  <c r="G133" i="2" s="1"/>
  <c r="F129" i="2"/>
  <c r="G129" i="2" s="1"/>
  <c r="F125" i="2"/>
  <c r="G125" i="2" s="1"/>
  <c r="F121" i="2"/>
  <c r="G121" i="2" s="1"/>
  <c r="F117" i="2"/>
  <c r="G117" i="2" s="1"/>
  <c r="F113" i="2"/>
  <c r="G113" i="2" s="1"/>
  <c r="F109" i="2"/>
  <c r="G109" i="2" s="1"/>
  <c r="F105" i="2"/>
  <c r="G105" i="2" s="1"/>
  <c r="F101" i="2"/>
  <c r="G101" i="2" s="1"/>
  <c r="F97" i="2"/>
  <c r="G97" i="2" s="1"/>
  <c r="F93" i="2"/>
  <c r="G93" i="2" s="1"/>
  <c r="F89" i="2"/>
  <c r="G89" i="2" s="1"/>
  <c r="F85" i="2"/>
  <c r="G85" i="2" s="1"/>
  <c r="F147" i="2"/>
  <c r="G147" i="2" s="1"/>
  <c r="F135" i="2"/>
  <c r="G135" i="2" s="1"/>
  <c r="F123" i="2"/>
  <c r="G123" i="2" s="1"/>
  <c r="F111" i="2"/>
  <c r="G111" i="2" s="1"/>
  <c r="F95" i="2"/>
  <c r="G95" i="2" s="1"/>
  <c r="F144" i="2"/>
  <c r="G144" i="2" s="1"/>
  <c r="F140" i="2"/>
  <c r="G140" i="2" s="1"/>
  <c r="F136" i="2"/>
  <c r="G136" i="2" s="1"/>
  <c r="F132" i="2"/>
  <c r="G132" i="2" s="1"/>
  <c r="F128" i="2"/>
  <c r="G128" i="2" s="1"/>
  <c r="F124" i="2"/>
  <c r="G124" i="2" s="1"/>
  <c r="F120" i="2"/>
  <c r="G120" i="2" s="1"/>
  <c r="F116" i="2"/>
  <c r="G116" i="2" s="1"/>
  <c r="F112" i="2"/>
  <c r="G112" i="2" s="1"/>
  <c r="F108" i="2"/>
  <c r="G108" i="2" s="1"/>
  <c r="F104" i="2"/>
  <c r="G104" i="2" s="1"/>
  <c r="F100" i="2"/>
  <c r="G100" i="2" s="1"/>
  <c r="F96" i="2"/>
  <c r="G96" i="2" s="1"/>
  <c r="F92" i="2"/>
  <c r="G92" i="2" s="1"/>
  <c r="F88" i="2"/>
  <c r="G88" i="2" s="1"/>
  <c r="F84" i="2"/>
  <c r="G143" i="2" l="1"/>
  <c r="G148" i="2" s="1"/>
  <c r="G155" i="2" s="1"/>
  <c r="F148" i="2"/>
  <c r="F155" i="2" s="1"/>
  <c r="G84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Kaleda, Steven</author>
  </authors>
  <commentList>
    <comment ref="Z74" authorId="0" shapeId="0" xr:uid="{6E629A09-F8BA-44AC-8AAF-027A3327246E}">
      <text>
        <r>
          <rPr>
            <b/>
            <sz val="9"/>
            <color indexed="81"/>
            <rFont val="Tahoma"/>
            <family val="2"/>
          </rPr>
          <t>Kaleda, Steven:</t>
        </r>
        <r>
          <rPr>
            <sz val="9"/>
            <color indexed="81"/>
            <rFont val="Tahoma"/>
            <family val="2"/>
          </rPr>
          <t xml:space="preserve">
Return of Funds 7/8/22</t>
        </r>
      </text>
    </comment>
    <comment ref="R163" authorId="0" shapeId="0" xr:uid="{7ADE1C4C-BBFD-4D1E-ADB9-62C9F7BDD27B}">
      <text>
        <r>
          <rPr>
            <b/>
            <sz val="9"/>
            <color indexed="81"/>
            <rFont val="Tahoma"/>
            <family val="2"/>
          </rPr>
          <t>Kaleda, Steven:</t>
        </r>
        <r>
          <rPr>
            <sz val="9"/>
            <color indexed="81"/>
            <rFont val="Tahoma"/>
            <family val="2"/>
          </rPr>
          <t xml:space="preserve">
Return funds on 11/16/21 due to Duplicated RFF</t>
        </r>
      </text>
    </comment>
    <comment ref="P164" authorId="0" shapeId="0" xr:uid="{03D80D2F-FC45-4D1D-95F7-5DBFDAE1750A}">
      <text>
        <r>
          <rPr>
            <b/>
            <sz val="9"/>
            <color indexed="81"/>
            <rFont val="Tahoma"/>
            <family val="2"/>
          </rPr>
          <t>Kaleda, Steven:</t>
        </r>
        <r>
          <rPr>
            <sz val="9"/>
            <color indexed="81"/>
            <rFont val="Tahoma"/>
            <family val="2"/>
          </rPr>
          <t xml:space="preserve">
District returned excessive funds found at end of fiscal year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Kaleda, Steven</author>
  </authors>
  <commentList>
    <comment ref="X12" authorId="0" shapeId="0" xr:uid="{034048EC-A720-4FFB-9382-2866828A4738}">
      <text>
        <r>
          <rPr>
            <b/>
            <sz val="9"/>
            <color indexed="81"/>
            <rFont val="Tahoma"/>
            <family val="2"/>
          </rPr>
          <t>Kaleda, Steven:</t>
        </r>
        <r>
          <rPr>
            <sz val="9"/>
            <color indexed="81"/>
            <rFont val="Tahoma"/>
            <family val="2"/>
          </rPr>
          <t xml:space="preserve">
Moved Native American allocation payments to the Admin Unit per request from district.</t>
        </r>
      </text>
    </comment>
  </commentList>
</comments>
</file>

<file path=xl/sharedStrings.xml><?xml version="1.0" encoding="utf-8"?>
<sst xmlns="http://schemas.openxmlformats.org/spreadsheetml/2006/main" count="750" uniqueCount="631">
  <si>
    <t>Grant:</t>
  </si>
  <si>
    <t>CFDA #</t>
  </si>
  <si>
    <t>84.425D</t>
  </si>
  <si>
    <t>GRANT NUMBER:</t>
  </si>
  <si>
    <t>Questions regarding payments:</t>
  </si>
  <si>
    <t>Joe Shields 303-866-6034 or Shields_J@cde.state.co.us</t>
  </si>
  <si>
    <t xml:space="preserve">Questions regarding grant: </t>
  </si>
  <si>
    <t xml:space="preserve">Robert Hawkins 303-866-6775 or hawkins_r@cde.state.co.us </t>
  </si>
  <si>
    <t>Steven Kaleda 303-866-6724 or kaleda_S@cde.state.co.us</t>
  </si>
  <si>
    <t>GBL/ORG</t>
  </si>
  <si>
    <t>PAYMENTS PROCESSED:</t>
  </si>
  <si>
    <t>GRANT PERIOD:</t>
  </si>
  <si>
    <t>Code</t>
  </si>
  <si>
    <t>District</t>
  </si>
  <si>
    <t>Allocation</t>
  </si>
  <si>
    <t>Assignments</t>
  </si>
  <si>
    <t>Total  with Signover and Declines</t>
  </si>
  <si>
    <t>Payments to Date</t>
  </si>
  <si>
    <t>Balance of Grant</t>
  </si>
  <si>
    <t>0010</t>
  </si>
  <si>
    <t>Mapleton 1</t>
  </si>
  <si>
    <t>0020</t>
  </si>
  <si>
    <t>Adams 12 Five Star Schools</t>
  </si>
  <si>
    <t>0030</t>
  </si>
  <si>
    <t>Adams County 14</t>
  </si>
  <si>
    <t>0040</t>
  </si>
  <si>
    <t>School District 27J</t>
  </si>
  <si>
    <t>0050</t>
  </si>
  <si>
    <t>Bennett 29J</t>
  </si>
  <si>
    <t>0060</t>
  </si>
  <si>
    <t>Strasburg 31J</t>
  </si>
  <si>
    <t>0070</t>
  </si>
  <si>
    <t>Westminster Public Schools</t>
  </si>
  <si>
    <t>0100</t>
  </si>
  <si>
    <t>Alamosa RE-11J</t>
  </si>
  <si>
    <t>0110</t>
  </si>
  <si>
    <t>Sangre De Cristo RE-22J</t>
  </si>
  <si>
    <t>0120</t>
  </si>
  <si>
    <t>Englewood 1</t>
  </si>
  <si>
    <t>0123</t>
  </si>
  <si>
    <t>Sheridan 2</t>
  </si>
  <si>
    <t>0130</t>
  </si>
  <si>
    <t>Cherry Creek 5</t>
  </si>
  <si>
    <t>0140</t>
  </si>
  <si>
    <t>Littleton 6</t>
  </si>
  <si>
    <t>0170</t>
  </si>
  <si>
    <t>Deer Trail 26J</t>
  </si>
  <si>
    <t>0180</t>
  </si>
  <si>
    <t>Adams-Arapahoe 28J</t>
  </si>
  <si>
    <t>0190</t>
  </si>
  <si>
    <t>Byers 32J</t>
  </si>
  <si>
    <t>0220</t>
  </si>
  <si>
    <t>Archuleta County 50 JT</t>
  </si>
  <si>
    <t>0230</t>
  </si>
  <si>
    <t>Walsh RE-1</t>
  </si>
  <si>
    <t>0240</t>
  </si>
  <si>
    <t>Pritchett RE-3</t>
  </si>
  <si>
    <t>0250</t>
  </si>
  <si>
    <t>Springfield RE-4</t>
  </si>
  <si>
    <t>0260</t>
  </si>
  <si>
    <t>Vilas RE-5</t>
  </si>
  <si>
    <t>0270</t>
  </si>
  <si>
    <t>Campo Re-6</t>
  </si>
  <si>
    <t>0290</t>
  </si>
  <si>
    <t>Las Animas RE-1</t>
  </si>
  <si>
    <t>0310</t>
  </si>
  <si>
    <t>Mc Clave RE-2</t>
  </si>
  <si>
    <t>0470</t>
  </si>
  <si>
    <t>St Vrain Valley Re 1J</t>
  </si>
  <si>
    <t>0480</t>
  </si>
  <si>
    <t>Boulder Valley Re 2</t>
  </si>
  <si>
    <t>0490</t>
  </si>
  <si>
    <t>Buena Vista R-31</t>
  </si>
  <si>
    <t>0500</t>
  </si>
  <si>
    <t>Salida R-32</t>
  </si>
  <si>
    <t>0510</t>
  </si>
  <si>
    <t>Kit Carson R-1</t>
  </si>
  <si>
    <t>0520</t>
  </si>
  <si>
    <t>Cheyenne County RE-5</t>
  </si>
  <si>
    <t>0540</t>
  </si>
  <si>
    <t>Clear Creek RE-1</t>
  </si>
  <si>
    <t>0550</t>
  </si>
  <si>
    <t>North Conejos RE-1J</t>
  </si>
  <si>
    <t>0560</t>
  </si>
  <si>
    <t>Sanford 6J</t>
  </si>
  <si>
    <t>0580</t>
  </si>
  <si>
    <t>South Conejos RE-10</t>
  </si>
  <si>
    <t>0640</t>
  </si>
  <si>
    <t>Centennial R-1</t>
  </si>
  <si>
    <t>0740</t>
  </si>
  <si>
    <t>Sierra Grande R-30</t>
  </si>
  <si>
    <t>0770</t>
  </si>
  <si>
    <t>Crowley County RE-1-J</t>
  </si>
  <si>
    <t>0860</t>
  </si>
  <si>
    <t>Custer County School District C-1</t>
  </si>
  <si>
    <t>0870</t>
  </si>
  <si>
    <t>Delta County 50(J)</t>
  </si>
  <si>
    <t>0880</t>
  </si>
  <si>
    <t>Denver County 1</t>
  </si>
  <si>
    <t>0890</t>
  </si>
  <si>
    <t>Dolores County RE NO.2</t>
  </si>
  <si>
    <t>0900</t>
  </si>
  <si>
    <t>Douglas County RE 1</t>
  </si>
  <si>
    <t>0910</t>
  </si>
  <si>
    <t>Eagle County Re 50</t>
  </si>
  <si>
    <t>0920</t>
  </si>
  <si>
    <t>Elizabeth C-1</t>
  </si>
  <si>
    <t>0930</t>
  </si>
  <si>
    <t>Kiowa C-2</t>
  </si>
  <si>
    <t>0940</t>
  </si>
  <si>
    <t>Big Sandy 100J</t>
  </si>
  <si>
    <t>0950</t>
  </si>
  <si>
    <t>Elbert 200</t>
  </si>
  <si>
    <t>0960</t>
  </si>
  <si>
    <t>Agate 300</t>
  </si>
  <si>
    <t>0970</t>
  </si>
  <si>
    <t>Calhan RJ-1</t>
  </si>
  <si>
    <t>0980</t>
  </si>
  <si>
    <t>Harrison 2</t>
  </si>
  <si>
    <t>0990</t>
  </si>
  <si>
    <t>Widefield 3</t>
  </si>
  <si>
    <t>1000</t>
  </si>
  <si>
    <t>Fountain 8</t>
  </si>
  <si>
    <t>1010</t>
  </si>
  <si>
    <t>Colorado Springs 11</t>
  </si>
  <si>
    <t>1020</t>
  </si>
  <si>
    <t>Cheyenne Mountain 12</t>
  </si>
  <si>
    <t>1030</t>
  </si>
  <si>
    <t>Manitou Springs 14</t>
  </si>
  <si>
    <t>1040</t>
  </si>
  <si>
    <t>Academy 20</t>
  </si>
  <si>
    <t>1050</t>
  </si>
  <si>
    <t>Ellicott 22</t>
  </si>
  <si>
    <t>1060</t>
  </si>
  <si>
    <t>Peyton 23 JT</t>
  </si>
  <si>
    <t>1070</t>
  </si>
  <si>
    <t>Hanover 28</t>
  </si>
  <si>
    <t>1080</t>
  </si>
  <si>
    <t>Lewis-Palmer 38</t>
  </si>
  <si>
    <t>1110</t>
  </si>
  <si>
    <t>Falcon 49</t>
  </si>
  <si>
    <t>1120</t>
  </si>
  <si>
    <t>Edison 54 JT</t>
  </si>
  <si>
    <t>1130</t>
  </si>
  <si>
    <t>Miami/yoder 60 JT</t>
  </si>
  <si>
    <t>1140</t>
  </si>
  <si>
    <t>Canon City RE-1</t>
  </si>
  <si>
    <t>1150</t>
  </si>
  <si>
    <t>Fremont RE-2</t>
  </si>
  <si>
    <t>1160</t>
  </si>
  <si>
    <t>Cotopaxi RE-3</t>
  </si>
  <si>
    <t>1180</t>
  </si>
  <si>
    <t>Roaring Fork RE-1</t>
  </si>
  <si>
    <t>1195</t>
  </si>
  <si>
    <t>Garfield RE-2</t>
  </si>
  <si>
    <t>1220</t>
  </si>
  <si>
    <t>Garfield 16</t>
  </si>
  <si>
    <t>1330</t>
  </si>
  <si>
    <t>Gilpin County RE-1</t>
  </si>
  <si>
    <t>1340</t>
  </si>
  <si>
    <t>West Grand 1-JT</t>
  </si>
  <si>
    <t>1350</t>
  </si>
  <si>
    <t>East Grand 2</t>
  </si>
  <si>
    <t>1360</t>
  </si>
  <si>
    <t>Gunnison Watershed Re1J</t>
  </si>
  <si>
    <t>1380</t>
  </si>
  <si>
    <t>Hinsdale County Re 1</t>
  </si>
  <si>
    <t>1390</t>
  </si>
  <si>
    <t>Huerfano RE-1</t>
  </si>
  <si>
    <t>1400</t>
  </si>
  <si>
    <t>La Veta RE-2</t>
  </si>
  <si>
    <t>1410</t>
  </si>
  <si>
    <t>North Park R-1</t>
  </si>
  <si>
    <t>1420</t>
  </si>
  <si>
    <t>Jefferson County R-1</t>
  </si>
  <si>
    <t>1430</t>
  </si>
  <si>
    <t>Eads RE-1</t>
  </si>
  <si>
    <t>1440</t>
  </si>
  <si>
    <t>Plainview RE-2</t>
  </si>
  <si>
    <t>1450</t>
  </si>
  <si>
    <t>Arriba-Flagler C-20</t>
  </si>
  <si>
    <t>1460</t>
  </si>
  <si>
    <t>Hi-Plains R-23</t>
  </si>
  <si>
    <t>1480</t>
  </si>
  <si>
    <t>Stratton R-4</t>
  </si>
  <si>
    <t>1490</t>
  </si>
  <si>
    <t>Bethune R-5</t>
  </si>
  <si>
    <t>1500</t>
  </si>
  <si>
    <t>Burlington RE-6J</t>
  </si>
  <si>
    <t>1510</t>
  </si>
  <si>
    <t>Lake County R-1</t>
  </si>
  <si>
    <t>1520</t>
  </si>
  <si>
    <t>Durango 9-R</t>
  </si>
  <si>
    <t>1530</t>
  </si>
  <si>
    <t>Bayfield 10 Jt-R</t>
  </si>
  <si>
    <t>1540</t>
  </si>
  <si>
    <t>Ignacio 11 JT</t>
  </si>
  <si>
    <t>1550</t>
  </si>
  <si>
    <t>Poudre R-1</t>
  </si>
  <si>
    <t>1560</t>
  </si>
  <si>
    <t>Thompson R2-J</t>
  </si>
  <si>
    <t>1570</t>
  </si>
  <si>
    <t>Estes Park R-3</t>
  </si>
  <si>
    <t>1580</t>
  </si>
  <si>
    <t>Trinidad 1</t>
  </si>
  <si>
    <t>1590</t>
  </si>
  <si>
    <t>Primero Reorganized 2</t>
  </si>
  <si>
    <t>1600</t>
  </si>
  <si>
    <t>Hoehne Reorganized 3</t>
  </si>
  <si>
    <t>1620</t>
  </si>
  <si>
    <t>Aguilar Reorganized 6</t>
  </si>
  <si>
    <t>1750</t>
  </si>
  <si>
    <t>Branson Reorganized 82</t>
  </si>
  <si>
    <t>1760</t>
  </si>
  <si>
    <t>Kim Reorganized 88</t>
  </si>
  <si>
    <t>1780</t>
  </si>
  <si>
    <t>Genoa-Hugo C113</t>
  </si>
  <si>
    <t>1790</t>
  </si>
  <si>
    <t>Limon RE-4J</t>
  </si>
  <si>
    <t>1810</t>
  </si>
  <si>
    <t>Karval RE-23</t>
  </si>
  <si>
    <t>1828</t>
  </si>
  <si>
    <t>Valley RE-1</t>
  </si>
  <si>
    <t>1850</t>
  </si>
  <si>
    <t>Frenchman RE-3</t>
  </si>
  <si>
    <t>1860</t>
  </si>
  <si>
    <t>Buffalo RE-4J</t>
  </si>
  <si>
    <t>1870</t>
  </si>
  <si>
    <t>Plateau RE-5</t>
  </si>
  <si>
    <t>1980</t>
  </si>
  <si>
    <t>De Beque 49JT</t>
  </si>
  <si>
    <t>1990</t>
  </si>
  <si>
    <t>Plateau Valley 50</t>
  </si>
  <si>
    <t>2000</t>
  </si>
  <si>
    <t>Mesa County Valley 51</t>
  </si>
  <si>
    <t>2010</t>
  </si>
  <si>
    <t>Creede School District</t>
  </si>
  <si>
    <t>2020</t>
  </si>
  <si>
    <t>Moffat County Re:no 1</t>
  </si>
  <si>
    <t>2035</t>
  </si>
  <si>
    <t>Montezuma-Cortez RE-1</t>
  </si>
  <si>
    <t>2055</t>
  </si>
  <si>
    <t>Dolores RE-4a</t>
  </si>
  <si>
    <t>2070</t>
  </si>
  <si>
    <t>Mancos RE-6</t>
  </si>
  <si>
    <t>2180</t>
  </si>
  <si>
    <t>Montrose County RE-1J</t>
  </si>
  <si>
    <t>2190</t>
  </si>
  <si>
    <t>West End RE-2</t>
  </si>
  <si>
    <t>2395</t>
  </si>
  <si>
    <t>Brush RE-2(J)</t>
  </si>
  <si>
    <t>2405</t>
  </si>
  <si>
    <t>Fort Morgan RE-3</t>
  </si>
  <si>
    <t>2505</t>
  </si>
  <si>
    <t>Weldon Valley RE-20(J)</t>
  </si>
  <si>
    <t>2515</t>
  </si>
  <si>
    <t>Wiggins RE-50(J)</t>
  </si>
  <si>
    <t>2520</t>
  </si>
  <si>
    <t>East Otero R-1</t>
  </si>
  <si>
    <t>2530</t>
  </si>
  <si>
    <t>Rocky Ford R-2</t>
  </si>
  <si>
    <t>2535</t>
  </si>
  <si>
    <t>Manzanola 3J</t>
  </si>
  <si>
    <t>2540</t>
  </si>
  <si>
    <t>Fowler R-4J</t>
  </si>
  <si>
    <t>2560</t>
  </si>
  <si>
    <t>Cheraw 31</t>
  </si>
  <si>
    <t>2570</t>
  </si>
  <si>
    <t>Swink 33</t>
  </si>
  <si>
    <t>2580</t>
  </si>
  <si>
    <t>Ouray R-1</t>
  </si>
  <si>
    <t>2590</t>
  </si>
  <si>
    <t>Ridgway R-2</t>
  </si>
  <si>
    <t>2600</t>
  </si>
  <si>
    <t>Platte Canyon 1</t>
  </si>
  <si>
    <t>2610</t>
  </si>
  <si>
    <t>Park County RE-2</t>
  </si>
  <si>
    <t>2620</t>
  </si>
  <si>
    <t>Holyoke RE-1J</t>
  </si>
  <si>
    <t>2630</t>
  </si>
  <si>
    <t>Haxtun RE-2J</t>
  </si>
  <si>
    <t>2640</t>
  </si>
  <si>
    <t>Aspen 1</t>
  </si>
  <si>
    <t>2650</t>
  </si>
  <si>
    <t>Granada RE-1</t>
  </si>
  <si>
    <t>2660</t>
  </si>
  <si>
    <t>Lamar RE-2</t>
  </si>
  <si>
    <t>2670</t>
  </si>
  <si>
    <t>Holly RE-3</t>
  </si>
  <si>
    <t>2680</t>
  </si>
  <si>
    <t>Wiley RE-13 JT</t>
  </si>
  <si>
    <t>2690</t>
  </si>
  <si>
    <t>Pueblo City 60</t>
  </si>
  <si>
    <t>2700</t>
  </si>
  <si>
    <t>Pueblo County 70</t>
  </si>
  <si>
    <t>2710</t>
  </si>
  <si>
    <t>Meeker Re1</t>
  </si>
  <si>
    <t>2720</t>
  </si>
  <si>
    <t>Rangely RE-4</t>
  </si>
  <si>
    <t>2730</t>
  </si>
  <si>
    <t>Del Norte C-7</t>
  </si>
  <si>
    <t>2740</t>
  </si>
  <si>
    <t>Monte Vista C-8</t>
  </si>
  <si>
    <t>2750</t>
  </si>
  <si>
    <t>Sargent RE-33J</t>
  </si>
  <si>
    <t>2760</t>
  </si>
  <si>
    <t>Hayden RE-1</t>
  </si>
  <si>
    <t>2770</t>
  </si>
  <si>
    <t>Steamboat Springs RE-2</t>
  </si>
  <si>
    <t>2780</t>
  </si>
  <si>
    <t>South Routt Re 3</t>
  </si>
  <si>
    <t>2790</t>
  </si>
  <si>
    <t>Mountain Valley Re 1</t>
  </si>
  <si>
    <t>2800</t>
  </si>
  <si>
    <t>Moffat 2</t>
  </si>
  <si>
    <t>2810</t>
  </si>
  <si>
    <t>Center 26 JT</t>
  </si>
  <si>
    <t>2820</t>
  </si>
  <si>
    <t>Silverton 1</t>
  </si>
  <si>
    <t>2830</t>
  </si>
  <si>
    <t>Telluride R-1</t>
  </si>
  <si>
    <t>2840</t>
  </si>
  <si>
    <t>Norwood R-2J</t>
  </si>
  <si>
    <t>2862</t>
  </si>
  <si>
    <t>Julesburg RE-1</t>
  </si>
  <si>
    <t>2865</t>
  </si>
  <si>
    <t>Revere School District</t>
  </si>
  <si>
    <t>3000</t>
  </si>
  <si>
    <t>Summit RE-1</t>
  </si>
  <si>
    <t>3010</t>
  </si>
  <si>
    <t>Cripple Creek-Victor RE-1</t>
  </si>
  <si>
    <t>3020</t>
  </si>
  <si>
    <t>Woodland Park RE-2</t>
  </si>
  <si>
    <t>3030</t>
  </si>
  <si>
    <t>Akron R-1</t>
  </si>
  <si>
    <t>3040</t>
  </si>
  <si>
    <t>Arickaree R-2</t>
  </si>
  <si>
    <t>3050</t>
  </si>
  <si>
    <t>Otis R-3</t>
  </si>
  <si>
    <t>3060</t>
  </si>
  <si>
    <t>Lone Star 101</t>
  </si>
  <si>
    <t>3070</t>
  </si>
  <si>
    <t>Woodlin R-104</t>
  </si>
  <si>
    <t>3080</t>
  </si>
  <si>
    <t>Weld County RE-1</t>
  </si>
  <si>
    <t>3085</t>
  </si>
  <si>
    <t>Eaton RE-2</t>
  </si>
  <si>
    <t>3090</t>
  </si>
  <si>
    <t>Weld County School District RE-3J</t>
  </si>
  <si>
    <t>3100</t>
  </si>
  <si>
    <t>Windsor RE-4</t>
  </si>
  <si>
    <t>3110</t>
  </si>
  <si>
    <t>Johnstown-Milliken RE-5J</t>
  </si>
  <si>
    <t>3120</t>
  </si>
  <si>
    <t>Greeley 6</t>
  </si>
  <si>
    <t>3130</t>
  </si>
  <si>
    <t>Platte Valley RE-7</t>
  </si>
  <si>
    <t>3140</t>
  </si>
  <si>
    <t>Weld County S/D RE-8</t>
  </si>
  <si>
    <t>3145</t>
  </si>
  <si>
    <t>Ault-Highland RE-9</t>
  </si>
  <si>
    <t>3146</t>
  </si>
  <si>
    <t>Briggsdale RE-10</t>
  </si>
  <si>
    <t>3147</t>
  </si>
  <si>
    <t>Prairie Re-11</t>
  </si>
  <si>
    <t>3148</t>
  </si>
  <si>
    <t>Pawnee RE-12</t>
  </si>
  <si>
    <t>3200</t>
  </si>
  <si>
    <t>Yuma 1</t>
  </si>
  <si>
    <t>3210</t>
  </si>
  <si>
    <t>Wray RD-2</t>
  </si>
  <si>
    <t>3220</t>
  </si>
  <si>
    <t>Idalia RJ-3</t>
  </si>
  <si>
    <t>3230</t>
  </si>
  <si>
    <t>Liberty J-4</t>
  </si>
  <si>
    <t>8001</t>
  </si>
  <si>
    <t>Charter School Institute</t>
  </si>
  <si>
    <t>9000</t>
  </si>
  <si>
    <t>Colorado School for the Deaf and Blind</t>
  </si>
  <si>
    <t>Totals</t>
  </si>
  <si>
    <t>January
2021</t>
  </si>
  <si>
    <t>February
2021</t>
  </si>
  <si>
    <t>March
2021</t>
  </si>
  <si>
    <t>April
2021</t>
  </si>
  <si>
    <t>January
2022</t>
  </si>
  <si>
    <t>February
2022</t>
  </si>
  <si>
    <t>March
2022</t>
  </si>
  <si>
    <t>April
2022</t>
  </si>
  <si>
    <t>May
2022</t>
  </si>
  <si>
    <t>June
2022</t>
  </si>
  <si>
    <t>July
2022</t>
  </si>
  <si>
    <t>August
2022</t>
  </si>
  <si>
    <t>September
2022</t>
  </si>
  <si>
    <t>1/05/21 THROUGH 9/30/23</t>
  </si>
  <si>
    <t>57SD/7000</t>
  </si>
  <si>
    <t>8th OF EACH MONTH</t>
  </si>
  <si>
    <t>57SF/7000</t>
  </si>
  <si>
    <t>ESSER II Funding</t>
  </si>
  <si>
    <t>MAPLETON 1</t>
  </si>
  <si>
    <t>ADAMS 12 FIVE STAR SCHOOLS</t>
  </si>
  <si>
    <t>CHERRY CREEK 5</t>
  </si>
  <si>
    <t>DEER TRAIL 26J</t>
  </si>
  <si>
    <t>ADAMS-ARAPAHOE 28J</t>
  </si>
  <si>
    <t>PRITCHETT RE-3</t>
  </si>
  <si>
    <t>VILAS RE-5</t>
  </si>
  <si>
    <t>CAMPO RE-6</t>
  </si>
  <si>
    <t>BOULDER VALLEY RE2</t>
  </si>
  <si>
    <t>DENVER</t>
  </si>
  <si>
    <t>BIG SANDY 100J</t>
  </si>
  <si>
    <t>AGATE 300</t>
  </si>
  <si>
    <t>FOUNTAIN 8</t>
  </si>
  <si>
    <t>COLORADO SPRINGS 11</t>
  </si>
  <si>
    <t>ELLICOTT 22</t>
  </si>
  <si>
    <t>ROARING FORK RE-1</t>
  </si>
  <si>
    <t>GARFIELD RE-2</t>
  </si>
  <si>
    <t>GARFIELD 16</t>
  </si>
  <si>
    <t>JEFFERSON COUNTY R-1</t>
  </si>
  <si>
    <t>PLAINVIEW RE-2</t>
  </si>
  <si>
    <t>STRATTON R-4</t>
  </si>
  <si>
    <t>BETHUNE R-5</t>
  </si>
  <si>
    <t>DURANGO 9-R</t>
  </si>
  <si>
    <t>BAYFIELD 10 JT-R</t>
  </si>
  <si>
    <t>IGNACIO 11 JT</t>
  </si>
  <si>
    <t>KIM REORGANIZED 88</t>
  </si>
  <si>
    <t>KARVAL RE-23</t>
  </si>
  <si>
    <t>DE BEQUE 49JT</t>
  </si>
  <si>
    <t>CREEDE SCHOOL DISTRICT</t>
  </si>
  <si>
    <t>MONTEZUMA-CORTEZ RE-1</t>
  </si>
  <si>
    <t>BRUSH RE-2(J)</t>
  </si>
  <si>
    <t>FORT MORGAN RE-3</t>
  </si>
  <si>
    <t>HOLYOKE RE-1J</t>
  </si>
  <si>
    <t>PUEBLO COUNTY 70</t>
  </si>
  <si>
    <t>HAYDEN RE-1</t>
  </si>
  <si>
    <t>SILVERTON 1</t>
  </si>
  <si>
    <t>ARICKAREE R-2</t>
  </si>
  <si>
    <t>OTIS R-3</t>
  </si>
  <si>
    <t>LONE STAR 101</t>
  </si>
  <si>
    <t>WOODLIN R-104</t>
  </si>
  <si>
    <t>WELD COUNTY RE-1</t>
  </si>
  <si>
    <t>AULT-HIGHLAND RE-9</t>
  </si>
  <si>
    <t>PRAIRIE RE-11</t>
  </si>
  <si>
    <t>WRAY RD-2</t>
  </si>
  <si>
    <t>IDALIA RJ-3</t>
  </si>
  <si>
    <t>LIBERTY J-4</t>
  </si>
  <si>
    <t>East Central BOCES</t>
  </si>
  <si>
    <t>Mountain BOCES</t>
  </si>
  <si>
    <t>Centennial BOCES</t>
  </si>
  <si>
    <t>Northeast BOCES</t>
  </si>
  <si>
    <t>Pikes Peak BOCES</t>
  </si>
  <si>
    <t>San Juan BOCES</t>
  </si>
  <si>
    <t>San Luis Valley BOCES</t>
  </si>
  <si>
    <t>South Central BOCES</t>
  </si>
  <si>
    <t>Southeastern BOCES</t>
  </si>
  <si>
    <t>Northwest BOCES</t>
  </si>
  <si>
    <t>Adams County BOCES</t>
  </si>
  <si>
    <t>Rio Blanco BOCES</t>
  </si>
  <si>
    <t>Expeditionary BOCES</t>
  </si>
  <si>
    <t>Grand Valley BOCES</t>
  </si>
  <si>
    <t>Mt. Evans BOCES</t>
  </si>
  <si>
    <t>Uncompahgre BOCES</t>
  </si>
  <si>
    <t>Santa Fe Trail BOCES</t>
  </si>
  <si>
    <t>Front Range BOCES</t>
  </si>
  <si>
    <t>Ute Pass BOCES</t>
  </si>
  <si>
    <t>Education reEnvisioned BOCES</t>
  </si>
  <si>
    <t>Colorado River BOCES</t>
  </si>
  <si>
    <t>9025</t>
  </si>
  <si>
    <t>9030</t>
  </si>
  <si>
    <t>9035</t>
  </si>
  <si>
    <t>9040</t>
  </si>
  <si>
    <t>9045</t>
  </si>
  <si>
    <t>9050</t>
  </si>
  <si>
    <t>9055</t>
  </si>
  <si>
    <t>9060</t>
  </si>
  <si>
    <t>9075</t>
  </si>
  <si>
    <t>9095</t>
  </si>
  <si>
    <t>9120</t>
  </si>
  <si>
    <t>9125</t>
  </si>
  <si>
    <t>9130</t>
  </si>
  <si>
    <t>9135</t>
  </si>
  <si>
    <t>9140</t>
  </si>
  <si>
    <t>9145</t>
  </si>
  <si>
    <t>9150</t>
  </si>
  <si>
    <t>9160</t>
  </si>
  <si>
    <t>9165</t>
  </si>
  <si>
    <t>9170</t>
  </si>
  <si>
    <t>9175</t>
  </si>
  <si>
    <t>01010</t>
  </si>
  <si>
    <t>01020</t>
  </si>
  <si>
    <t>01030</t>
  </si>
  <si>
    <t>01040</t>
  </si>
  <si>
    <t>01070</t>
  </si>
  <si>
    <t>03010</t>
  </si>
  <si>
    <t>03020</t>
  </si>
  <si>
    <t>03030</t>
  </si>
  <si>
    <t>03040</t>
  </si>
  <si>
    <t>03060</t>
  </si>
  <si>
    <t>07010</t>
  </si>
  <si>
    <t>07020</t>
  </si>
  <si>
    <t>15010</t>
  </si>
  <si>
    <t>16010</t>
  </si>
  <si>
    <t>18010</t>
  </si>
  <si>
    <t>19010</t>
  </si>
  <si>
    <t>19205</t>
  </si>
  <si>
    <t>21020</t>
  </si>
  <si>
    <t>21030</t>
  </si>
  <si>
    <t>21040</t>
  </si>
  <si>
    <t>21050</t>
  </si>
  <si>
    <t>21060</t>
  </si>
  <si>
    <t>21080</t>
  </si>
  <si>
    <t>21085</t>
  </si>
  <si>
    <t>21090</t>
  </si>
  <si>
    <t>21490</t>
  </si>
  <si>
    <t>22010</t>
  </si>
  <si>
    <t>26011</t>
  </si>
  <si>
    <t>30011</t>
  </si>
  <si>
    <t>34010</t>
  </si>
  <si>
    <t>35010</t>
  </si>
  <si>
    <t>35020</t>
  </si>
  <si>
    <t>35030</t>
  </si>
  <si>
    <t>38010</t>
  </si>
  <si>
    <t>39031</t>
  </si>
  <si>
    <t>41010</t>
  </si>
  <si>
    <t>43010</t>
  </si>
  <si>
    <t>44020</t>
  </si>
  <si>
    <t>49010</t>
  </si>
  <si>
    <t>51010</t>
  </si>
  <si>
    <t>51020</t>
  </si>
  <si>
    <t>54010</t>
  </si>
  <si>
    <t>59010</t>
  </si>
  <si>
    <t>62040</t>
  </si>
  <si>
    <t>62050</t>
  </si>
  <si>
    <t>62060</t>
  </si>
  <si>
    <t>64043</t>
  </si>
  <si>
    <t>64045</t>
  </si>
  <si>
    <t>64053</t>
  </si>
  <si>
    <t>64093</t>
  </si>
  <si>
    <t>Adams 1, Mapleton</t>
  </si>
  <si>
    <t>Adams 12, Northglenn-Thornton</t>
  </si>
  <si>
    <t>Adams 14, Commerce City</t>
  </si>
  <si>
    <t>Adams 27J, Brighton</t>
  </si>
  <si>
    <t>Adams 50, Westminster</t>
  </si>
  <si>
    <t>Arapahoe 1, Englewood</t>
  </si>
  <si>
    <t>Arapahoe 2, Sheridan</t>
  </si>
  <si>
    <t>Arapahoe 5, Cherry Creek</t>
  </si>
  <si>
    <t>Arapahoe 6, Littleton</t>
  </si>
  <si>
    <t>Adams-Arapahoe 28J, Aurora</t>
  </si>
  <si>
    <t>Boulder RE1J, St. Vrain Valley</t>
  </si>
  <si>
    <t>Boulder RE2, Boulder Valley</t>
  </si>
  <si>
    <t>Delta 50(J), Delta</t>
  </si>
  <si>
    <t>Denver 1, Denver</t>
  </si>
  <si>
    <t>Douglas Re 1, Castle Rock</t>
  </si>
  <si>
    <t>Eagle County RE 50</t>
  </si>
  <si>
    <t>Elbert, Elizabeth C-1</t>
  </si>
  <si>
    <t>El Paso 2, Harrison</t>
  </si>
  <si>
    <t>El Paso 3, Widefield</t>
  </si>
  <si>
    <t>El Paso 8, Fountain</t>
  </si>
  <si>
    <t>El Paso 11, Colorado Springs</t>
  </si>
  <si>
    <t>El Paso 12, Cheyenne Mountain</t>
  </si>
  <si>
    <t>El Paso 20, Academy</t>
  </si>
  <si>
    <t>El Paso 38, Lewis-Palmer</t>
  </si>
  <si>
    <t>El Paso 49, Falcon</t>
  </si>
  <si>
    <t>Fort Lupton/Keenesburg</t>
  </si>
  <si>
    <t>Fremont Re-1, Canon City</t>
  </si>
  <si>
    <t>Gunnison</t>
  </si>
  <si>
    <t>Jefferson R-1, Lakewood</t>
  </si>
  <si>
    <t>La Plata 9-R, Durango</t>
  </si>
  <si>
    <t>Larimer R-1, Poudre</t>
  </si>
  <si>
    <t>Larimer R-2J, Thompson</t>
  </si>
  <si>
    <t>Larimer R-3, Park</t>
  </si>
  <si>
    <t>Logan Re-1, Valley</t>
  </si>
  <si>
    <t>Mesa 51</t>
  </si>
  <si>
    <t>Moffat Re 1, Craig</t>
  </si>
  <si>
    <t>Montrose Re-1J, Montrose</t>
  </si>
  <si>
    <t>Morgan Re-3, Fort Morgan</t>
  </si>
  <si>
    <t>Pitkin 1, Aspen</t>
  </si>
  <si>
    <t>Pueblo 60, Urban</t>
  </si>
  <si>
    <t>Pueblo 70, Rural</t>
  </si>
  <si>
    <t>Summit Re 1, Frisco</t>
  </si>
  <si>
    <t>Weld Re-4, Windsor</t>
  </si>
  <si>
    <t>Johnstown/Milliken</t>
  </si>
  <si>
    <t>Weld 6, Greeley</t>
  </si>
  <si>
    <t>Education ReEnvisioned</t>
  </si>
  <si>
    <t>Northeast Colorado BOCES</t>
  </si>
  <si>
    <t>Northwest Colorado BOCES</t>
  </si>
  <si>
    <t>64103</t>
  </si>
  <si>
    <t>64123</t>
  </si>
  <si>
    <t>64133</t>
  </si>
  <si>
    <t>64143</t>
  </si>
  <si>
    <t>64153</t>
  </si>
  <si>
    <t>64160</t>
  </si>
  <si>
    <t>64163</t>
  </si>
  <si>
    <t>64193</t>
  </si>
  <si>
    <t>64200</t>
  </si>
  <si>
    <t>64203</t>
  </si>
  <si>
    <t>64205</t>
  </si>
  <si>
    <t>64213</t>
  </si>
  <si>
    <t>64233</t>
  </si>
  <si>
    <t>80010</t>
  </si>
  <si>
    <t>Y093</t>
  </si>
  <si>
    <t xml:space="preserve">Southern Utes Tribe </t>
  </si>
  <si>
    <t>Ute Mountain Utes Tribe</t>
  </si>
  <si>
    <t>Y094</t>
  </si>
  <si>
    <t>Grand Totals</t>
  </si>
  <si>
    <t>Tribes Totals</t>
  </si>
  <si>
    <t>AU Totals</t>
  </si>
  <si>
    <t>BOCES Totals</t>
  </si>
  <si>
    <t xml:space="preserve">LEA's Totals </t>
  </si>
  <si>
    <t>May 2021</t>
  </si>
  <si>
    <t>June 2021</t>
  </si>
  <si>
    <t>July 2021</t>
  </si>
  <si>
    <t>August 2021</t>
  </si>
  <si>
    <t>September 2021</t>
  </si>
  <si>
    <t>October 2021</t>
  </si>
  <si>
    <t>November 2021</t>
  </si>
  <si>
    <t>December 2021</t>
  </si>
  <si>
    <t>October 2022</t>
  </si>
  <si>
    <t>November 2022</t>
  </si>
  <si>
    <t>December 2022</t>
  </si>
  <si>
    <t>January
2023</t>
  </si>
  <si>
    <t>February
2023</t>
  </si>
  <si>
    <t>March
2023</t>
  </si>
  <si>
    <t>April
2023</t>
  </si>
  <si>
    <t>May
2023</t>
  </si>
  <si>
    <t>June
2023</t>
  </si>
  <si>
    <t>July
2023</t>
  </si>
  <si>
    <t>August
2023</t>
  </si>
  <si>
    <t>September
2023</t>
  </si>
  <si>
    <t>Revert</t>
  </si>
  <si>
    <t>Carry Forward</t>
  </si>
  <si>
    <t>Decline</t>
  </si>
  <si>
    <t>DECLINE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</si>
</sst>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0.00_);[Red]\(0.00\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indexed="8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b/>
      <sz val="12"/>
      <color indexed="8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2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9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theme="0" tint="-0.14996795556505021"/>
      </left>
      <right style="medium">
        <color theme="0" tint="-0.14996795556505021"/>
      </right>
      <top style="medium">
        <color theme="0" tint="-0.14996795556505021"/>
      </top>
      <bottom style="medium">
        <color theme="0" tint="-0.1499679555650502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0">
    <xf numFmtId="0" fontId="0" fillId="0" borderId="0" xfId="0"/>
    <xf numFmtId="0" fontId="3" fillId="2" borderId="0" xfId="0" applyFont="1" applyFill="1" applyAlignment="1">
      <alignment horizontal="left"/>
    </xf>
    <xf numFmtId="0" fontId="4" fillId="2" borderId="0" xfId="0" applyFont="1" applyFill="1"/>
    <xf numFmtId="49" fontId="3" fillId="2" borderId="0" xfId="0" applyNumberFormat="1" applyFont="1" applyFill="1" applyAlignment="1">
      <alignment horizontal="left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5" fillId="2" borderId="0" xfId="0" quotePrefix="1" applyFont="1" applyFill="1" applyAlignment="1">
      <alignment horizontal="left"/>
    </xf>
    <xf numFmtId="49" fontId="5" fillId="2" borderId="0" xfId="0" quotePrefix="1" applyNumberFormat="1" applyFont="1" applyFill="1" applyAlignment="1">
      <alignment horizontal="left"/>
    </xf>
    <xf numFmtId="0" fontId="5" fillId="2" borderId="0" xfId="0" applyFont="1" applyFill="1"/>
    <xf numFmtId="49" fontId="5" fillId="2" borderId="0" xfId="0" applyNumberFormat="1" applyFont="1" applyFill="1" applyAlignment="1">
      <alignment horizontal="left"/>
    </xf>
    <xf numFmtId="49" fontId="5" fillId="2" borderId="0" xfId="0" applyNumberFormat="1" applyFont="1" applyFill="1"/>
    <xf numFmtId="0" fontId="4" fillId="2" borderId="0" xfId="0" applyFont="1" applyFill="1" applyAlignment="1">
      <alignment horizontal="center" wrapText="1"/>
    </xf>
    <xf numFmtId="0" fontId="2" fillId="0" borderId="1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49" fontId="7" fillId="2" borderId="5" xfId="1" applyNumberFormat="1" applyFont="1" applyFill="1" applyBorder="1" applyAlignment="1">
      <alignment horizontal="center"/>
    </xf>
    <xf numFmtId="4" fontId="7" fillId="2" borderId="5" xfId="1" applyNumberFormat="1" applyFont="1" applyFill="1" applyBorder="1"/>
    <xf numFmtId="39" fontId="6" fillId="2" borderId="5" xfId="0" applyNumberFormat="1" applyFont="1" applyFill="1" applyBorder="1"/>
    <xf numFmtId="49" fontId="2" fillId="0" borderId="2" xfId="0" quotePrefix="1" applyNumberFormat="1" applyFont="1" applyFill="1" applyBorder="1" applyAlignment="1">
      <alignment horizontal="center" vertical="center" wrapText="1"/>
    </xf>
    <xf numFmtId="0" fontId="8" fillId="0" borderId="0" xfId="0" applyFont="1"/>
    <xf numFmtId="2" fontId="8" fillId="0" borderId="0" xfId="0" applyNumberFormat="1" applyFont="1"/>
    <xf numFmtId="4" fontId="9" fillId="0" borderId="0" xfId="0" applyNumberFormat="1" applyFont="1" applyFill="1" applyBorder="1" applyAlignment="1">
      <alignment horizontal="right" vertical="center"/>
    </xf>
    <xf numFmtId="49" fontId="6" fillId="0" borderId="5" xfId="0" applyNumberFormat="1" applyFont="1" applyFill="1" applyBorder="1" applyAlignment="1">
      <alignment horizontal="left"/>
    </xf>
    <xf numFmtId="0" fontId="6" fillId="0" borderId="5" xfId="0" applyFont="1" applyFill="1" applyBorder="1"/>
    <xf numFmtId="4" fontId="7" fillId="2" borderId="5" xfId="1" applyNumberFormat="1" applyFont="1" applyFill="1" applyBorder="1" applyAlignment="1">
      <alignment horizontal="center"/>
    </xf>
    <xf numFmtId="3" fontId="0" fillId="0" borderId="0" xfId="0" applyNumberFormat="1"/>
    <xf numFmtId="4" fontId="9" fillId="4" borderId="0" xfId="0" applyNumberFormat="1" applyFont="1" applyFill="1" applyBorder="1" applyAlignment="1">
      <alignment horizontal="right" vertical="center"/>
    </xf>
    <xf numFmtId="49" fontId="7" fillId="2" borderId="5" xfId="1" applyNumberFormat="1" applyFont="1" applyFill="1" applyBorder="1" applyAlignment="1">
      <alignment horizontal="left"/>
    </xf>
    <xf numFmtId="164" fontId="7" fillId="2" borderId="5" xfId="1" applyNumberFormat="1" applyFont="1" applyFill="1" applyBorder="1"/>
    <xf numFmtId="0" fontId="0" fillId="0" borderId="0" xfId="0" applyFill="1"/>
    <xf numFmtId="2" fontId="8" fillId="0" borderId="0" xfId="0" applyNumberFormat="1" applyFont="1" applyFill="1"/>
    <xf numFmtId="49" fontId="6" fillId="2" borderId="5" xfId="0" applyNumberFormat="1" applyFont="1" applyFill="1" applyBorder="1" applyAlignment="1">
      <alignment horizontal="left"/>
    </xf>
    <xf numFmtId="0" fontId="6" fillId="2" borderId="5" xfId="0" applyFont="1" applyFill="1" applyBorder="1"/>
    <xf numFmtId="39" fontId="6" fillId="2" borderId="5" xfId="0" applyNumberFormat="1" applyFont="1" applyFill="1" applyBorder="1" applyAlignment="1">
      <alignment horizontal="center"/>
    </xf>
    <xf numFmtId="4" fontId="10" fillId="2" borderId="5" xfId="1" applyNumberFormat="1" applyFont="1" applyFill="1" applyBorder="1" applyAlignment="1">
      <alignment horizontal="center"/>
    </xf>
    <xf numFmtId="4" fontId="7" fillId="4" borderId="5" xfId="1" applyNumberFormat="1" applyFont="1" applyFill="1" applyBorder="1"/>
    <xf numFmtId="4" fontId="10" fillId="2" borderId="5" xfId="1" applyNumberFormat="1" applyFont="1" applyFill="1" applyBorder="1"/>
    <xf numFmtId="4" fontId="10" fillId="2" borderId="5" xfId="1" applyNumberFormat="1" applyFont="1" applyFill="1" applyBorder="1" applyAlignment="1">
      <alignment horizontal="right"/>
    </xf>
    <xf numFmtId="49" fontId="7" fillId="4" borderId="5" xfId="1" applyNumberFormat="1" applyFont="1" applyFill="1" applyBorder="1" applyAlignment="1">
      <alignment horizontal="center"/>
    </xf>
    <xf numFmtId="0" fontId="0" fillId="4" borderId="0" xfId="0" applyFill="1"/>
    <xf numFmtId="49" fontId="10" fillId="2" borderId="5" xfId="1" applyNumberFormat="1" applyFont="1" applyFill="1" applyBorder="1" applyAlignment="1">
      <alignment horizontal="left"/>
    </xf>
    <xf numFmtId="4" fontId="0" fillId="0" borderId="0" xfId="0" applyNumberFormat="1"/>
    <xf numFmtId="2" fontId="6" fillId="2" borderId="5" xfId="0" applyNumberFormat="1" applyFont="1" applyFill="1" applyBorder="1"/>
    <xf numFmtId="2" fontId="10" fillId="2" borderId="5" xfId="1" applyNumberFormat="1" applyFont="1" applyFill="1" applyBorder="1"/>
    <xf numFmtId="2" fontId="8" fillId="4" borderId="0" xfId="0" applyNumberFormat="1" applyFont="1" applyFill="1"/>
    <xf numFmtId="2" fontId="10" fillId="2" borderId="5" xfId="1" applyNumberFormat="1" applyFont="1" applyFill="1" applyBorder="1" applyAlignment="1">
      <alignment horizontal="right"/>
    </xf>
    <xf numFmtId="0" fontId="2" fillId="3" borderId="1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center" vertical="center"/>
    </xf>
    <xf numFmtId="49" fontId="2" fillId="3" borderId="2" xfId="0" applyNumberFormat="1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49" fontId="2" fillId="3" borderId="2" xfId="0" quotePrefix="1" applyNumberFormat="1" applyFont="1" applyFill="1" applyBorder="1" applyAlignment="1">
      <alignment horizontal="center" vertical="center" wrapText="1"/>
    </xf>
    <xf numFmtId="4" fontId="8" fillId="0" borderId="0" xfId="0" applyNumberFormat="1" applyFont="1"/>
    <xf numFmtId="4" fontId="8" fillId="0" borderId="0" xfId="0" applyNumberFormat="1" applyFont="1" applyFill="1" applyBorder="1" applyAlignment="1">
      <alignment horizontal="right" vertical="center"/>
    </xf>
    <xf numFmtId="165" fontId="8" fillId="0" borderId="0" xfId="0" applyNumberFormat="1" applyFont="1"/>
    <xf numFmtId="49" fontId="13" fillId="2" borderId="5" xfId="1" applyNumberFormat="1" applyFont="1" applyFill="1" applyBorder="1" applyAlignment="1">
      <alignment horizontal="center"/>
    </xf>
    <xf numFmtId="0" fontId="8" fillId="4" borderId="0" xfId="0" applyFont="1" applyFill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FFFFFF"/>
      <color rgb="FF99CCFF"/>
      <color rgb="FF33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R207"/>
  <sheetViews>
    <sheetView workbookViewId="0">
      <pane xSplit="7" topLeftCell="AA1" activePane="topRight" state="frozen"/>
      <selection pane="topRight" activeCell="AB183" sqref="AB183"/>
    </sheetView>
  </sheetViews>
  <sheetFormatPr defaultRowHeight="15.75" x14ac:dyDescent="0.25"/>
  <cols>
    <col min="1" max="1" width="17.28515625" customWidth="1"/>
    <col min="2" max="2" width="40" customWidth="1"/>
    <col min="3" max="3" width="20.42578125" customWidth="1"/>
    <col min="4" max="4" width="12.7109375" customWidth="1"/>
    <col min="5" max="5" width="17.28515625" customWidth="1"/>
    <col min="6" max="6" width="16.140625" customWidth="1"/>
    <col min="7" max="7" width="15.85546875" customWidth="1"/>
    <col min="8" max="14" width="17.7109375" customWidth="1"/>
    <col min="15" max="15" width="17.7109375" style="22" customWidth="1"/>
    <col min="16" max="42" width="17.7109375" customWidth="1"/>
  </cols>
  <sheetData>
    <row r="1" spans="1:44" ht="21" x14ac:dyDescent="0.35">
      <c r="A1" s="1" t="s">
        <v>0</v>
      </c>
      <c r="B1" s="2"/>
      <c r="C1" s="1" t="s">
        <v>397</v>
      </c>
      <c r="D1" s="3"/>
      <c r="E1" s="1"/>
      <c r="F1" s="4"/>
      <c r="G1" s="4"/>
    </row>
    <row r="2" spans="1:44" x14ac:dyDescent="0.25">
      <c r="A2" s="5" t="s">
        <v>1</v>
      </c>
      <c r="B2" s="2"/>
      <c r="C2" s="6" t="s">
        <v>2</v>
      </c>
      <c r="D2" s="7"/>
      <c r="E2" s="6"/>
      <c r="F2" s="8"/>
      <c r="G2" s="8"/>
    </row>
    <row r="3" spans="1:44" x14ac:dyDescent="0.25">
      <c r="A3" s="5" t="s">
        <v>3</v>
      </c>
      <c r="B3" s="2"/>
      <c r="C3" s="5">
        <v>4420</v>
      </c>
      <c r="D3" s="9"/>
      <c r="E3" s="5"/>
      <c r="F3" s="8"/>
      <c r="G3" s="8"/>
    </row>
    <row r="4" spans="1:44" x14ac:dyDescent="0.25">
      <c r="A4" s="5" t="s">
        <v>4</v>
      </c>
      <c r="B4" s="2"/>
      <c r="C4" s="8" t="s">
        <v>5</v>
      </c>
      <c r="D4" s="10"/>
      <c r="E4" s="8"/>
      <c r="F4" s="8"/>
      <c r="G4" s="11"/>
    </row>
    <row r="5" spans="1:44" x14ac:dyDescent="0.25">
      <c r="A5" s="5" t="s">
        <v>6</v>
      </c>
      <c r="B5" s="2"/>
      <c r="C5" s="8" t="s">
        <v>7</v>
      </c>
      <c r="D5" s="10"/>
      <c r="E5" s="8"/>
      <c r="F5" s="8"/>
      <c r="G5" s="11"/>
      <c r="H5" s="32"/>
    </row>
    <row r="6" spans="1:44" x14ac:dyDescent="0.25">
      <c r="A6" s="5"/>
      <c r="B6" s="2"/>
      <c r="C6" s="8" t="s">
        <v>8</v>
      </c>
      <c r="D6" s="10"/>
      <c r="E6" s="8"/>
      <c r="F6" s="8"/>
      <c r="G6" s="11"/>
    </row>
    <row r="7" spans="1:44" x14ac:dyDescent="0.25">
      <c r="A7" s="5" t="s">
        <v>9</v>
      </c>
      <c r="B7" s="2"/>
      <c r="C7" s="8" t="s">
        <v>394</v>
      </c>
      <c r="D7" s="10"/>
      <c r="E7" s="8"/>
      <c r="F7" s="8"/>
      <c r="G7" s="11"/>
    </row>
    <row r="8" spans="1:44" x14ac:dyDescent="0.25">
      <c r="A8" s="5" t="s">
        <v>10</v>
      </c>
      <c r="B8" s="2"/>
      <c r="C8" s="8" t="s">
        <v>395</v>
      </c>
      <c r="D8" s="10"/>
      <c r="E8" s="8"/>
      <c r="F8" s="8"/>
      <c r="G8" s="11"/>
    </row>
    <row r="9" spans="1:44" ht="16.5" thickBot="1" x14ac:dyDescent="0.3">
      <c r="A9" s="5" t="s">
        <v>11</v>
      </c>
      <c r="B9" s="2"/>
      <c r="C9" s="8" t="s">
        <v>393</v>
      </c>
      <c r="D9" s="10"/>
      <c r="E9" s="8"/>
      <c r="F9" s="8"/>
      <c r="G9" s="11"/>
    </row>
    <row r="10" spans="1:44" ht="45.75" thickBot="1" x14ac:dyDescent="0.3">
      <c r="A10" s="49" t="s">
        <v>12</v>
      </c>
      <c r="B10" s="50" t="s">
        <v>13</v>
      </c>
      <c r="C10" s="50" t="s">
        <v>14</v>
      </c>
      <c r="D10" s="51" t="s">
        <v>15</v>
      </c>
      <c r="E10" s="52" t="s">
        <v>16</v>
      </c>
      <c r="F10" s="53" t="s">
        <v>17</v>
      </c>
      <c r="G10" s="17" t="s">
        <v>18</v>
      </c>
      <c r="H10" s="54" t="s">
        <v>380</v>
      </c>
      <c r="I10" s="54" t="s">
        <v>381</v>
      </c>
      <c r="J10" s="54" t="s">
        <v>382</v>
      </c>
      <c r="K10" s="54" t="s">
        <v>383</v>
      </c>
      <c r="L10" s="54" t="s">
        <v>607</v>
      </c>
      <c r="M10" s="54" t="s">
        <v>608</v>
      </c>
      <c r="N10" s="54" t="s">
        <v>609</v>
      </c>
      <c r="O10" s="54" t="s">
        <v>610</v>
      </c>
      <c r="P10" s="54" t="s">
        <v>611</v>
      </c>
      <c r="Q10" s="54" t="s">
        <v>612</v>
      </c>
      <c r="R10" s="54" t="s">
        <v>613</v>
      </c>
      <c r="S10" s="54" t="s">
        <v>614</v>
      </c>
      <c r="T10" s="54" t="s">
        <v>384</v>
      </c>
      <c r="U10" s="54" t="s">
        <v>385</v>
      </c>
      <c r="V10" s="54" t="s">
        <v>386</v>
      </c>
      <c r="W10" s="54" t="s">
        <v>387</v>
      </c>
      <c r="X10" s="54" t="s">
        <v>388</v>
      </c>
      <c r="Y10" s="54" t="s">
        <v>389</v>
      </c>
      <c r="Z10" s="54" t="s">
        <v>390</v>
      </c>
      <c r="AA10" s="54" t="s">
        <v>391</v>
      </c>
      <c r="AB10" s="54" t="s">
        <v>392</v>
      </c>
      <c r="AC10" s="54" t="s">
        <v>615</v>
      </c>
      <c r="AD10" s="54" t="s">
        <v>616</v>
      </c>
      <c r="AE10" s="54" t="s">
        <v>617</v>
      </c>
      <c r="AF10" s="54" t="s">
        <v>618</v>
      </c>
      <c r="AG10" s="54" t="s">
        <v>619</v>
      </c>
      <c r="AH10" s="54" t="s">
        <v>620</v>
      </c>
      <c r="AI10" s="54" t="s">
        <v>621</v>
      </c>
      <c r="AJ10" s="54" t="s">
        <v>622</v>
      </c>
      <c r="AK10" s="54" t="s">
        <v>623</v>
      </c>
      <c r="AL10" s="54" t="s">
        <v>624</v>
      </c>
      <c r="AM10" s="54" t="s">
        <v>625</v>
      </c>
      <c r="AN10" s="54" t="s">
        <v>626</v>
      </c>
      <c r="AO10" s="54" t="s">
        <v>627</v>
      </c>
      <c r="AP10" s="54" t="s">
        <v>628</v>
      </c>
    </row>
    <row r="11" spans="1:44" ht="16.5" thickBot="1" x14ac:dyDescent="0.3">
      <c r="A11" s="30" t="s">
        <v>19</v>
      </c>
      <c r="B11" s="31" t="s">
        <v>20</v>
      </c>
      <c r="C11" s="27">
        <v>3844503</v>
      </c>
      <c r="D11" s="18"/>
      <c r="E11" s="19">
        <f>C11</f>
        <v>3844503</v>
      </c>
      <c r="F11" s="19">
        <f>SUM(H11:AN11)</f>
        <v>3755485.8500000006</v>
      </c>
      <c r="G11" s="19">
        <f>E11-(F11+AO11+AP11)</f>
        <v>89017.149999999441</v>
      </c>
      <c r="H11" s="23"/>
      <c r="I11" s="23"/>
      <c r="J11" s="23"/>
      <c r="K11" s="56"/>
      <c r="L11" s="56"/>
      <c r="M11" s="56"/>
      <c r="N11" s="56">
        <v>487274.62</v>
      </c>
      <c r="O11" s="23"/>
      <c r="P11" s="23">
        <v>636415.73</v>
      </c>
      <c r="Q11" s="23">
        <v>803411.9</v>
      </c>
      <c r="R11" s="23">
        <v>187931.79</v>
      </c>
      <c r="S11" s="23">
        <v>134348.97</v>
      </c>
      <c r="T11" s="23"/>
      <c r="U11" s="23">
        <f>71560.98+177275.03</f>
        <v>248836.01</v>
      </c>
      <c r="V11" s="23">
        <v>96538.23</v>
      </c>
      <c r="W11" s="23">
        <v>331818.81</v>
      </c>
      <c r="X11" s="23">
        <v>81426.38</v>
      </c>
      <c r="Y11" s="23">
        <v>219456.66</v>
      </c>
      <c r="Z11" s="23">
        <v>57367.360000000001</v>
      </c>
      <c r="AA11" s="23"/>
      <c r="AB11" s="23">
        <v>470659.39</v>
      </c>
      <c r="AC11" s="23"/>
      <c r="AD11" s="23"/>
      <c r="AE11" s="23"/>
      <c r="AF11" s="23"/>
      <c r="AG11" s="23"/>
      <c r="AH11" s="23"/>
      <c r="AI11" s="23"/>
      <c r="AJ11" s="23"/>
      <c r="AK11" s="23"/>
      <c r="AL11" s="22"/>
      <c r="AM11" s="22"/>
      <c r="AN11" s="22"/>
      <c r="AO11" s="22"/>
      <c r="AP11" s="22"/>
      <c r="AQ11" s="22"/>
      <c r="AR11" s="22"/>
    </row>
    <row r="12" spans="1:44" ht="16.5" thickBot="1" x14ac:dyDescent="0.3">
      <c r="A12" s="30" t="s">
        <v>21</v>
      </c>
      <c r="B12" s="31" t="s">
        <v>22</v>
      </c>
      <c r="C12" s="27">
        <v>14601672</v>
      </c>
      <c r="D12" s="18"/>
      <c r="E12" s="19">
        <f t="shared" ref="E12:E75" si="0">C12</f>
        <v>14601672</v>
      </c>
      <c r="F12" s="19">
        <f t="shared" ref="F12:F75" si="1">SUM(H12:AN12)</f>
        <v>13489732.92</v>
      </c>
      <c r="G12" s="19">
        <f t="shared" ref="G12:G75" si="2">E12-(F12+AO12+AP12)</f>
        <v>1111939.08</v>
      </c>
      <c r="H12" s="23"/>
      <c r="I12" s="23"/>
      <c r="J12" s="23"/>
      <c r="K12" s="56"/>
      <c r="L12" s="56"/>
      <c r="M12" s="56"/>
      <c r="N12" s="56"/>
      <c r="O12" s="23"/>
      <c r="P12" s="23">
        <v>7138016.2400000002</v>
      </c>
      <c r="Q12" s="23">
        <v>79172.960000000006</v>
      </c>
      <c r="R12" s="23">
        <f>4340232.33+126086.91</f>
        <v>4466319.24</v>
      </c>
      <c r="S12" s="23">
        <v>459427.01</v>
      </c>
      <c r="T12" s="23">
        <v>168035.21</v>
      </c>
      <c r="U12" s="23">
        <v>116124.86</v>
      </c>
      <c r="V12" s="23">
        <v>108806.52</v>
      </c>
      <c r="W12" s="23">
        <v>185003.29</v>
      </c>
      <c r="X12" s="23">
        <v>201326.48</v>
      </c>
      <c r="Y12" s="23">
        <f>139376.65+143708.68</f>
        <v>283085.32999999996</v>
      </c>
      <c r="Z12" s="23"/>
      <c r="AA12" s="23">
        <v>284415.78000000003</v>
      </c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2"/>
      <c r="AM12" s="22"/>
      <c r="AN12" s="22"/>
      <c r="AO12" s="22"/>
      <c r="AP12" s="22"/>
      <c r="AQ12" s="22"/>
      <c r="AR12" s="22"/>
    </row>
    <row r="13" spans="1:44" ht="16.5" thickBot="1" x14ac:dyDescent="0.3">
      <c r="A13" s="30" t="s">
        <v>23</v>
      </c>
      <c r="B13" s="31" t="s">
        <v>24</v>
      </c>
      <c r="C13" s="27">
        <v>6746767</v>
      </c>
      <c r="D13" s="18"/>
      <c r="E13" s="19">
        <f t="shared" si="0"/>
        <v>6746767</v>
      </c>
      <c r="F13" s="19">
        <f t="shared" si="1"/>
        <v>6746767</v>
      </c>
      <c r="G13" s="19">
        <f t="shared" si="2"/>
        <v>0</v>
      </c>
      <c r="H13" s="23"/>
      <c r="I13" s="23"/>
      <c r="J13" s="23"/>
      <c r="K13" s="56"/>
      <c r="L13" s="56"/>
      <c r="M13" s="56"/>
      <c r="N13" s="56"/>
      <c r="O13" s="23"/>
      <c r="P13" s="23">
        <v>6746767</v>
      </c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2"/>
      <c r="AM13" s="22"/>
      <c r="AN13" s="22"/>
      <c r="AO13" s="22"/>
      <c r="AP13" s="22"/>
      <c r="AQ13" s="22"/>
      <c r="AR13" s="22"/>
    </row>
    <row r="14" spans="1:44" ht="16.5" thickBot="1" x14ac:dyDescent="0.3">
      <c r="A14" s="30" t="s">
        <v>25</v>
      </c>
      <c r="B14" s="31" t="s">
        <v>26</v>
      </c>
      <c r="C14" s="27">
        <v>4175047</v>
      </c>
      <c r="D14" s="18"/>
      <c r="E14" s="19">
        <f t="shared" si="0"/>
        <v>4175047</v>
      </c>
      <c r="F14" s="19">
        <f t="shared" si="1"/>
        <v>3468743.8200000003</v>
      </c>
      <c r="G14" s="19">
        <f t="shared" si="2"/>
        <v>706303.1799999997</v>
      </c>
      <c r="H14" s="23"/>
      <c r="I14" s="33"/>
      <c r="J14" s="23"/>
      <c r="K14" s="56"/>
      <c r="L14" s="56"/>
      <c r="M14" s="56"/>
      <c r="N14" s="56"/>
      <c r="O14" s="23"/>
      <c r="P14" s="23"/>
      <c r="Q14" s="23"/>
      <c r="R14" s="23">
        <f>1069246.78+392329.13</f>
        <v>1461575.9100000001</v>
      </c>
      <c r="S14" s="23">
        <v>205861.99</v>
      </c>
      <c r="T14" s="23">
        <v>516657.61</v>
      </c>
      <c r="U14" s="23">
        <v>47962.33</v>
      </c>
      <c r="V14" s="23"/>
      <c r="W14" s="23"/>
      <c r="X14" s="23"/>
      <c r="Y14" s="23">
        <v>326093.18</v>
      </c>
      <c r="Z14" s="23"/>
      <c r="AA14" s="23">
        <v>761312.25</v>
      </c>
      <c r="AB14" s="23">
        <v>149280.54999999999</v>
      </c>
      <c r="AC14" s="23"/>
      <c r="AD14" s="23"/>
      <c r="AE14" s="23"/>
      <c r="AF14" s="23"/>
      <c r="AG14" s="23"/>
      <c r="AH14" s="23"/>
      <c r="AI14" s="23"/>
      <c r="AJ14" s="23"/>
      <c r="AK14" s="23"/>
      <c r="AL14" s="22"/>
      <c r="AM14" s="22"/>
      <c r="AN14" s="22"/>
      <c r="AO14" s="22"/>
      <c r="AP14" s="22"/>
      <c r="AQ14" s="22"/>
      <c r="AR14" s="22"/>
    </row>
    <row r="15" spans="1:44" ht="16.5" thickBot="1" x14ac:dyDescent="0.3">
      <c r="A15" s="30" t="s">
        <v>27</v>
      </c>
      <c r="B15" s="31" t="s">
        <v>28</v>
      </c>
      <c r="C15" s="27">
        <v>261166</v>
      </c>
      <c r="D15" s="18"/>
      <c r="E15" s="19">
        <f t="shared" si="0"/>
        <v>261166</v>
      </c>
      <c r="F15" s="19">
        <f t="shared" si="1"/>
        <v>261165.7</v>
      </c>
      <c r="G15" s="19">
        <f t="shared" si="2"/>
        <v>0.29999999998835847</v>
      </c>
      <c r="H15" s="23"/>
      <c r="I15" s="23"/>
      <c r="J15" s="23"/>
      <c r="K15" s="56"/>
      <c r="L15" s="56"/>
      <c r="M15" s="56">
        <v>202789.51</v>
      </c>
      <c r="N15" s="56">
        <v>58376.19</v>
      </c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2"/>
      <c r="AM15" s="22"/>
      <c r="AN15" s="22"/>
      <c r="AO15" s="22"/>
      <c r="AP15" s="22"/>
      <c r="AQ15" s="22"/>
      <c r="AR15" s="22"/>
    </row>
    <row r="16" spans="1:44" ht="16.5" thickBot="1" x14ac:dyDescent="0.3">
      <c r="A16" s="30" t="s">
        <v>29</v>
      </c>
      <c r="B16" s="31" t="s">
        <v>30</v>
      </c>
      <c r="C16" s="27">
        <v>104962</v>
      </c>
      <c r="D16" s="18"/>
      <c r="E16" s="19">
        <f t="shared" si="0"/>
        <v>104962</v>
      </c>
      <c r="F16" s="19">
        <f t="shared" si="1"/>
        <v>100668.40999999999</v>
      </c>
      <c r="G16" s="19">
        <f t="shared" si="2"/>
        <v>4293.5900000000111</v>
      </c>
      <c r="H16" s="23"/>
      <c r="I16" s="23"/>
      <c r="J16" s="23"/>
      <c r="K16" s="56"/>
      <c r="L16" s="56"/>
      <c r="M16" s="56"/>
      <c r="N16" s="56"/>
      <c r="O16" s="23"/>
      <c r="P16" s="23"/>
      <c r="Q16" s="23"/>
      <c r="R16" s="23"/>
      <c r="S16" s="23"/>
      <c r="T16" s="23">
        <v>35095.46</v>
      </c>
      <c r="U16" s="23"/>
      <c r="V16" s="23">
        <v>43798</v>
      </c>
      <c r="W16" s="23"/>
      <c r="X16" s="23"/>
      <c r="Y16" s="23">
        <f>16881.49+4893.46</f>
        <v>21774.95</v>
      </c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2"/>
      <c r="AM16" s="22"/>
      <c r="AN16" s="22"/>
      <c r="AO16" s="22"/>
      <c r="AP16" s="22"/>
      <c r="AQ16" s="22"/>
      <c r="AR16" s="22"/>
    </row>
    <row r="17" spans="1:44" ht="16.5" thickBot="1" x14ac:dyDescent="0.3">
      <c r="A17" s="30" t="s">
        <v>31</v>
      </c>
      <c r="B17" s="31" t="s">
        <v>32</v>
      </c>
      <c r="C17" s="27">
        <v>8411479</v>
      </c>
      <c r="D17" s="18"/>
      <c r="E17" s="19">
        <f t="shared" si="0"/>
        <v>8411479</v>
      </c>
      <c r="F17" s="19">
        <f t="shared" si="1"/>
        <v>7333546.3899999997</v>
      </c>
      <c r="G17" s="19">
        <f t="shared" si="2"/>
        <v>1077932.6100000003</v>
      </c>
      <c r="H17" s="23"/>
      <c r="I17" s="23"/>
      <c r="J17" s="23"/>
      <c r="K17" s="56"/>
      <c r="L17" s="56"/>
      <c r="M17" s="56">
        <v>2043821.54</v>
      </c>
      <c r="N17" s="56">
        <v>2250209.63</v>
      </c>
      <c r="O17" s="23"/>
      <c r="P17" s="23"/>
      <c r="Q17" s="23">
        <f>926012.04+282079.24</f>
        <v>1208091.28</v>
      </c>
      <c r="R17" s="23">
        <v>69594.81</v>
      </c>
      <c r="S17" s="23">
        <v>32257.83</v>
      </c>
      <c r="T17" s="23">
        <v>145321.89000000001</v>
      </c>
      <c r="U17" s="23">
        <v>150268.53</v>
      </c>
      <c r="V17" s="23">
        <v>134591.1</v>
      </c>
      <c r="W17" s="23">
        <v>30387.52</v>
      </c>
      <c r="X17" s="23">
        <v>223183.84</v>
      </c>
      <c r="Y17" s="23">
        <v>175431.73</v>
      </c>
      <c r="Z17" s="23">
        <v>553720.81000000006</v>
      </c>
      <c r="AA17" s="23"/>
      <c r="AB17" s="23">
        <f>116263.21+200402.67</f>
        <v>316665.88</v>
      </c>
      <c r="AC17" s="23"/>
      <c r="AD17" s="23"/>
      <c r="AE17" s="23"/>
      <c r="AF17" s="23"/>
      <c r="AG17" s="23"/>
      <c r="AH17" s="23"/>
      <c r="AI17" s="23"/>
      <c r="AJ17" s="23"/>
      <c r="AK17" s="23"/>
      <c r="AL17" s="22"/>
      <c r="AM17" s="22"/>
      <c r="AN17" s="22"/>
      <c r="AO17" s="22"/>
      <c r="AP17" s="22"/>
      <c r="AQ17" s="22"/>
      <c r="AR17" s="22"/>
    </row>
    <row r="18" spans="1:44" ht="16.5" thickBot="1" x14ac:dyDescent="0.3">
      <c r="A18" s="30" t="s">
        <v>33</v>
      </c>
      <c r="B18" s="31" t="s">
        <v>34</v>
      </c>
      <c r="C18" s="27">
        <v>2728708</v>
      </c>
      <c r="D18" s="18"/>
      <c r="E18" s="19">
        <f t="shared" si="0"/>
        <v>2728708</v>
      </c>
      <c r="F18" s="19">
        <f t="shared" si="1"/>
        <v>2100461.1399999997</v>
      </c>
      <c r="G18" s="19">
        <f t="shared" si="2"/>
        <v>628246.86000000034</v>
      </c>
      <c r="H18" s="23"/>
      <c r="I18" s="23"/>
      <c r="J18" s="23"/>
      <c r="K18" s="56"/>
      <c r="L18" s="56"/>
      <c r="M18" s="56"/>
      <c r="N18" s="56"/>
      <c r="O18" s="23"/>
      <c r="P18" s="23"/>
      <c r="Q18" s="23"/>
      <c r="R18" s="23"/>
      <c r="S18" s="23">
        <f>582606.25+693003.97</f>
        <v>1275610.22</v>
      </c>
      <c r="T18" s="23">
        <v>54029.63</v>
      </c>
      <c r="U18" s="23">
        <v>91961.89</v>
      </c>
      <c r="V18" s="23">
        <v>45046.33</v>
      </c>
      <c r="W18" s="23">
        <v>125537.23</v>
      </c>
      <c r="X18" s="23">
        <v>45031.3</v>
      </c>
      <c r="Y18" s="23">
        <v>463244.54</v>
      </c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2"/>
      <c r="AM18" s="22"/>
      <c r="AN18" s="22"/>
      <c r="AO18" s="22"/>
      <c r="AP18" s="22"/>
      <c r="AQ18" s="22"/>
      <c r="AR18" s="22"/>
    </row>
    <row r="19" spans="1:44" ht="16.5" thickBot="1" x14ac:dyDescent="0.3">
      <c r="A19" s="30" t="s">
        <v>35</v>
      </c>
      <c r="B19" s="31" t="s">
        <v>36</v>
      </c>
      <c r="C19" s="27">
        <v>293325</v>
      </c>
      <c r="D19" s="18"/>
      <c r="E19" s="19">
        <f t="shared" si="0"/>
        <v>293325</v>
      </c>
      <c r="F19" s="19">
        <f t="shared" si="1"/>
        <v>217086.38999999998</v>
      </c>
      <c r="G19" s="19">
        <f t="shared" si="2"/>
        <v>76238.610000000015</v>
      </c>
      <c r="H19" s="23"/>
      <c r="I19" s="23"/>
      <c r="J19" s="23"/>
      <c r="K19" s="56"/>
      <c r="L19" s="56"/>
      <c r="M19" s="56"/>
      <c r="N19" s="56"/>
      <c r="O19" s="23"/>
      <c r="P19" s="23"/>
      <c r="Q19" s="23"/>
      <c r="R19" s="23"/>
      <c r="S19" s="23"/>
      <c r="T19" s="23">
        <v>150482.51999999999</v>
      </c>
      <c r="U19" s="23"/>
      <c r="V19" s="23"/>
      <c r="W19" s="23"/>
      <c r="X19" s="23"/>
      <c r="Y19" s="23">
        <v>66603.87</v>
      </c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2"/>
      <c r="AM19" s="22"/>
      <c r="AN19" s="22"/>
      <c r="AO19" s="22"/>
      <c r="AP19" s="22"/>
      <c r="AQ19" s="22"/>
      <c r="AR19" s="22"/>
    </row>
    <row r="20" spans="1:44" ht="16.5" thickBot="1" x14ac:dyDescent="0.3">
      <c r="A20" s="30" t="s">
        <v>37</v>
      </c>
      <c r="B20" s="31" t="s">
        <v>38</v>
      </c>
      <c r="C20" s="27">
        <v>1981856</v>
      </c>
      <c r="D20" s="18"/>
      <c r="E20" s="19">
        <f t="shared" si="0"/>
        <v>1981856</v>
      </c>
      <c r="F20" s="19">
        <f t="shared" si="1"/>
        <v>1981856</v>
      </c>
      <c r="G20" s="19">
        <f t="shared" si="2"/>
        <v>0</v>
      </c>
      <c r="H20" s="23"/>
      <c r="I20" s="23"/>
      <c r="J20" s="23"/>
      <c r="K20" s="56"/>
      <c r="L20" s="56">
        <v>1837144</v>
      </c>
      <c r="M20" s="56">
        <v>144712</v>
      </c>
      <c r="N20" s="56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2"/>
      <c r="AM20" s="22"/>
      <c r="AN20" s="22"/>
      <c r="AO20" s="22"/>
      <c r="AP20" s="22"/>
      <c r="AQ20" s="22"/>
      <c r="AR20" s="22"/>
    </row>
    <row r="21" spans="1:44" ht="16.5" thickBot="1" x14ac:dyDescent="0.3">
      <c r="A21" s="30" t="s">
        <v>39</v>
      </c>
      <c r="B21" s="31" t="s">
        <v>40</v>
      </c>
      <c r="C21" s="27">
        <v>2463550</v>
      </c>
      <c r="D21" s="18"/>
      <c r="E21" s="19">
        <f t="shared" si="0"/>
        <v>2463550</v>
      </c>
      <c r="F21" s="19">
        <f t="shared" si="1"/>
        <v>1091731.05</v>
      </c>
      <c r="G21" s="19">
        <f t="shared" si="2"/>
        <v>1371818.95</v>
      </c>
      <c r="H21" s="23"/>
      <c r="I21" s="23"/>
      <c r="J21" s="23"/>
      <c r="K21" s="56"/>
      <c r="L21" s="56"/>
      <c r="M21" s="56"/>
      <c r="N21" s="56"/>
      <c r="O21" s="23"/>
      <c r="P21" s="23"/>
      <c r="Q21" s="23">
        <v>359660.81</v>
      </c>
      <c r="R21" s="23">
        <v>518864.74</v>
      </c>
      <c r="S21" s="23">
        <v>95494.36</v>
      </c>
      <c r="T21" s="23">
        <v>41455.53</v>
      </c>
      <c r="U21" s="23">
        <v>76255.61</v>
      </c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2"/>
      <c r="AM21" s="22"/>
      <c r="AN21" s="22"/>
      <c r="AO21" s="22"/>
      <c r="AP21" s="22"/>
      <c r="AQ21" s="22"/>
      <c r="AR21" s="22"/>
    </row>
    <row r="22" spans="1:44" ht="16.5" thickBot="1" x14ac:dyDescent="0.3">
      <c r="A22" s="30" t="s">
        <v>41</v>
      </c>
      <c r="B22" s="31" t="s">
        <v>42</v>
      </c>
      <c r="C22" s="27">
        <v>14870067</v>
      </c>
      <c r="D22" s="18"/>
      <c r="E22" s="19">
        <f t="shared" si="0"/>
        <v>14870067</v>
      </c>
      <c r="F22" s="19">
        <f t="shared" si="1"/>
        <v>0</v>
      </c>
      <c r="G22" s="19">
        <f t="shared" si="2"/>
        <v>14870067</v>
      </c>
      <c r="H22" s="23"/>
      <c r="I22" s="23"/>
      <c r="J22" s="23"/>
      <c r="K22" s="56"/>
      <c r="L22" s="56"/>
      <c r="M22" s="56"/>
      <c r="N22" s="56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2"/>
      <c r="AM22" s="22"/>
      <c r="AN22" s="22"/>
      <c r="AO22" s="22"/>
      <c r="AP22" s="22"/>
      <c r="AQ22" s="22"/>
      <c r="AR22" s="22"/>
    </row>
    <row r="23" spans="1:44" ht="16.5" thickBot="1" x14ac:dyDescent="0.3">
      <c r="A23" s="30" t="s">
        <v>43</v>
      </c>
      <c r="B23" s="31" t="s">
        <v>44</v>
      </c>
      <c r="C23" s="27">
        <v>1412716</v>
      </c>
      <c r="D23" s="18"/>
      <c r="E23" s="19">
        <f t="shared" si="0"/>
        <v>1412716</v>
      </c>
      <c r="F23" s="19">
        <f t="shared" si="1"/>
        <v>951783.32000000007</v>
      </c>
      <c r="G23" s="19">
        <f t="shared" si="2"/>
        <v>460932.67999999993</v>
      </c>
      <c r="H23" s="23"/>
      <c r="I23" s="23"/>
      <c r="J23" s="23"/>
      <c r="K23" s="56"/>
      <c r="L23" s="56"/>
      <c r="M23" s="56"/>
      <c r="N23" s="56"/>
      <c r="O23" s="23"/>
      <c r="P23" s="23">
        <v>927164.01</v>
      </c>
      <c r="Q23" s="23"/>
      <c r="R23" s="23"/>
      <c r="S23" s="23">
        <f>13302.7+337.57</f>
        <v>13640.27</v>
      </c>
      <c r="T23" s="23"/>
      <c r="U23" s="23"/>
      <c r="V23" s="23">
        <v>1941.61</v>
      </c>
      <c r="W23" s="23"/>
      <c r="X23" s="23">
        <v>7817.43</v>
      </c>
      <c r="Y23" s="23"/>
      <c r="Z23" s="23">
        <v>1220</v>
      </c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2"/>
      <c r="AM23" s="22"/>
      <c r="AN23" s="22"/>
      <c r="AO23" s="22"/>
      <c r="AP23" s="22"/>
      <c r="AQ23" s="22"/>
      <c r="AR23" s="22"/>
    </row>
    <row r="24" spans="1:44" ht="16.5" thickBot="1" x14ac:dyDescent="0.3">
      <c r="A24" s="30" t="s">
        <v>45</v>
      </c>
      <c r="B24" s="31" t="s">
        <v>46</v>
      </c>
      <c r="C24" s="27">
        <v>74728</v>
      </c>
      <c r="D24" s="18"/>
      <c r="E24" s="19">
        <f t="shared" si="0"/>
        <v>74728</v>
      </c>
      <c r="F24" s="19">
        <f t="shared" si="1"/>
        <v>74728</v>
      </c>
      <c r="G24" s="19">
        <f t="shared" si="2"/>
        <v>0</v>
      </c>
      <c r="H24" s="23"/>
      <c r="I24" s="23"/>
      <c r="J24" s="23"/>
      <c r="K24" s="56"/>
      <c r="L24" s="56"/>
      <c r="M24" s="56"/>
      <c r="N24" s="56"/>
      <c r="O24" s="23"/>
      <c r="P24" s="23"/>
      <c r="Q24" s="23"/>
      <c r="R24" s="23"/>
      <c r="S24" s="23"/>
      <c r="T24" s="23">
        <v>24834.77</v>
      </c>
      <c r="U24" s="23"/>
      <c r="V24" s="23"/>
      <c r="W24" s="23"/>
      <c r="X24" s="23"/>
      <c r="Y24" s="23"/>
      <c r="Z24" s="23">
        <v>30169.51</v>
      </c>
      <c r="AA24" s="23"/>
      <c r="AB24" s="23">
        <f>19345.69+378.03</f>
        <v>19723.719999999998</v>
      </c>
      <c r="AC24" s="23"/>
      <c r="AD24" s="23"/>
      <c r="AE24" s="23"/>
      <c r="AF24" s="23"/>
      <c r="AG24" s="23"/>
      <c r="AH24" s="23"/>
      <c r="AI24" s="23"/>
      <c r="AJ24" s="23"/>
      <c r="AK24" s="23"/>
      <c r="AL24" s="22"/>
      <c r="AM24" s="22"/>
      <c r="AN24" s="22"/>
      <c r="AO24" s="22"/>
      <c r="AP24" s="22"/>
      <c r="AQ24" s="22"/>
      <c r="AR24" s="22"/>
    </row>
    <row r="25" spans="1:44" ht="16.5" thickBot="1" x14ac:dyDescent="0.3">
      <c r="A25" s="30" t="s">
        <v>47</v>
      </c>
      <c r="B25" s="31" t="s">
        <v>48</v>
      </c>
      <c r="C25" s="27">
        <v>34331333</v>
      </c>
      <c r="D25" s="18"/>
      <c r="E25" s="19">
        <f t="shared" si="0"/>
        <v>34331333</v>
      </c>
      <c r="F25" s="19">
        <f t="shared" si="1"/>
        <v>31438560.879999999</v>
      </c>
      <c r="G25" s="19">
        <f t="shared" si="2"/>
        <v>2892772.120000001</v>
      </c>
      <c r="H25" s="23"/>
      <c r="I25" s="23"/>
      <c r="J25" s="23"/>
      <c r="K25" s="56"/>
      <c r="L25" s="56"/>
      <c r="M25" s="56"/>
      <c r="N25" s="56">
        <v>28956872.670000002</v>
      </c>
      <c r="O25" s="23"/>
      <c r="P25" s="23"/>
      <c r="Q25" s="23">
        <v>1324388.49</v>
      </c>
      <c r="R25" s="23"/>
      <c r="S25" s="23"/>
      <c r="T25" s="23"/>
      <c r="U25" s="23"/>
      <c r="V25" s="23"/>
      <c r="W25" s="23"/>
      <c r="X25" s="23">
        <v>840766.25</v>
      </c>
      <c r="Y25" s="23">
        <v>316533.46999999997</v>
      </c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2"/>
      <c r="AM25" s="22"/>
      <c r="AN25" s="22"/>
      <c r="AO25" s="22"/>
      <c r="AP25" s="22"/>
      <c r="AQ25" s="22"/>
      <c r="AR25" s="22"/>
    </row>
    <row r="26" spans="1:44" ht="16.5" thickBot="1" x14ac:dyDescent="0.3">
      <c r="A26" s="30" t="s">
        <v>49</v>
      </c>
      <c r="B26" s="31" t="s">
        <v>50</v>
      </c>
      <c r="C26" s="27">
        <v>1169635</v>
      </c>
      <c r="D26" s="18"/>
      <c r="E26" s="19">
        <f t="shared" si="0"/>
        <v>1169635</v>
      </c>
      <c r="F26" s="19">
        <f t="shared" si="1"/>
        <v>1169635</v>
      </c>
      <c r="G26" s="19">
        <f t="shared" si="2"/>
        <v>0</v>
      </c>
      <c r="H26" s="23"/>
      <c r="I26" s="23"/>
      <c r="J26" s="23"/>
      <c r="K26" s="56"/>
      <c r="L26" s="56">
        <v>1169635</v>
      </c>
      <c r="M26" s="56"/>
      <c r="N26" s="56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2"/>
      <c r="AM26" s="22"/>
      <c r="AN26" s="22"/>
      <c r="AO26" s="22"/>
      <c r="AP26" s="22"/>
      <c r="AQ26" s="22"/>
      <c r="AR26" s="22"/>
    </row>
    <row r="27" spans="1:44" ht="16.5" thickBot="1" x14ac:dyDescent="0.3">
      <c r="A27" s="30" t="s">
        <v>51</v>
      </c>
      <c r="B27" s="31" t="s">
        <v>52</v>
      </c>
      <c r="C27" s="27">
        <v>1238526</v>
      </c>
      <c r="D27" s="18"/>
      <c r="E27" s="19">
        <f t="shared" si="0"/>
        <v>1238526</v>
      </c>
      <c r="F27" s="19">
        <f t="shared" si="1"/>
        <v>757669.58000000007</v>
      </c>
      <c r="G27" s="19">
        <f t="shared" si="2"/>
        <v>480856.41999999993</v>
      </c>
      <c r="H27" s="23"/>
      <c r="I27" s="23"/>
      <c r="J27" s="23"/>
      <c r="K27" s="56"/>
      <c r="L27" s="56"/>
      <c r="M27" s="56"/>
      <c r="N27" s="56"/>
      <c r="O27" s="23"/>
      <c r="P27" s="23">
        <v>286642.06</v>
      </c>
      <c r="Q27" s="23"/>
      <c r="R27" s="23">
        <v>6721.68</v>
      </c>
      <c r="S27" s="23">
        <v>84785.42</v>
      </c>
      <c r="T27" s="23"/>
      <c r="U27" s="23">
        <v>3360.84</v>
      </c>
      <c r="V27" s="23"/>
      <c r="W27" s="23">
        <f>8870.84+167083.08</f>
        <v>175953.91999999998</v>
      </c>
      <c r="X27" s="23">
        <v>13556.8</v>
      </c>
      <c r="Y27" s="23">
        <v>1680.42</v>
      </c>
      <c r="Z27" s="23">
        <f>17324.21+1680.42</f>
        <v>19004.629999999997</v>
      </c>
      <c r="AA27" s="23">
        <v>160960</v>
      </c>
      <c r="AB27" s="23">
        <v>5003.8100000000004</v>
      </c>
      <c r="AC27" s="23"/>
      <c r="AD27" s="23"/>
      <c r="AE27" s="23"/>
      <c r="AF27" s="23"/>
      <c r="AG27" s="23"/>
      <c r="AH27" s="23"/>
      <c r="AI27" s="23"/>
      <c r="AJ27" s="23"/>
      <c r="AK27" s="23"/>
      <c r="AL27" s="22"/>
      <c r="AM27" s="22"/>
      <c r="AN27" s="22"/>
      <c r="AO27" s="22"/>
      <c r="AP27" s="22"/>
      <c r="AQ27" s="22"/>
      <c r="AR27" s="22"/>
    </row>
    <row r="28" spans="1:44" ht="16.5" thickBot="1" x14ac:dyDescent="0.3">
      <c r="A28" s="30" t="s">
        <v>53</v>
      </c>
      <c r="B28" s="31" t="s">
        <v>54</v>
      </c>
      <c r="C28" s="27">
        <v>128144</v>
      </c>
      <c r="D28" s="18"/>
      <c r="E28" s="19">
        <f t="shared" si="0"/>
        <v>128144</v>
      </c>
      <c r="F28" s="19">
        <f t="shared" si="1"/>
        <v>100264</v>
      </c>
      <c r="G28" s="19">
        <f t="shared" si="2"/>
        <v>27880</v>
      </c>
      <c r="H28" s="23"/>
      <c r="I28" s="23"/>
      <c r="J28" s="23"/>
      <c r="K28" s="56"/>
      <c r="L28" s="56"/>
      <c r="M28" s="56"/>
      <c r="N28" s="56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>
        <v>100264</v>
      </c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2"/>
      <c r="AM28" s="22"/>
      <c r="AN28" s="22"/>
      <c r="AO28" s="22"/>
      <c r="AP28" s="22"/>
      <c r="AQ28" s="22"/>
      <c r="AR28" s="22"/>
    </row>
    <row r="29" spans="1:44" ht="16.5" thickBot="1" x14ac:dyDescent="0.3">
      <c r="A29" s="30" t="s">
        <v>55</v>
      </c>
      <c r="B29" s="31" t="s">
        <v>56</v>
      </c>
      <c r="C29" s="27">
        <v>45179</v>
      </c>
      <c r="D29" s="18"/>
      <c r="E29" s="19">
        <f t="shared" si="0"/>
        <v>45179</v>
      </c>
      <c r="F29" s="19">
        <f t="shared" si="1"/>
        <v>0</v>
      </c>
      <c r="G29" s="19">
        <f t="shared" si="2"/>
        <v>45179</v>
      </c>
      <c r="H29" s="23"/>
      <c r="I29" s="23"/>
      <c r="J29" s="23"/>
      <c r="K29" s="56"/>
      <c r="L29" s="56"/>
      <c r="M29" s="56"/>
      <c r="N29" s="56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2"/>
      <c r="AM29" s="22"/>
      <c r="AN29" s="22"/>
      <c r="AO29" s="22"/>
      <c r="AP29" s="22"/>
      <c r="AQ29" s="22"/>
      <c r="AR29" s="22"/>
    </row>
    <row r="30" spans="1:44" ht="16.5" thickBot="1" x14ac:dyDescent="0.3">
      <c r="A30" s="30" t="s">
        <v>57</v>
      </c>
      <c r="B30" s="31" t="s">
        <v>58</v>
      </c>
      <c r="C30" s="27">
        <v>473475</v>
      </c>
      <c r="D30" s="18"/>
      <c r="E30" s="19">
        <f t="shared" si="0"/>
        <v>473475</v>
      </c>
      <c r="F30" s="19">
        <f t="shared" si="1"/>
        <v>128971.48</v>
      </c>
      <c r="G30" s="19">
        <f t="shared" si="2"/>
        <v>344503.52</v>
      </c>
      <c r="H30" s="23"/>
      <c r="I30" s="23"/>
      <c r="J30" s="23"/>
      <c r="K30" s="56"/>
      <c r="L30" s="56"/>
      <c r="M30" s="56"/>
      <c r="N30" s="56"/>
      <c r="O30" s="23"/>
      <c r="P30" s="23"/>
      <c r="Q30" s="23"/>
      <c r="R30" s="23"/>
      <c r="S30" s="23"/>
      <c r="T30" s="23"/>
      <c r="U30" s="23"/>
      <c r="V30" s="23"/>
      <c r="W30" s="23">
        <v>115162.24000000001</v>
      </c>
      <c r="X30" s="23"/>
      <c r="Y30" s="23">
        <v>8986.2900000000009</v>
      </c>
      <c r="Z30" s="23"/>
      <c r="AA30" s="23"/>
      <c r="AB30" s="23">
        <v>4822.95</v>
      </c>
      <c r="AC30" s="23"/>
      <c r="AD30" s="23"/>
      <c r="AE30" s="23"/>
      <c r="AF30" s="23"/>
      <c r="AG30" s="23"/>
      <c r="AH30" s="23"/>
      <c r="AI30" s="23"/>
      <c r="AJ30" s="23"/>
      <c r="AK30" s="23"/>
      <c r="AL30" s="22"/>
      <c r="AM30" s="22"/>
      <c r="AN30" s="22"/>
      <c r="AO30" s="22"/>
      <c r="AP30" s="22"/>
      <c r="AQ30" s="22"/>
      <c r="AR30" s="22"/>
    </row>
    <row r="31" spans="1:44" ht="16.5" thickBot="1" x14ac:dyDescent="0.3">
      <c r="A31" s="30" t="s">
        <v>59</v>
      </c>
      <c r="B31" s="31" t="s">
        <v>60</v>
      </c>
      <c r="C31" s="27">
        <v>56099</v>
      </c>
      <c r="D31" s="18"/>
      <c r="E31" s="19">
        <f t="shared" si="0"/>
        <v>56099</v>
      </c>
      <c r="F31" s="19">
        <f t="shared" si="1"/>
        <v>56099</v>
      </c>
      <c r="G31" s="19">
        <f t="shared" si="2"/>
        <v>0</v>
      </c>
      <c r="H31" s="23"/>
      <c r="I31" s="23"/>
      <c r="J31" s="23"/>
      <c r="K31" s="56"/>
      <c r="L31" s="56"/>
      <c r="M31" s="56"/>
      <c r="N31" s="56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>
        <v>56099</v>
      </c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2"/>
      <c r="AM31" s="22"/>
      <c r="AN31" s="22"/>
      <c r="AO31" s="22"/>
      <c r="AP31" s="22"/>
      <c r="AQ31" s="22"/>
      <c r="AR31" s="22"/>
    </row>
    <row r="32" spans="1:44" ht="16.5" thickBot="1" x14ac:dyDescent="0.3">
      <c r="A32" s="30" t="s">
        <v>61</v>
      </c>
      <c r="B32" s="31" t="s">
        <v>62</v>
      </c>
      <c r="C32" s="27">
        <v>41052</v>
      </c>
      <c r="D32" s="18"/>
      <c r="E32" s="19">
        <f t="shared" si="0"/>
        <v>41052</v>
      </c>
      <c r="F32" s="19">
        <f t="shared" si="1"/>
        <v>41052</v>
      </c>
      <c r="G32" s="19">
        <f t="shared" si="2"/>
        <v>0</v>
      </c>
      <c r="H32" s="23"/>
      <c r="I32" s="23"/>
      <c r="J32" s="23"/>
      <c r="K32" s="56"/>
      <c r="L32" s="56"/>
      <c r="M32" s="56"/>
      <c r="N32" s="56"/>
      <c r="O32" s="23"/>
      <c r="P32" s="23"/>
      <c r="Q32" s="23"/>
      <c r="R32" s="23"/>
      <c r="S32" s="23"/>
      <c r="T32" s="23">
        <v>36018.589999999997</v>
      </c>
      <c r="U32" s="23"/>
      <c r="V32" s="23"/>
      <c r="W32" s="23"/>
      <c r="X32" s="23"/>
      <c r="Y32" s="23">
        <v>5033.41</v>
      </c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2"/>
      <c r="AM32" s="22"/>
      <c r="AN32" s="22"/>
      <c r="AO32" s="22"/>
      <c r="AP32" s="22"/>
      <c r="AQ32" s="22"/>
      <c r="AR32" s="22"/>
    </row>
    <row r="33" spans="1:44" ht="16.5" thickBot="1" x14ac:dyDescent="0.3">
      <c r="A33" s="30" t="s">
        <v>63</v>
      </c>
      <c r="B33" s="31" t="s">
        <v>64</v>
      </c>
      <c r="C33" s="27">
        <v>2125885</v>
      </c>
      <c r="D33" s="18"/>
      <c r="E33" s="19">
        <f t="shared" si="0"/>
        <v>2125885</v>
      </c>
      <c r="F33" s="19">
        <f t="shared" si="1"/>
        <v>353580.17</v>
      </c>
      <c r="G33" s="19">
        <f t="shared" si="2"/>
        <v>1772304.83</v>
      </c>
      <c r="H33" s="23"/>
      <c r="I33" s="23"/>
      <c r="J33" s="23"/>
      <c r="K33" s="56"/>
      <c r="L33" s="56"/>
      <c r="M33" s="56"/>
      <c r="N33" s="56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>
        <v>353580.17</v>
      </c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2"/>
      <c r="AM33" s="22"/>
      <c r="AN33" s="22"/>
      <c r="AO33" s="22"/>
      <c r="AP33" s="22"/>
      <c r="AQ33" s="22"/>
      <c r="AR33" s="22"/>
    </row>
    <row r="34" spans="1:44" ht="16.5" thickBot="1" x14ac:dyDescent="0.3">
      <c r="A34" s="30" t="s">
        <v>65</v>
      </c>
      <c r="B34" s="31" t="s">
        <v>66</v>
      </c>
      <c r="C34" s="27">
        <v>146318</v>
      </c>
      <c r="D34" s="18"/>
      <c r="E34" s="19">
        <f t="shared" si="0"/>
        <v>146318</v>
      </c>
      <c r="F34" s="19">
        <f t="shared" si="1"/>
        <v>146318</v>
      </c>
      <c r="G34" s="19">
        <f t="shared" si="2"/>
        <v>0</v>
      </c>
      <c r="H34" s="23"/>
      <c r="I34" s="23"/>
      <c r="J34" s="23"/>
      <c r="K34" s="56"/>
      <c r="L34" s="56">
        <v>146318</v>
      </c>
      <c r="M34" s="56"/>
      <c r="N34" s="56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2"/>
      <c r="AM34" s="22"/>
      <c r="AN34" s="22"/>
      <c r="AO34" s="22"/>
      <c r="AP34" s="22"/>
      <c r="AQ34" s="22"/>
      <c r="AR34" s="22"/>
    </row>
    <row r="35" spans="1:44" ht="16.5" thickBot="1" x14ac:dyDescent="0.3">
      <c r="A35" s="30" t="s">
        <v>67</v>
      </c>
      <c r="B35" s="31" t="s">
        <v>68</v>
      </c>
      <c r="C35" s="27">
        <v>9286412</v>
      </c>
      <c r="D35" s="18"/>
      <c r="E35" s="19">
        <f t="shared" si="0"/>
        <v>9286412</v>
      </c>
      <c r="F35" s="19">
        <f t="shared" si="1"/>
        <v>9286411.6499999985</v>
      </c>
      <c r="G35" s="19">
        <f t="shared" si="2"/>
        <v>0.35000000149011612</v>
      </c>
      <c r="H35" s="23"/>
      <c r="I35" s="23"/>
      <c r="J35" s="23"/>
      <c r="K35" s="56"/>
      <c r="L35" s="56"/>
      <c r="M35" s="56"/>
      <c r="N35" s="56"/>
      <c r="O35" s="23"/>
      <c r="P35" s="23">
        <v>9113992.5399999991</v>
      </c>
      <c r="Q35" s="23"/>
      <c r="R35" s="23"/>
      <c r="S35" s="23"/>
      <c r="T35" s="23"/>
      <c r="U35" s="23"/>
      <c r="V35" s="23">
        <v>44803.59</v>
      </c>
      <c r="W35" s="23"/>
      <c r="X35" s="23"/>
      <c r="Y35" s="23">
        <v>76919.92</v>
      </c>
      <c r="Z35" s="23"/>
      <c r="AA35" s="23">
        <v>50695.6</v>
      </c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2"/>
      <c r="AM35" s="22"/>
      <c r="AN35" s="22"/>
      <c r="AO35" s="22"/>
      <c r="AP35" s="22"/>
      <c r="AQ35" s="22"/>
      <c r="AR35" s="22"/>
    </row>
    <row r="36" spans="1:44" ht="16.5" thickBot="1" x14ac:dyDescent="0.3">
      <c r="A36" s="30" t="s">
        <v>69</v>
      </c>
      <c r="B36" s="31" t="s">
        <v>70</v>
      </c>
      <c r="C36" s="27">
        <v>6220995</v>
      </c>
      <c r="D36" s="18"/>
      <c r="E36" s="19">
        <f t="shared" si="0"/>
        <v>6220995</v>
      </c>
      <c r="F36" s="19">
        <f t="shared" si="1"/>
        <v>6055604.4700000007</v>
      </c>
      <c r="G36" s="19">
        <f t="shared" si="2"/>
        <v>165390.52999999933</v>
      </c>
      <c r="H36" s="23"/>
      <c r="I36" s="23"/>
      <c r="J36" s="23"/>
      <c r="K36" s="56"/>
      <c r="L36" s="56"/>
      <c r="M36" s="56"/>
      <c r="N36" s="56"/>
      <c r="O36" s="23"/>
      <c r="P36" s="23">
        <v>4639984.0999999996</v>
      </c>
      <c r="Q36" s="23">
        <v>409258.67</v>
      </c>
      <c r="R36" s="23">
        <v>249436.9</v>
      </c>
      <c r="S36" s="23"/>
      <c r="T36" s="23">
        <v>367574.71</v>
      </c>
      <c r="U36" s="23">
        <v>46974.48</v>
      </c>
      <c r="V36" s="23"/>
      <c r="W36" s="23">
        <f>90523+85708.61</f>
        <v>176231.61</v>
      </c>
      <c r="X36" s="23"/>
      <c r="Y36" s="23">
        <f>85590+80554</f>
        <v>166144</v>
      </c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2"/>
      <c r="AM36" s="22"/>
      <c r="AN36" s="22"/>
      <c r="AO36" s="22"/>
      <c r="AP36" s="22"/>
      <c r="AQ36" s="22"/>
      <c r="AR36" s="22"/>
    </row>
    <row r="37" spans="1:44" ht="16.5" thickBot="1" x14ac:dyDescent="0.3">
      <c r="A37" s="30" t="s">
        <v>71</v>
      </c>
      <c r="B37" s="31" t="s">
        <v>72</v>
      </c>
      <c r="C37" s="27">
        <v>496636</v>
      </c>
      <c r="D37" s="18"/>
      <c r="E37" s="19">
        <f t="shared" si="0"/>
        <v>496636</v>
      </c>
      <c r="F37" s="19">
        <f t="shared" si="1"/>
        <v>496635.99999999994</v>
      </c>
      <c r="G37" s="19">
        <f t="shared" si="2"/>
        <v>0</v>
      </c>
      <c r="H37" s="23"/>
      <c r="I37" s="23"/>
      <c r="J37" s="23"/>
      <c r="K37" s="56"/>
      <c r="L37" s="56"/>
      <c r="M37" s="56"/>
      <c r="N37" s="56"/>
      <c r="O37" s="23"/>
      <c r="P37" s="23"/>
      <c r="Q37" s="23"/>
      <c r="R37" s="23">
        <v>185153.15</v>
      </c>
      <c r="S37" s="23"/>
      <c r="T37" s="23"/>
      <c r="U37" s="23">
        <v>105620.22</v>
      </c>
      <c r="V37" s="23"/>
      <c r="W37" s="23">
        <v>156160.21</v>
      </c>
      <c r="X37" s="23">
        <v>49702.42</v>
      </c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2"/>
      <c r="AM37" s="22"/>
      <c r="AN37" s="22"/>
      <c r="AO37" s="22"/>
      <c r="AP37" s="22"/>
      <c r="AQ37" s="22"/>
      <c r="AR37" s="22"/>
    </row>
    <row r="38" spans="1:44" ht="16.5" thickBot="1" x14ac:dyDescent="0.3">
      <c r="A38" s="30" t="s">
        <v>73</v>
      </c>
      <c r="B38" s="31" t="s">
        <v>74</v>
      </c>
      <c r="C38" s="27">
        <v>527099</v>
      </c>
      <c r="D38" s="18"/>
      <c r="E38" s="19">
        <f t="shared" si="0"/>
        <v>527099</v>
      </c>
      <c r="F38" s="19">
        <f t="shared" si="1"/>
        <v>527099</v>
      </c>
      <c r="G38" s="19">
        <f t="shared" si="2"/>
        <v>0</v>
      </c>
      <c r="H38" s="23"/>
      <c r="I38" s="23"/>
      <c r="J38" s="23"/>
      <c r="K38" s="56"/>
      <c r="L38" s="56"/>
      <c r="M38" s="56"/>
      <c r="N38" s="56">
        <v>300017.90000000002</v>
      </c>
      <c r="O38" s="23"/>
      <c r="P38" s="23">
        <v>191686.77</v>
      </c>
      <c r="Q38" s="23"/>
      <c r="R38" s="23"/>
      <c r="S38" s="23"/>
      <c r="T38" s="23">
        <v>35394.33</v>
      </c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2"/>
      <c r="AM38" s="22"/>
      <c r="AN38" s="22"/>
      <c r="AO38" s="22"/>
      <c r="AP38" s="22"/>
      <c r="AQ38" s="22"/>
      <c r="AR38" s="22"/>
    </row>
    <row r="39" spans="1:44" ht="16.5" thickBot="1" x14ac:dyDescent="0.3">
      <c r="A39" s="30" t="s">
        <v>75</v>
      </c>
      <c r="B39" s="31" t="s">
        <v>76</v>
      </c>
      <c r="C39" s="27">
        <v>69347</v>
      </c>
      <c r="D39" s="18"/>
      <c r="E39" s="19">
        <f t="shared" si="0"/>
        <v>69347</v>
      </c>
      <c r="F39" s="19">
        <f t="shared" si="1"/>
        <v>69347</v>
      </c>
      <c r="G39" s="19">
        <f t="shared" si="2"/>
        <v>0</v>
      </c>
      <c r="H39" s="23"/>
      <c r="I39" s="23"/>
      <c r="J39" s="23"/>
      <c r="K39" s="56"/>
      <c r="L39" s="56"/>
      <c r="M39" s="56"/>
      <c r="N39" s="56">
        <v>52412.98</v>
      </c>
      <c r="O39" s="23"/>
      <c r="P39" s="23"/>
      <c r="Q39" s="23"/>
      <c r="R39" s="23"/>
      <c r="S39" s="23">
        <v>16934.02</v>
      </c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2"/>
      <c r="AM39" s="22"/>
      <c r="AN39" s="22"/>
      <c r="AO39" s="22"/>
      <c r="AP39" s="22"/>
      <c r="AQ39" s="22"/>
      <c r="AR39" s="22"/>
    </row>
    <row r="40" spans="1:44" ht="16.5" thickBot="1" x14ac:dyDescent="0.3">
      <c r="A40" s="30" t="s">
        <v>77</v>
      </c>
      <c r="B40" s="31" t="s">
        <v>78</v>
      </c>
      <c r="C40" s="27">
        <v>164990</v>
      </c>
      <c r="D40" s="18"/>
      <c r="E40" s="19">
        <f t="shared" si="0"/>
        <v>164990</v>
      </c>
      <c r="F40" s="19">
        <f t="shared" si="1"/>
        <v>164990</v>
      </c>
      <c r="G40" s="19">
        <f t="shared" si="2"/>
        <v>0</v>
      </c>
      <c r="H40" s="23"/>
      <c r="I40" s="23"/>
      <c r="J40" s="23"/>
      <c r="K40" s="56"/>
      <c r="L40" s="56"/>
      <c r="M40" s="56">
        <v>164990</v>
      </c>
      <c r="N40" s="56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2"/>
      <c r="AM40" s="22"/>
      <c r="AN40" s="22"/>
      <c r="AO40" s="22"/>
      <c r="AP40" s="22"/>
      <c r="AQ40" s="22"/>
      <c r="AR40" s="22"/>
    </row>
    <row r="41" spans="1:44" ht="16.5" thickBot="1" x14ac:dyDescent="0.3">
      <c r="A41" s="30" t="s">
        <v>79</v>
      </c>
      <c r="B41" s="31" t="s">
        <v>80</v>
      </c>
      <c r="C41" s="27">
        <v>317362</v>
      </c>
      <c r="D41" s="18"/>
      <c r="E41" s="19">
        <f t="shared" si="0"/>
        <v>317362</v>
      </c>
      <c r="F41" s="19">
        <f t="shared" si="1"/>
        <v>317362.00000000006</v>
      </c>
      <c r="G41" s="19">
        <f t="shared" si="2"/>
        <v>0</v>
      </c>
      <c r="H41" s="23"/>
      <c r="I41" s="23"/>
      <c r="J41" s="23"/>
      <c r="K41" s="56"/>
      <c r="L41" s="56"/>
      <c r="M41" s="56"/>
      <c r="N41" s="56"/>
      <c r="O41" s="23">
        <v>70585.899999999994</v>
      </c>
      <c r="P41" s="23">
        <v>157485.72</v>
      </c>
      <c r="Q41" s="23">
        <v>22306.65</v>
      </c>
      <c r="R41" s="23">
        <v>24120.73</v>
      </c>
      <c r="S41" s="23"/>
      <c r="T41" s="23">
        <v>4464.46</v>
      </c>
      <c r="U41" s="23"/>
      <c r="V41" s="23"/>
      <c r="W41" s="23"/>
      <c r="X41" s="23">
        <f>29728.73+2082.6</f>
        <v>31811.329999999998</v>
      </c>
      <c r="Y41" s="23">
        <v>6587.21</v>
      </c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2"/>
      <c r="AM41" s="22"/>
      <c r="AN41" s="22"/>
      <c r="AO41" s="22"/>
      <c r="AP41" s="22"/>
      <c r="AQ41" s="22"/>
      <c r="AR41" s="22"/>
    </row>
    <row r="42" spans="1:44" ht="16.5" thickBot="1" x14ac:dyDescent="0.3">
      <c r="A42" s="30" t="s">
        <v>81</v>
      </c>
      <c r="B42" s="31" t="s">
        <v>82</v>
      </c>
      <c r="C42" s="27">
        <v>979417</v>
      </c>
      <c r="D42" s="18"/>
      <c r="E42" s="19">
        <f t="shared" si="0"/>
        <v>979417</v>
      </c>
      <c r="F42" s="19">
        <f t="shared" si="1"/>
        <v>970667.54999999993</v>
      </c>
      <c r="G42" s="19">
        <f t="shared" si="2"/>
        <v>8749.4500000000698</v>
      </c>
      <c r="H42" s="23"/>
      <c r="I42" s="23"/>
      <c r="J42" s="23"/>
      <c r="K42" s="56"/>
      <c r="L42" s="56"/>
      <c r="M42" s="56"/>
      <c r="N42" s="56"/>
      <c r="O42" s="23"/>
      <c r="P42" s="23">
        <v>560170.63</v>
      </c>
      <c r="Q42" s="23">
        <v>115273.27</v>
      </c>
      <c r="R42" s="23"/>
      <c r="S42" s="23">
        <v>15434.58</v>
      </c>
      <c r="T42" s="23">
        <f>32656.42</f>
        <v>32656.42</v>
      </c>
      <c r="U42" s="23">
        <v>7893.97</v>
      </c>
      <c r="V42" s="23">
        <v>167496.48000000001</v>
      </c>
      <c r="W42" s="23">
        <v>7903.57</v>
      </c>
      <c r="X42" s="23">
        <v>18890.919999999998</v>
      </c>
      <c r="Y42" s="23">
        <v>21289.47</v>
      </c>
      <c r="Z42" s="23"/>
      <c r="AA42" s="23">
        <v>15776.11</v>
      </c>
      <c r="AB42" s="23">
        <v>7882.13</v>
      </c>
      <c r="AC42" s="23"/>
      <c r="AD42" s="23"/>
      <c r="AE42" s="23"/>
      <c r="AF42" s="23"/>
      <c r="AG42" s="23"/>
      <c r="AH42" s="23"/>
      <c r="AI42" s="23"/>
      <c r="AJ42" s="23"/>
      <c r="AK42" s="23"/>
      <c r="AL42" s="22"/>
      <c r="AM42" s="22"/>
      <c r="AN42" s="22"/>
      <c r="AO42" s="22"/>
      <c r="AP42" s="22"/>
      <c r="AQ42" s="22"/>
      <c r="AR42" s="22"/>
    </row>
    <row r="43" spans="1:44" ht="16.5" thickBot="1" x14ac:dyDescent="0.3">
      <c r="A43" s="30" t="s">
        <v>83</v>
      </c>
      <c r="B43" s="31" t="s">
        <v>84</v>
      </c>
      <c r="C43" s="27">
        <v>302207</v>
      </c>
      <c r="D43" s="18"/>
      <c r="E43" s="19">
        <f t="shared" si="0"/>
        <v>302207</v>
      </c>
      <c r="F43" s="19">
        <f t="shared" si="1"/>
        <v>249232.40000000002</v>
      </c>
      <c r="G43" s="19">
        <f t="shared" si="2"/>
        <v>52974.599999999977</v>
      </c>
      <c r="H43" s="23"/>
      <c r="I43" s="23"/>
      <c r="J43" s="23"/>
      <c r="K43" s="56"/>
      <c r="L43" s="56"/>
      <c r="M43" s="56"/>
      <c r="N43" s="56"/>
      <c r="O43" s="23"/>
      <c r="P43" s="23"/>
      <c r="Q43" s="23"/>
      <c r="R43" s="23">
        <v>4350.87</v>
      </c>
      <c r="S43" s="23"/>
      <c r="T43" s="23"/>
      <c r="U43" s="23">
        <f>98970+350</f>
        <v>99320</v>
      </c>
      <c r="V43" s="23">
        <v>67158.070000000007</v>
      </c>
      <c r="W43" s="23"/>
      <c r="X43" s="23"/>
      <c r="Y43" s="23">
        <v>78403.460000000006</v>
      </c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2"/>
      <c r="AM43" s="22"/>
      <c r="AN43" s="22"/>
      <c r="AO43" s="22"/>
      <c r="AP43" s="22"/>
      <c r="AQ43" s="22"/>
      <c r="AR43" s="22"/>
    </row>
    <row r="44" spans="1:44" ht="16.5" thickBot="1" x14ac:dyDescent="0.3">
      <c r="A44" s="30" t="s">
        <v>85</v>
      </c>
      <c r="B44" s="31" t="s">
        <v>86</v>
      </c>
      <c r="C44" s="27">
        <v>475714</v>
      </c>
      <c r="D44" s="18"/>
      <c r="E44" s="19">
        <f t="shared" si="0"/>
        <v>475714</v>
      </c>
      <c r="F44" s="19">
        <f t="shared" si="1"/>
        <v>434550.7</v>
      </c>
      <c r="G44" s="19">
        <f t="shared" si="2"/>
        <v>41163.299999999988</v>
      </c>
      <c r="H44" s="23"/>
      <c r="I44" s="23"/>
      <c r="J44" s="23"/>
      <c r="K44" s="56"/>
      <c r="L44" s="56"/>
      <c r="M44" s="56"/>
      <c r="N44" s="56"/>
      <c r="O44" s="23"/>
      <c r="P44" s="23"/>
      <c r="Q44" s="23">
        <v>32601.7</v>
      </c>
      <c r="R44" s="23">
        <v>12686.1</v>
      </c>
      <c r="S44" s="23"/>
      <c r="T44" s="23">
        <f>16695.97+10154.42</f>
        <v>26850.39</v>
      </c>
      <c r="U44" s="23">
        <f>43467.68</f>
        <v>43467.68</v>
      </c>
      <c r="V44" s="23">
        <v>21935.02</v>
      </c>
      <c r="W44" s="23">
        <v>141061.75</v>
      </c>
      <c r="X44" s="23">
        <v>20442.03</v>
      </c>
      <c r="Y44" s="23">
        <v>47043.34</v>
      </c>
      <c r="Z44" s="23">
        <v>54008.05</v>
      </c>
      <c r="AA44" s="23">
        <v>34454.639999999999</v>
      </c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2"/>
      <c r="AM44" s="22"/>
      <c r="AN44" s="22"/>
      <c r="AO44" s="22"/>
      <c r="AP44" s="22"/>
      <c r="AQ44" s="22"/>
      <c r="AR44" s="22"/>
    </row>
    <row r="45" spans="1:44" ht="16.5" thickBot="1" x14ac:dyDescent="0.3">
      <c r="A45" s="30" t="s">
        <v>87</v>
      </c>
      <c r="B45" s="31" t="s">
        <v>88</v>
      </c>
      <c r="C45" s="27">
        <v>521196</v>
      </c>
      <c r="D45" s="18"/>
      <c r="E45" s="19">
        <f t="shared" si="0"/>
        <v>521196</v>
      </c>
      <c r="F45" s="19">
        <f t="shared" si="1"/>
        <v>0</v>
      </c>
      <c r="G45" s="19">
        <f t="shared" si="2"/>
        <v>521196</v>
      </c>
      <c r="H45" s="23"/>
      <c r="I45" s="23"/>
      <c r="J45" s="23"/>
      <c r="K45" s="56"/>
      <c r="L45" s="56"/>
      <c r="M45" s="56"/>
      <c r="N45" s="56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2"/>
      <c r="AM45" s="22"/>
      <c r="AN45" s="22"/>
      <c r="AO45" s="22"/>
      <c r="AP45" s="22"/>
      <c r="AQ45" s="22"/>
      <c r="AR45" s="22"/>
    </row>
    <row r="46" spans="1:44" ht="16.5" thickBot="1" x14ac:dyDescent="0.3">
      <c r="A46" s="30" t="s">
        <v>89</v>
      </c>
      <c r="B46" s="31" t="s">
        <v>90</v>
      </c>
      <c r="C46" s="27">
        <v>549438</v>
      </c>
      <c r="D46" s="18"/>
      <c r="E46" s="19">
        <f t="shared" si="0"/>
        <v>549438</v>
      </c>
      <c r="F46" s="19">
        <f t="shared" si="1"/>
        <v>336249.82999999996</v>
      </c>
      <c r="G46" s="19">
        <f t="shared" si="2"/>
        <v>213188.17000000004</v>
      </c>
      <c r="H46" s="23"/>
      <c r="I46" s="23"/>
      <c r="J46" s="23"/>
      <c r="K46" s="56"/>
      <c r="L46" s="56"/>
      <c r="M46" s="56"/>
      <c r="N46" s="56"/>
      <c r="O46" s="23"/>
      <c r="P46" s="23"/>
      <c r="Q46" s="23"/>
      <c r="R46" s="23"/>
      <c r="S46" s="23"/>
      <c r="T46" s="23"/>
      <c r="U46" s="23"/>
      <c r="V46" s="23"/>
      <c r="W46" s="23"/>
      <c r="X46" s="23">
        <v>221022.49</v>
      </c>
      <c r="Y46" s="23">
        <v>115227.34</v>
      </c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2"/>
      <c r="AM46" s="22"/>
      <c r="AN46" s="22"/>
      <c r="AO46" s="22"/>
      <c r="AP46" s="22"/>
      <c r="AQ46" s="22"/>
      <c r="AR46" s="22"/>
    </row>
    <row r="47" spans="1:44" ht="16.5" thickBot="1" x14ac:dyDescent="0.3">
      <c r="A47" s="30" t="s">
        <v>91</v>
      </c>
      <c r="B47" s="31" t="s">
        <v>92</v>
      </c>
      <c r="C47" s="27">
        <v>750452</v>
      </c>
      <c r="D47" s="18"/>
      <c r="E47" s="19">
        <f t="shared" si="0"/>
        <v>750452</v>
      </c>
      <c r="F47" s="19">
        <f t="shared" si="1"/>
        <v>0</v>
      </c>
      <c r="G47" s="19">
        <f t="shared" si="2"/>
        <v>750452</v>
      </c>
      <c r="H47" s="23"/>
      <c r="I47" s="23"/>
      <c r="J47" s="23"/>
      <c r="K47" s="56"/>
      <c r="L47" s="56"/>
      <c r="M47" s="56"/>
      <c r="N47" s="56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2"/>
      <c r="AM47" s="22"/>
      <c r="AN47" s="22"/>
      <c r="AO47" s="22"/>
      <c r="AP47" s="22"/>
      <c r="AQ47" s="22"/>
      <c r="AR47" s="22"/>
    </row>
    <row r="48" spans="1:44" ht="16.5" thickBot="1" x14ac:dyDescent="0.3">
      <c r="A48" s="30" t="s">
        <v>93</v>
      </c>
      <c r="B48" s="31" t="s">
        <v>94</v>
      </c>
      <c r="C48" s="27">
        <v>482945</v>
      </c>
      <c r="D48" s="18"/>
      <c r="E48" s="19">
        <f t="shared" si="0"/>
        <v>482945</v>
      </c>
      <c r="F48" s="19">
        <f t="shared" si="1"/>
        <v>411934.20999999996</v>
      </c>
      <c r="G48" s="19">
        <f t="shared" si="2"/>
        <v>71010.790000000037</v>
      </c>
      <c r="H48" s="23"/>
      <c r="I48" s="23"/>
      <c r="J48" s="23"/>
      <c r="K48" s="56"/>
      <c r="L48" s="56"/>
      <c r="M48" s="56"/>
      <c r="N48" s="56"/>
      <c r="O48" s="23"/>
      <c r="P48" s="23"/>
      <c r="Q48" s="23">
        <v>101328.97</v>
      </c>
      <c r="R48" s="23"/>
      <c r="S48" s="23"/>
      <c r="T48" s="23"/>
      <c r="U48" s="23"/>
      <c r="V48" s="23">
        <v>136112.32999999999</v>
      </c>
      <c r="W48" s="23"/>
      <c r="X48" s="23"/>
      <c r="Y48" s="23"/>
      <c r="Z48" s="23"/>
      <c r="AA48" s="23"/>
      <c r="AB48" s="23">
        <v>174492.91</v>
      </c>
      <c r="AC48" s="23"/>
      <c r="AD48" s="23"/>
      <c r="AE48" s="23"/>
      <c r="AF48" s="23"/>
      <c r="AG48" s="23"/>
      <c r="AH48" s="23"/>
      <c r="AI48" s="23"/>
      <c r="AJ48" s="23"/>
      <c r="AK48" s="23"/>
      <c r="AL48" s="22"/>
      <c r="AM48" s="22"/>
      <c r="AN48" s="22"/>
      <c r="AO48" s="22"/>
      <c r="AP48" s="22"/>
      <c r="AQ48" s="22"/>
      <c r="AR48" s="22"/>
    </row>
    <row r="49" spans="1:44" ht="16.5" thickBot="1" x14ac:dyDescent="0.3">
      <c r="A49" s="30" t="s">
        <v>95</v>
      </c>
      <c r="B49" s="31" t="s">
        <v>96</v>
      </c>
      <c r="C49" s="27">
        <v>3705358</v>
      </c>
      <c r="D49" s="18"/>
      <c r="E49" s="19">
        <f t="shared" si="0"/>
        <v>3705358</v>
      </c>
      <c r="F49" s="19">
        <f t="shared" si="1"/>
        <v>2546517.2200000002</v>
      </c>
      <c r="G49" s="19">
        <f t="shared" si="2"/>
        <v>1158840.7799999998</v>
      </c>
      <c r="H49" s="23"/>
      <c r="I49" s="23"/>
      <c r="J49" s="23"/>
      <c r="K49" s="56"/>
      <c r="L49" s="56"/>
      <c r="M49" s="56"/>
      <c r="N49" s="56"/>
      <c r="O49" s="23"/>
      <c r="P49" s="23">
        <f>1289.56+72048.26</f>
        <v>73337.819999999992</v>
      </c>
      <c r="Q49" s="23"/>
      <c r="R49" s="23"/>
      <c r="S49" s="23"/>
      <c r="T49" s="23">
        <v>330644.59999999998</v>
      </c>
      <c r="U49" s="23">
        <v>80500.679999999993</v>
      </c>
      <c r="V49" s="23">
        <v>86179.32</v>
      </c>
      <c r="W49" s="23">
        <v>100340.53</v>
      </c>
      <c r="X49" s="23">
        <v>269495.23</v>
      </c>
      <c r="Y49" s="23">
        <v>693527.86</v>
      </c>
      <c r="Z49" s="23"/>
      <c r="AA49" s="23"/>
      <c r="AB49" s="23">
        <v>912491.18</v>
      </c>
      <c r="AC49" s="23"/>
      <c r="AD49" s="23"/>
      <c r="AE49" s="23"/>
      <c r="AF49" s="23"/>
      <c r="AG49" s="23"/>
      <c r="AH49" s="23"/>
      <c r="AI49" s="23"/>
      <c r="AJ49" s="23"/>
      <c r="AK49" s="23"/>
      <c r="AL49" s="22"/>
      <c r="AM49" s="22"/>
      <c r="AN49" s="22"/>
      <c r="AO49" s="22"/>
      <c r="AP49" s="22"/>
      <c r="AQ49" s="22"/>
      <c r="AR49" s="22"/>
    </row>
    <row r="50" spans="1:44" ht="16.5" thickBot="1" x14ac:dyDescent="0.3">
      <c r="A50" s="30" t="s">
        <v>97</v>
      </c>
      <c r="B50" s="31" t="s">
        <v>98</v>
      </c>
      <c r="C50" s="27">
        <v>93294414</v>
      </c>
      <c r="D50" s="18"/>
      <c r="E50" s="19">
        <f t="shared" si="0"/>
        <v>93294414</v>
      </c>
      <c r="F50" s="19">
        <f t="shared" si="1"/>
        <v>61128381.160000004</v>
      </c>
      <c r="G50" s="19">
        <f t="shared" si="2"/>
        <v>32166032.839999996</v>
      </c>
      <c r="H50" s="23"/>
      <c r="I50" s="23"/>
      <c r="J50" s="23"/>
      <c r="K50" s="56"/>
      <c r="L50" s="56"/>
      <c r="M50" s="56"/>
      <c r="N50" s="56"/>
      <c r="O50" s="23"/>
      <c r="P50" s="23"/>
      <c r="Q50" s="23"/>
      <c r="R50" s="23"/>
      <c r="S50" s="23">
        <f>118620.64+9207859.06</f>
        <v>9326479.7000000011</v>
      </c>
      <c r="T50" s="23">
        <f>687973.71+1036195.17</f>
        <v>1724168.88</v>
      </c>
      <c r="U50" s="23"/>
      <c r="V50" s="23">
        <v>5954796.9299999997</v>
      </c>
      <c r="W50" s="23">
        <f>8411068.72+2392579</f>
        <v>10803647.720000001</v>
      </c>
      <c r="X50" s="23"/>
      <c r="Y50" s="23">
        <f>2646856.48+4074427.16+10308416.43</f>
        <v>17029700.07</v>
      </c>
      <c r="Z50" s="23"/>
      <c r="AA50" s="23"/>
      <c r="AB50" s="23">
        <v>16289587.859999999</v>
      </c>
      <c r="AC50" s="23"/>
      <c r="AD50" s="23"/>
      <c r="AE50" s="23"/>
      <c r="AF50" s="23"/>
      <c r="AG50" s="23"/>
      <c r="AH50" s="23"/>
      <c r="AI50" s="23"/>
      <c r="AJ50" s="23"/>
      <c r="AK50" s="23"/>
      <c r="AL50" s="22"/>
      <c r="AM50" s="22"/>
      <c r="AN50" s="22"/>
      <c r="AO50" s="22"/>
      <c r="AP50" s="22"/>
      <c r="AQ50" s="22"/>
      <c r="AR50" s="22"/>
    </row>
    <row r="51" spans="1:44" ht="16.5" thickBot="1" x14ac:dyDescent="0.3">
      <c r="A51" s="30" t="s">
        <v>99</v>
      </c>
      <c r="B51" s="31" t="s">
        <v>100</v>
      </c>
      <c r="C51" s="27">
        <v>164111</v>
      </c>
      <c r="D51" s="18"/>
      <c r="E51" s="19">
        <f t="shared" si="0"/>
        <v>164111</v>
      </c>
      <c r="F51" s="19">
        <f t="shared" si="1"/>
        <v>164111</v>
      </c>
      <c r="G51" s="19">
        <f t="shared" si="2"/>
        <v>0</v>
      </c>
      <c r="H51" s="23"/>
      <c r="I51" s="23"/>
      <c r="J51" s="23"/>
      <c r="K51" s="56"/>
      <c r="L51" s="56"/>
      <c r="M51" s="56"/>
      <c r="N51" s="56">
        <v>21310</v>
      </c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>
        <v>142801</v>
      </c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2"/>
      <c r="AM51" s="22"/>
      <c r="AN51" s="22"/>
      <c r="AO51" s="22"/>
      <c r="AP51" s="22"/>
      <c r="AQ51" s="22"/>
      <c r="AR51" s="22"/>
    </row>
    <row r="52" spans="1:44" ht="16.5" thickBot="1" x14ac:dyDescent="0.3">
      <c r="A52" s="30" t="s">
        <v>101</v>
      </c>
      <c r="B52" s="31" t="s">
        <v>102</v>
      </c>
      <c r="C52" s="27">
        <v>5212396</v>
      </c>
      <c r="D52" s="18"/>
      <c r="E52" s="19">
        <f t="shared" si="0"/>
        <v>5212396</v>
      </c>
      <c r="F52" s="19">
        <f t="shared" si="1"/>
        <v>4976216.91</v>
      </c>
      <c r="G52" s="19">
        <f t="shared" si="2"/>
        <v>236179.08999999985</v>
      </c>
      <c r="H52" s="23"/>
      <c r="I52" s="23"/>
      <c r="J52" s="23"/>
      <c r="K52" s="56"/>
      <c r="L52" s="56"/>
      <c r="M52" s="56"/>
      <c r="N52" s="56">
        <v>591343.72</v>
      </c>
      <c r="O52" s="23"/>
      <c r="P52" s="23">
        <v>178231.31</v>
      </c>
      <c r="Q52" s="23"/>
      <c r="R52" s="23"/>
      <c r="S52" s="23"/>
      <c r="T52" s="23">
        <v>1130396.3600000001</v>
      </c>
      <c r="U52" s="23">
        <v>1137140.29</v>
      </c>
      <c r="V52" s="23">
        <v>1170909.02</v>
      </c>
      <c r="W52" s="23"/>
      <c r="X52" s="23"/>
      <c r="Y52" s="23">
        <v>221304.66</v>
      </c>
      <c r="Z52" s="23">
        <v>289574</v>
      </c>
      <c r="AA52" s="23"/>
      <c r="AB52" s="23">
        <v>257317.55</v>
      </c>
      <c r="AC52" s="23"/>
      <c r="AD52" s="23"/>
      <c r="AE52" s="23"/>
      <c r="AF52" s="23"/>
      <c r="AG52" s="23"/>
      <c r="AH52" s="23"/>
      <c r="AI52" s="23"/>
      <c r="AJ52" s="23"/>
      <c r="AK52" s="23"/>
      <c r="AL52" s="22"/>
      <c r="AM52" s="22"/>
      <c r="AN52" s="22"/>
      <c r="AO52" s="22"/>
      <c r="AP52" s="22"/>
      <c r="AQ52" s="22"/>
      <c r="AR52" s="22"/>
    </row>
    <row r="53" spans="1:44" ht="16.5" thickBot="1" x14ac:dyDescent="0.3">
      <c r="A53" s="30" t="s">
        <v>103</v>
      </c>
      <c r="B53" s="31" t="s">
        <v>104</v>
      </c>
      <c r="C53" s="27">
        <v>1713773</v>
      </c>
      <c r="D53" s="18"/>
      <c r="E53" s="19">
        <f t="shared" si="0"/>
        <v>1713773</v>
      </c>
      <c r="F53" s="19">
        <f t="shared" si="1"/>
        <v>1314030.2699999998</v>
      </c>
      <c r="G53" s="19">
        <f t="shared" si="2"/>
        <v>399742.73000000021</v>
      </c>
      <c r="H53" s="23"/>
      <c r="I53" s="23"/>
      <c r="J53" s="23"/>
      <c r="K53" s="56"/>
      <c r="L53" s="56"/>
      <c r="M53" s="56"/>
      <c r="N53" s="56"/>
      <c r="O53" s="23"/>
      <c r="P53" s="23"/>
      <c r="Q53" s="23"/>
      <c r="R53" s="23"/>
      <c r="S53" s="23">
        <f>179005.49+625175.98</f>
        <v>804181.47</v>
      </c>
      <c r="T53" s="23"/>
      <c r="U53" s="23">
        <v>162508.19</v>
      </c>
      <c r="V53" s="23">
        <v>85908.51</v>
      </c>
      <c r="W53" s="23">
        <v>45342.95</v>
      </c>
      <c r="X53" s="23"/>
      <c r="Y53" s="23">
        <v>88349.43</v>
      </c>
      <c r="Z53" s="23">
        <v>127739.72</v>
      </c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2"/>
      <c r="AM53" s="22"/>
      <c r="AN53" s="22"/>
      <c r="AO53" s="22"/>
      <c r="AP53" s="22"/>
      <c r="AQ53" s="22"/>
      <c r="AR53" s="22"/>
    </row>
    <row r="54" spans="1:44" ht="16.5" thickBot="1" x14ac:dyDescent="0.3">
      <c r="A54" s="30" t="s">
        <v>105</v>
      </c>
      <c r="B54" s="31" t="s">
        <v>106</v>
      </c>
      <c r="C54" s="27">
        <v>486879</v>
      </c>
      <c r="D54" s="18"/>
      <c r="E54" s="19">
        <f t="shared" si="0"/>
        <v>486879</v>
      </c>
      <c r="F54" s="19">
        <f t="shared" si="1"/>
        <v>486879</v>
      </c>
      <c r="G54" s="19">
        <f t="shared" si="2"/>
        <v>0</v>
      </c>
      <c r="H54" s="23"/>
      <c r="I54" s="23"/>
      <c r="J54" s="23"/>
      <c r="K54" s="56"/>
      <c r="L54" s="56"/>
      <c r="M54" s="56"/>
      <c r="N54" s="56"/>
      <c r="O54" s="23"/>
      <c r="P54" s="23">
        <v>260421.45</v>
      </c>
      <c r="Q54" s="23"/>
      <c r="R54" s="23"/>
      <c r="S54" s="23"/>
      <c r="T54" s="23"/>
      <c r="U54" s="23"/>
      <c r="V54" s="23">
        <f>74696.05+150244.19</f>
        <v>224940.24</v>
      </c>
      <c r="W54" s="23"/>
      <c r="X54" s="23"/>
      <c r="Y54" s="23">
        <v>1517.31</v>
      </c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2"/>
      <c r="AM54" s="22"/>
      <c r="AN54" s="22"/>
      <c r="AO54" s="22"/>
      <c r="AP54" s="22"/>
      <c r="AQ54" s="22"/>
      <c r="AR54" s="22"/>
    </row>
    <row r="55" spans="1:44" ht="16.5" thickBot="1" x14ac:dyDescent="0.3">
      <c r="A55" s="30" t="s">
        <v>107</v>
      </c>
      <c r="B55" s="31" t="s">
        <v>108</v>
      </c>
      <c r="C55" s="27">
        <v>93782</v>
      </c>
      <c r="D55" s="18"/>
      <c r="E55" s="19">
        <f t="shared" si="0"/>
        <v>93782</v>
      </c>
      <c r="F55" s="19">
        <f t="shared" si="1"/>
        <v>72140.3</v>
      </c>
      <c r="G55" s="19">
        <f t="shared" si="2"/>
        <v>21641.699999999997</v>
      </c>
      <c r="H55" s="23"/>
      <c r="I55" s="23"/>
      <c r="J55" s="23"/>
      <c r="K55" s="56"/>
      <c r="L55" s="56"/>
      <c r="M55" s="56"/>
      <c r="N55" s="56"/>
      <c r="O55" s="23"/>
      <c r="P55" s="23"/>
      <c r="Q55" s="23">
        <v>14238.92</v>
      </c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>
        <v>57901.38</v>
      </c>
      <c r="AC55" s="23"/>
      <c r="AD55" s="23"/>
      <c r="AE55" s="23"/>
      <c r="AF55" s="23"/>
      <c r="AG55" s="23"/>
      <c r="AH55" s="23"/>
      <c r="AI55" s="23"/>
      <c r="AJ55" s="23"/>
      <c r="AK55" s="23"/>
      <c r="AL55" s="22"/>
      <c r="AM55" s="22"/>
      <c r="AN55" s="22"/>
      <c r="AO55" s="22"/>
      <c r="AP55" s="22"/>
      <c r="AQ55" s="22"/>
      <c r="AR55" s="22"/>
    </row>
    <row r="56" spans="1:44" ht="16.5" thickBot="1" x14ac:dyDescent="0.3">
      <c r="A56" s="30" t="s">
        <v>109</v>
      </c>
      <c r="B56" s="31" t="s">
        <v>110</v>
      </c>
      <c r="C56" s="27">
        <v>127133</v>
      </c>
      <c r="D56" s="18"/>
      <c r="E56" s="19">
        <f t="shared" si="0"/>
        <v>127133</v>
      </c>
      <c r="F56" s="19">
        <f t="shared" si="1"/>
        <v>127133</v>
      </c>
      <c r="G56" s="19">
        <f t="shared" si="2"/>
        <v>0</v>
      </c>
      <c r="H56" s="23"/>
      <c r="I56" s="23"/>
      <c r="J56" s="23"/>
      <c r="K56" s="56"/>
      <c r="L56" s="56"/>
      <c r="M56" s="56"/>
      <c r="N56" s="56"/>
      <c r="O56" s="23">
        <v>127133</v>
      </c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2"/>
      <c r="AM56" s="22"/>
      <c r="AN56" s="22"/>
      <c r="AO56" s="22"/>
      <c r="AP56" s="22"/>
      <c r="AQ56" s="22"/>
      <c r="AR56" s="22"/>
    </row>
    <row r="57" spans="1:44" ht="16.5" thickBot="1" x14ac:dyDescent="0.3">
      <c r="A57" s="30" t="s">
        <v>111</v>
      </c>
      <c r="B57" s="31" t="s">
        <v>112</v>
      </c>
      <c r="C57" s="27">
        <v>83174</v>
      </c>
      <c r="D57" s="18"/>
      <c r="E57" s="19">
        <f t="shared" si="0"/>
        <v>83174</v>
      </c>
      <c r="F57" s="19">
        <f t="shared" si="1"/>
        <v>83174</v>
      </c>
      <c r="G57" s="19">
        <f t="shared" si="2"/>
        <v>0</v>
      </c>
      <c r="H57" s="23"/>
      <c r="I57" s="23"/>
      <c r="J57" s="23"/>
      <c r="K57" s="56"/>
      <c r="L57" s="56"/>
      <c r="M57" s="56"/>
      <c r="N57" s="56"/>
      <c r="O57" s="23"/>
      <c r="P57" s="23"/>
      <c r="Q57" s="23"/>
      <c r="R57" s="23"/>
      <c r="S57" s="23"/>
      <c r="T57" s="23"/>
      <c r="U57" s="23"/>
      <c r="V57" s="23"/>
      <c r="W57" s="23">
        <f>7037+76137</f>
        <v>83174</v>
      </c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2"/>
      <c r="AM57" s="22"/>
      <c r="AN57" s="22"/>
      <c r="AO57" s="22"/>
      <c r="AP57" s="22"/>
      <c r="AQ57" s="22"/>
      <c r="AR57" s="22"/>
    </row>
    <row r="58" spans="1:44" ht="16.5" thickBot="1" x14ac:dyDescent="0.3">
      <c r="A58" s="30" t="s">
        <v>113</v>
      </c>
      <c r="B58" s="31" t="s">
        <v>114</v>
      </c>
      <c r="C58" s="27">
        <v>44349</v>
      </c>
      <c r="D58" s="18"/>
      <c r="E58" s="19">
        <f t="shared" si="0"/>
        <v>44349</v>
      </c>
      <c r="F58" s="19">
        <f t="shared" si="1"/>
        <v>44329</v>
      </c>
      <c r="G58" s="19">
        <f t="shared" si="2"/>
        <v>20</v>
      </c>
      <c r="H58" s="23"/>
      <c r="I58" s="23"/>
      <c r="J58" s="23"/>
      <c r="K58" s="56"/>
      <c r="L58" s="56"/>
      <c r="M58" s="56"/>
      <c r="N58" s="56"/>
      <c r="O58" s="23">
        <v>16057.78</v>
      </c>
      <c r="P58" s="23">
        <v>28271.22</v>
      </c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2"/>
      <c r="AM58" s="22"/>
      <c r="AN58" s="22"/>
      <c r="AO58" s="22"/>
      <c r="AP58" s="22"/>
      <c r="AQ58" s="22"/>
      <c r="AR58" s="22"/>
    </row>
    <row r="59" spans="1:44" ht="16.5" thickBot="1" x14ac:dyDescent="0.3">
      <c r="A59" s="30" t="s">
        <v>115</v>
      </c>
      <c r="B59" s="31" t="s">
        <v>116</v>
      </c>
      <c r="C59" s="27">
        <v>281834</v>
      </c>
      <c r="D59" s="18"/>
      <c r="E59" s="19">
        <f t="shared" si="0"/>
        <v>281834</v>
      </c>
      <c r="F59" s="19">
        <f t="shared" si="1"/>
        <v>270789.64</v>
      </c>
      <c r="G59" s="19">
        <f t="shared" si="2"/>
        <v>11044.359999999986</v>
      </c>
      <c r="H59" s="23"/>
      <c r="I59" s="23"/>
      <c r="J59" s="23"/>
      <c r="K59" s="56"/>
      <c r="L59" s="56"/>
      <c r="M59" s="56"/>
      <c r="N59" s="56"/>
      <c r="O59" s="23"/>
      <c r="P59" s="23"/>
      <c r="Q59" s="23"/>
      <c r="R59" s="23"/>
      <c r="S59" s="23">
        <v>122050.79</v>
      </c>
      <c r="T59" s="23"/>
      <c r="U59" s="23"/>
      <c r="V59" s="23"/>
      <c r="W59" s="23"/>
      <c r="X59" s="23"/>
      <c r="Y59" s="23">
        <v>148738.85</v>
      </c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2"/>
      <c r="AM59" s="22"/>
      <c r="AN59" s="22"/>
      <c r="AO59" s="22"/>
      <c r="AP59" s="22"/>
      <c r="AQ59" s="22"/>
      <c r="AR59" s="22"/>
    </row>
    <row r="60" spans="1:44" ht="16.5" thickBot="1" x14ac:dyDescent="0.3">
      <c r="A60" s="30" t="s">
        <v>117</v>
      </c>
      <c r="B60" s="31" t="s">
        <v>118</v>
      </c>
      <c r="C60" s="27">
        <v>14246806</v>
      </c>
      <c r="D60" s="18"/>
      <c r="E60" s="19">
        <f t="shared" si="0"/>
        <v>14246806</v>
      </c>
      <c r="F60" s="19">
        <f t="shared" si="1"/>
        <v>6033876.6999999993</v>
      </c>
      <c r="G60" s="19">
        <f t="shared" si="2"/>
        <v>8212929.3000000007</v>
      </c>
      <c r="H60" s="23"/>
      <c r="I60" s="23"/>
      <c r="J60" s="23"/>
      <c r="K60" s="56"/>
      <c r="L60" s="56"/>
      <c r="M60" s="56"/>
      <c r="N60" s="56"/>
      <c r="O60" s="23"/>
      <c r="P60" s="23"/>
      <c r="Q60" s="23"/>
      <c r="R60" s="23"/>
      <c r="S60" s="23"/>
      <c r="T60" s="23"/>
      <c r="U60" s="23"/>
      <c r="V60" s="23"/>
      <c r="W60" s="23">
        <f>1130104.13+4072530.64</f>
        <v>5202634.7699999996</v>
      </c>
      <c r="X60" s="23"/>
      <c r="Y60" s="23">
        <v>831241.93</v>
      </c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2"/>
      <c r="AM60" s="22"/>
      <c r="AN60" s="22"/>
      <c r="AO60" s="22"/>
      <c r="AP60" s="22"/>
      <c r="AQ60" s="22"/>
      <c r="AR60" s="22"/>
    </row>
    <row r="61" spans="1:44" ht="16.5" thickBot="1" x14ac:dyDescent="0.3">
      <c r="A61" s="30" t="s">
        <v>119</v>
      </c>
      <c r="B61" s="31" t="s">
        <v>120</v>
      </c>
      <c r="C61" s="27">
        <v>4974062</v>
      </c>
      <c r="D61" s="18"/>
      <c r="E61" s="19">
        <f t="shared" si="0"/>
        <v>4974062</v>
      </c>
      <c r="F61" s="19">
        <f t="shared" si="1"/>
        <v>1823154.6300000001</v>
      </c>
      <c r="G61" s="19">
        <f t="shared" si="2"/>
        <v>3150907.37</v>
      </c>
      <c r="H61" s="23"/>
      <c r="I61" s="23"/>
      <c r="J61" s="23"/>
      <c r="K61" s="56"/>
      <c r="L61" s="56"/>
      <c r="M61" s="56"/>
      <c r="N61" s="56"/>
      <c r="O61" s="23"/>
      <c r="P61" s="23"/>
      <c r="Q61" s="23"/>
      <c r="R61" s="23"/>
      <c r="S61" s="23">
        <f>207273.66+655290.74</f>
        <v>862564.4</v>
      </c>
      <c r="T61" s="23"/>
      <c r="U61" s="23"/>
      <c r="V61" s="23"/>
      <c r="W61" s="23">
        <v>408486.46</v>
      </c>
      <c r="X61" s="23"/>
      <c r="Y61" s="23">
        <v>313884.57</v>
      </c>
      <c r="Z61" s="23"/>
      <c r="AA61" s="23">
        <v>238219.2</v>
      </c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2"/>
      <c r="AM61" s="22"/>
      <c r="AN61" s="22"/>
      <c r="AO61" s="22"/>
      <c r="AP61" s="22"/>
      <c r="AQ61" s="22"/>
      <c r="AR61" s="22"/>
    </row>
    <row r="62" spans="1:44" ht="16.5" thickBot="1" x14ac:dyDescent="0.3">
      <c r="A62" s="30" t="s">
        <v>121</v>
      </c>
      <c r="B62" s="31" t="s">
        <v>122</v>
      </c>
      <c r="C62" s="27">
        <v>4404815</v>
      </c>
      <c r="D62" s="18"/>
      <c r="E62" s="19">
        <f t="shared" si="0"/>
        <v>4404815</v>
      </c>
      <c r="F62" s="19">
        <f t="shared" si="1"/>
        <v>4404815</v>
      </c>
      <c r="G62" s="19">
        <f t="shared" si="2"/>
        <v>0</v>
      </c>
      <c r="H62" s="23"/>
      <c r="I62" s="23"/>
      <c r="J62" s="23"/>
      <c r="K62" s="56"/>
      <c r="L62" s="56"/>
      <c r="M62" s="56"/>
      <c r="N62" s="56"/>
      <c r="O62" s="23">
        <f>1405728+620000</f>
        <v>2025728</v>
      </c>
      <c r="P62" s="23"/>
      <c r="Q62" s="23">
        <v>132373</v>
      </c>
      <c r="R62" s="23">
        <f>228600+80036</f>
        <v>308636</v>
      </c>
      <c r="S62" s="23">
        <v>224695</v>
      </c>
      <c r="T62" s="23">
        <v>232450</v>
      </c>
      <c r="U62" s="23">
        <v>226053</v>
      </c>
      <c r="V62" s="23">
        <v>225828</v>
      </c>
      <c r="W62" s="23">
        <v>226807</v>
      </c>
      <c r="X62" s="23">
        <v>249361</v>
      </c>
      <c r="Y62" s="23">
        <v>248856</v>
      </c>
      <c r="Z62" s="23">
        <v>258619</v>
      </c>
      <c r="AA62" s="23">
        <v>45409</v>
      </c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2"/>
      <c r="AM62" s="22"/>
      <c r="AN62" s="22"/>
      <c r="AO62" s="22"/>
      <c r="AP62" s="22"/>
      <c r="AQ62" s="22"/>
      <c r="AR62" s="22"/>
    </row>
    <row r="63" spans="1:44" ht="16.5" thickBot="1" x14ac:dyDescent="0.3">
      <c r="A63" s="30" t="s">
        <v>123</v>
      </c>
      <c r="B63" s="31" t="s">
        <v>124</v>
      </c>
      <c r="C63" s="27">
        <v>26643537</v>
      </c>
      <c r="D63" s="18"/>
      <c r="E63" s="19">
        <f t="shared" si="0"/>
        <v>26643537</v>
      </c>
      <c r="F63" s="19">
        <f t="shared" si="1"/>
        <v>16676263.030000001</v>
      </c>
      <c r="G63" s="19">
        <f t="shared" si="2"/>
        <v>9967273.9699999988</v>
      </c>
      <c r="H63" s="23"/>
      <c r="I63" s="23"/>
      <c r="J63" s="23"/>
      <c r="K63" s="56"/>
      <c r="L63" s="56"/>
      <c r="M63" s="56"/>
      <c r="N63" s="56"/>
      <c r="O63" s="23"/>
      <c r="P63" s="23"/>
      <c r="Q63" s="23"/>
      <c r="R63" s="23"/>
      <c r="S63" s="23">
        <f>3078266.08+1994259.66</f>
        <v>5072525.74</v>
      </c>
      <c r="T63" s="23"/>
      <c r="U63" s="23">
        <f>952165.43+595270.19</f>
        <v>1547435.62</v>
      </c>
      <c r="V63" s="23">
        <v>442975.84</v>
      </c>
      <c r="W63" s="23">
        <v>440199.74</v>
      </c>
      <c r="X63" s="23">
        <v>134433.82999999999</v>
      </c>
      <c r="Y63" s="23">
        <v>950584.18</v>
      </c>
      <c r="Z63" s="23"/>
      <c r="AA63" s="23"/>
      <c r="AB63" s="23">
        <v>8088108.0800000001</v>
      </c>
      <c r="AC63" s="23"/>
      <c r="AD63" s="23"/>
      <c r="AE63" s="23"/>
      <c r="AF63" s="23"/>
      <c r="AG63" s="23"/>
      <c r="AH63" s="23"/>
      <c r="AI63" s="23"/>
      <c r="AJ63" s="23"/>
      <c r="AK63" s="23"/>
      <c r="AL63" s="22"/>
      <c r="AM63" s="22"/>
      <c r="AN63" s="22"/>
      <c r="AO63" s="22"/>
      <c r="AP63" s="22"/>
      <c r="AQ63" s="22"/>
      <c r="AR63" s="22"/>
    </row>
    <row r="64" spans="1:44" ht="16.5" thickBot="1" x14ac:dyDescent="0.3">
      <c r="A64" s="30" t="s">
        <v>125</v>
      </c>
      <c r="B64" s="31" t="s">
        <v>126</v>
      </c>
      <c r="C64" s="27">
        <v>869906</v>
      </c>
      <c r="D64" s="18"/>
      <c r="E64" s="19">
        <f t="shared" si="0"/>
        <v>869906</v>
      </c>
      <c r="F64" s="19">
        <f t="shared" si="1"/>
        <v>869906</v>
      </c>
      <c r="G64" s="19">
        <f t="shared" si="2"/>
        <v>0</v>
      </c>
      <c r="H64" s="23"/>
      <c r="I64" s="23"/>
      <c r="J64" s="23"/>
      <c r="K64" s="56"/>
      <c r="L64" s="56"/>
      <c r="M64" s="56"/>
      <c r="N64" s="56"/>
      <c r="O64" s="23"/>
      <c r="P64" s="23"/>
      <c r="Q64" s="23">
        <v>23473.8</v>
      </c>
      <c r="R64" s="23"/>
      <c r="S64" s="23"/>
      <c r="T64" s="23"/>
      <c r="U64" s="23"/>
      <c r="V64" s="23"/>
      <c r="W64" s="23"/>
      <c r="X64" s="23"/>
      <c r="Y64" s="23">
        <v>737455</v>
      </c>
      <c r="Z64" s="23"/>
      <c r="AA64" s="23"/>
      <c r="AB64" s="23">
        <v>108977.2</v>
      </c>
      <c r="AC64" s="23"/>
      <c r="AD64" s="23"/>
      <c r="AE64" s="23"/>
      <c r="AF64" s="23"/>
      <c r="AG64" s="23"/>
      <c r="AH64" s="23"/>
      <c r="AI64" s="23"/>
      <c r="AJ64" s="23"/>
      <c r="AK64" s="23"/>
      <c r="AL64" s="22"/>
      <c r="AM64" s="22"/>
      <c r="AN64" s="22"/>
      <c r="AO64" s="22"/>
      <c r="AP64" s="22"/>
      <c r="AQ64" s="22"/>
      <c r="AR64" s="22"/>
    </row>
    <row r="65" spans="1:44" ht="16.5" thickBot="1" x14ac:dyDescent="0.3">
      <c r="A65" s="30" t="s">
        <v>127</v>
      </c>
      <c r="B65" s="31" t="s">
        <v>128</v>
      </c>
      <c r="C65" s="27">
        <v>434872</v>
      </c>
      <c r="D65" s="18"/>
      <c r="E65" s="19">
        <f t="shared" si="0"/>
        <v>434872</v>
      </c>
      <c r="F65" s="19">
        <f t="shared" si="1"/>
        <v>434872</v>
      </c>
      <c r="G65" s="19">
        <f t="shared" si="2"/>
        <v>0</v>
      </c>
      <c r="H65" s="23"/>
      <c r="I65" s="23"/>
      <c r="J65" s="23"/>
      <c r="K65" s="56"/>
      <c r="L65" s="56"/>
      <c r="M65" s="56"/>
      <c r="N65" s="56"/>
      <c r="O65" s="23"/>
      <c r="P65" s="23"/>
      <c r="Q65" s="23"/>
      <c r="R65" s="23"/>
      <c r="S65" s="23">
        <v>316373.65000000002</v>
      </c>
      <c r="T65" s="23"/>
      <c r="U65" s="23"/>
      <c r="V65" s="23"/>
      <c r="W65" s="23"/>
      <c r="X65" s="23">
        <v>73595.100000000006</v>
      </c>
      <c r="Y65" s="23">
        <v>44903.25</v>
      </c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2"/>
      <c r="AM65" s="22"/>
      <c r="AN65" s="22"/>
      <c r="AO65" s="22"/>
      <c r="AP65" s="22"/>
      <c r="AQ65" s="22"/>
      <c r="AR65" s="22"/>
    </row>
    <row r="66" spans="1:44" ht="16.5" thickBot="1" x14ac:dyDescent="0.3">
      <c r="A66" s="30" t="s">
        <v>129</v>
      </c>
      <c r="B66" s="31" t="s">
        <v>130</v>
      </c>
      <c r="C66" s="27">
        <v>3845509</v>
      </c>
      <c r="D66" s="18"/>
      <c r="E66" s="19">
        <f t="shared" si="0"/>
        <v>3845509</v>
      </c>
      <c r="F66" s="19">
        <f t="shared" si="1"/>
        <v>2994817.61</v>
      </c>
      <c r="G66" s="19">
        <f t="shared" si="2"/>
        <v>850691.39000000013</v>
      </c>
      <c r="H66" s="23"/>
      <c r="I66" s="23"/>
      <c r="J66" s="23"/>
      <c r="K66" s="56"/>
      <c r="L66" s="56"/>
      <c r="M66" s="56"/>
      <c r="N66" s="56"/>
      <c r="O66" s="23">
        <v>2000</v>
      </c>
      <c r="P66" s="23">
        <v>379559.61</v>
      </c>
      <c r="Q66" s="23">
        <v>497936.89</v>
      </c>
      <c r="R66" s="23"/>
      <c r="S66" s="23"/>
      <c r="T66" s="23"/>
      <c r="U66" s="23">
        <v>1097974.69</v>
      </c>
      <c r="V66" s="23"/>
      <c r="W66" s="23">
        <v>264117.5</v>
      </c>
      <c r="X66" s="23"/>
      <c r="Y66" s="23">
        <v>320685.71000000002</v>
      </c>
      <c r="Z66" s="23">
        <v>186819</v>
      </c>
      <c r="AA66" s="23">
        <v>174527.71</v>
      </c>
      <c r="AB66" s="23">
        <v>71196.5</v>
      </c>
      <c r="AC66" s="23"/>
      <c r="AD66" s="23"/>
      <c r="AE66" s="23"/>
      <c r="AF66" s="23"/>
      <c r="AG66" s="23"/>
      <c r="AH66" s="23"/>
      <c r="AI66" s="23"/>
      <c r="AJ66" s="23"/>
      <c r="AK66" s="23"/>
      <c r="AL66" s="22"/>
      <c r="AM66" s="22"/>
      <c r="AN66" s="22"/>
      <c r="AO66" s="22"/>
      <c r="AP66" s="22"/>
      <c r="AQ66" s="22"/>
      <c r="AR66" s="22"/>
    </row>
    <row r="67" spans="1:44" ht="16.5" thickBot="1" x14ac:dyDescent="0.3">
      <c r="A67" s="30" t="s">
        <v>131</v>
      </c>
      <c r="B67" s="31" t="s">
        <v>132</v>
      </c>
      <c r="C67" s="27">
        <v>586380</v>
      </c>
      <c r="D67" s="18"/>
      <c r="E67" s="19">
        <f t="shared" si="0"/>
        <v>586380</v>
      </c>
      <c r="F67" s="19">
        <f t="shared" si="1"/>
        <v>586380</v>
      </c>
      <c r="G67" s="19">
        <f t="shared" si="2"/>
        <v>0</v>
      </c>
      <c r="H67" s="23"/>
      <c r="I67" s="23"/>
      <c r="J67" s="23"/>
      <c r="K67" s="56"/>
      <c r="L67" s="56"/>
      <c r="M67" s="56"/>
      <c r="N67" s="56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>
        <v>586380</v>
      </c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2"/>
      <c r="AM67" s="22"/>
      <c r="AN67" s="22"/>
      <c r="AO67" s="22"/>
      <c r="AP67" s="22"/>
      <c r="AQ67" s="22"/>
      <c r="AR67" s="22"/>
    </row>
    <row r="68" spans="1:44" ht="16.5" thickBot="1" x14ac:dyDescent="0.3">
      <c r="A68" s="30" t="s">
        <v>133</v>
      </c>
      <c r="B68" s="31" t="s">
        <v>134</v>
      </c>
      <c r="C68" s="27">
        <v>250022</v>
      </c>
      <c r="D68" s="18"/>
      <c r="E68" s="19">
        <f t="shared" si="0"/>
        <v>250022</v>
      </c>
      <c r="F68" s="19">
        <f t="shared" si="1"/>
        <v>247963.21000000002</v>
      </c>
      <c r="G68" s="19">
        <f t="shared" si="2"/>
        <v>2058.789999999979</v>
      </c>
      <c r="H68" s="23"/>
      <c r="I68" s="23"/>
      <c r="J68" s="23"/>
      <c r="K68" s="56"/>
      <c r="L68" s="56"/>
      <c r="M68" s="56"/>
      <c r="N68" s="56"/>
      <c r="O68" s="23"/>
      <c r="P68" s="23"/>
      <c r="Q68" s="23">
        <v>63804.43</v>
      </c>
      <c r="R68" s="23"/>
      <c r="S68" s="23"/>
      <c r="T68" s="23"/>
      <c r="U68" s="23"/>
      <c r="V68" s="23">
        <v>33688.58</v>
      </c>
      <c r="W68" s="23"/>
      <c r="X68" s="23"/>
      <c r="Y68" s="23">
        <v>131329</v>
      </c>
      <c r="Z68" s="23">
        <v>19141.2</v>
      </c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2"/>
      <c r="AM68" s="22"/>
      <c r="AN68" s="22"/>
      <c r="AO68" s="22"/>
      <c r="AP68" s="22"/>
      <c r="AQ68" s="22"/>
      <c r="AR68" s="22"/>
    </row>
    <row r="69" spans="1:44" ht="16.5" thickBot="1" x14ac:dyDescent="0.3">
      <c r="A69" s="30" t="s">
        <v>135</v>
      </c>
      <c r="B69" s="31" t="s">
        <v>136</v>
      </c>
      <c r="C69" s="27">
        <v>219273</v>
      </c>
      <c r="D69" s="18"/>
      <c r="E69" s="19">
        <f t="shared" si="0"/>
        <v>219273</v>
      </c>
      <c r="F69" s="19">
        <f t="shared" si="1"/>
        <v>124575</v>
      </c>
      <c r="G69" s="19">
        <f t="shared" si="2"/>
        <v>94698</v>
      </c>
      <c r="H69" s="23"/>
      <c r="I69" s="23"/>
      <c r="J69" s="23"/>
      <c r="K69" s="56"/>
      <c r="L69" s="56"/>
      <c r="M69" s="56"/>
      <c r="N69" s="56"/>
      <c r="O69" s="23"/>
      <c r="P69" s="23"/>
      <c r="Q69" s="23"/>
      <c r="R69" s="23"/>
      <c r="S69" s="23"/>
      <c r="T69" s="23"/>
      <c r="U69" s="23"/>
      <c r="V69" s="23">
        <v>95000</v>
      </c>
      <c r="W69" s="23"/>
      <c r="X69" s="23">
        <v>29575</v>
      </c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2"/>
      <c r="AM69" s="22"/>
      <c r="AN69" s="22"/>
      <c r="AO69" s="22"/>
      <c r="AP69" s="22"/>
      <c r="AQ69" s="22"/>
      <c r="AR69" s="22"/>
    </row>
    <row r="70" spans="1:44" ht="16.5" thickBot="1" x14ac:dyDescent="0.3">
      <c r="A70" s="30" t="s">
        <v>137</v>
      </c>
      <c r="B70" s="31" t="s">
        <v>138</v>
      </c>
      <c r="C70" s="27">
        <v>1225459</v>
      </c>
      <c r="D70" s="18"/>
      <c r="E70" s="19">
        <f t="shared" si="0"/>
        <v>1225459</v>
      </c>
      <c r="F70" s="19">
        <f t="shared" si="1"/>
        <v>371034.06</v>
      </c>
      <c r="G70" s="19">
        <f t="shared" si="2"/>
        <v>854424.94</v>
      </c>
      <c r="H70" s="23"/>
      <c r="I70" s="23"/>
      <c r="J70" s="23"/>
      <c r="K70" s="56"/>
      <c r="L70" s="56"/>
      <c r="M70" s="56"/>
      <c r="N70" s="56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>
        <v>371034.06</v>
      </c>
      <c r="AC70" s="23"/>
      <c r="AD70" s="23"/>
      <c r="AE70" s="23"/>
      <c r="AF70" s="23"/>
      <c r="AG70" s="23"/>
      <c r="AH70" s="23"/>
      <c r="AI70" s="23"/>
      <c r="AJ70" s="23"/>
      <c r="AK70" s="23"/>
      <c r="AL70" s="22"/>
      <c r="AM70" s="22"/>
      <c r="AN70" s="22"/>
      <c r="AO70" s="22"/>
      <c r="AP70" s="22"/>
      <c r="AQ70" s="22"/>
      <c r="AR70" s="22"/>
    </row>
    <row r="71" spans="1:44" ht="16.5" thickBot="1" x14ac:dyDescent="0.3">
      <c r="A71" s="30" t="s">
        <v>139</v>
      </c>
      <c r="B71" s="31" t="s">
        <v>140</v>
      </c>
      <c r="C71" s="27">
        <v>6855413</v>
      </c>
      <c r="D71" s="18"/>
      <c r="E71" s="19">
        <f t="shared" si="0"/>
        <v>6855413</v>
      </c>
      <c r="F71" s="19">
        <f t="shared" si="1"/>
        <v>4874371</v>
      </c>
      <c r="G71" s="19">
        <f t="shared" si="2"/>
        <v>1981042</v>
      </c>
      <c r="H71" s="23"/>
      <c r="I71" s="23"/>
      <c r="J71" s="23"/>
      <c r="K71" s="56"/>
      <c r="L71" s="56"/>
      <c r="M71" s="56"/>
      <c r="N71" s="56"/>
      <c r="O71" s="23"/>
      <c r="P71" s="23">
        <v>348735</v>
      </c>
      <c r="Q71" s="23"/>
      <c r="R71" s="23">
        <v>1804548</v>
      </c>
      <c r="S71" s="23">
        <v>865718</v>
      </c>
      <c r="T71" s="23"/>
      <c r="U71" s="23">
        <v>281531</v>
      </c>
      <c r="V71" s="23"/>
      <c r="W71" s="23">
        <v>341743</v>
      </c>
      <c r="X71" s="23"/>
      <c r="Y71" s="23">
        <v>657550</v>
      </c>
      <c r="Z71" s="23">
        <v>574546</v>
      </c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2"/>
      <c r="AM71" s="22"/>
      <c r="AN71" s="22"/>
      <c r="AO71" s="22"/>
      <c r="AP71" s="22"/>
      <c r="AQ71" s="22"/>
      <c r="AR71" s="22"/>
    </row>
    <row r="72" spans="1:44" ht="16.5" thickBot="1" x14ac:dyDescent="0.3">
      <c r="A72" s="30" t="s">
        <v>141</v>
      </c>
      <c r="B72" s="31" t="s">
        <v>142</v>
      </c>
      <c r="C72" s="27">
        <v>67396</v>
      </c>
      <c r="D72" s="18"/>
      <c r="E72" s="19">
        <f t="shared" si="0"/>
        <v>67396</v>
      </c>
      <c r="F72" s="19">
        <f t="shared" si="1"/>
        <v>32377.809999999998</v>
      </c>
      <c r="G72" s="19">
        <f t="shared" si="2"/>
        <v>35018.19</v>
      </c>
      <c r="H72" s="23"/>
      <c r="I72" s="23"/>
      <c r="J72" s="23"/>
      <c r="K72" s="56"/>
      <c r="L72" s="56"/>
      <c r="M72" s="56"/>
      <c r="N72" s="56"/>
      <c r="O72" s="23"/>
      <c r="P72" s="23"/>
      <c r="Q72" s="23"/>
      <c r="R72" s="23"/>
      <c r="S72" s="23"/>
      <c r="T72" s="23"/>
      <c r="U72" s="23"/>
      <c r="V72" s="23"/>
      <c r="W72" s="23">
        <f>10092.21+22285.6</f>
        <v>32377.809999999998</v>
      </c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2"/>
      <c r="AM72" s="22"/>
      <c r="AN72" s="22"/>
      <c r="AO72" s="22"/>
      <c r="AP72" s="22"/>
      <c r="AQ72" s="22"/>
      <c r="AR72" s="22"/>
    </row>
    <row r="73" spans="1:44" ht="16.5" thickBot="1" x14ac:dyDescent="0.3">
      <c r="A73" s="30" t="s">
        <v>143</v>
      </c>
      <c r="B73" s="31" t="s">
        <v>144</v>
      </c>
      <c r="C73" s="27">
        <v>293503</v>
      </c>
      <c r="D73" s="18"/>
      <c r="E73" s="19">
        <f t="shared" si="0"/>
        <v>293503</v>
      </c>
      <c r="F73" s="19">
        <f t="shared" si="1"/>
        <v>293503</v>
      </c>
      <c r="G73" s="19">
        <f t="shared" si="2"/>
        <v>0</v>
      </c>
      <c r="H73" s="23"/>
      <c r="I73" s="23"/>
      <c r="J73" s="23"/>
      <c r="K73" s="56"/>
      <c r="L73" s="56"/>
      <c r="M73" s="56"/>
      <c r="N73" s="56"/>
      <c r="O73" s="23">
        <v>217210</v>
      </c>
      <c r="P73" s="23">
        <v>36330</v>
      </c>
      <c r="Q73" s="23"/>
      <c r="R73" s="23"/>
      <c r="S73" s="23"/>
      <c r="T73" s="23"/>
      <c r="U73" s="23"/>
      <c r="V73" s="23"/>
      <c r="W73" s="23"/>
      <c r="X73" s="23">
        <v>39963</v>
      </c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2"/>
      <c r="AM73" s="22"/>
      <c r="AN73" s="22"/>
      <c r="AO73" s="22"/>
      <c r="AP73" s="22"/>
      <c r="AQ73" s="22"/>
      <c r="AR73" s="22"/>
    </row>
    <row r="74" spans="1:44" ht="16.5" thickBot="1" x14ac:dyDescent="0.3">
      <c r="A74" s="30" t="s">
        <v>145</v>
      </c>
      <c r="B74" s="31" t="s">
        <v>146</v>
      </c>
      <c r="C74" s="27">
        <v>3358276</v>
      </c>
      <c r="D74" s="18"/>
      <c r="E74" s="19">
        <f t="shared" si="0"/>
        <v>3358276</v>
      </c>
      <c r="F74" s="19">
        <f t="shared" si="1"/>
        <v>2408820.7799999998</v>
      </c>
      <c r="G74" s="19">
        <f t="shared" si="2"/>
        <v>949455.2200000002</v>
      </c>
      <c r="H74" s="23"/>
      <c r="I74" s="23"/>
      <c r="J74" s="23"/>
      <c r="K74" s="56"/>
      <c r="L74" s="56"/>
      <c r="M74" s="56"/>
      <c r="N74" s="56"/>
      <c r="O74" s="23"/>
      <c r="P74" s="23"/>
      <c r="Q74" s="23"/>
      <c r="R74" s="23"/>
      <c r="S74" s="23"/>
      <c r="T74" s="23"/>
      <c r="U74" s="23">
        <v>719973.82</v>
      </c>
      <c r="V74" s="23"/>
      <c r="W74" s="23"/>
      <c r="X74" s="23"/>
      <c r="Y74" s="23">
        <f>536276.25+558514.44+1130332.52</f>
        <v>2225123.21</v>
      </c>
      <c r="Z74" s="23">
        <v>-536276.25</v>
      </c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2"/>
      <c r="AM74" s="22"/>
      <c r="AN74" s="22"/>
      <c r="AO74" s="22"/>
      <c r="AP74" s="22"/>
      <c r="AQ74" s="22"/>
      <c r="AR74" s="22"/>
    </row>
    <row r="75" spans="1:44" ht="16.5" thickBot="1" x14ac:dyDescent="0.3">
      <c r="A75" s="30" t="s">
        <v>147</v>
      </c>
      <c r="B75" s="31" t="s">
        <v>148</v>
      </c>
      <c r="C75" s="27">
        <v>1150830</v>
      </c>
      <c r="D75" s="18"/>
      <c r="E75" s="19">
        <f t="shared" si="0"/>
        <v>1150830</v>
      </c>
      <c r="F75" s="19">
        <f t="shared" si="1"/>
        <v>910666.05</v>
      </c>
      <c r="G75" s="19">
        <f t="shared" si="2"/>
        <v>240163.94999999995</v>
      </c>
      <c r="H75" s="23"/>
      <c r="I75" s="23"/>
      <c r="J75" s="23"/>
      <c r="K75" s="56"/>
      <c r="L75" s="56"/>
      <c r="M75" s="56">
        <v>159253.70000000001</v>
      </c>
      <c r="N75" s="56">
        <v>280811.02</v>
      </c>
      <c r="O75" s="23">
        <v>33187.78</v>
      </c>
      <c r="P75" s="23"/>
      <c r="Q75" s="23">
        <v>124331.59</v>
      </c>
      <c r="R75" s="23"/>
      <c r="S75" s="23">
        <v>42196.63</v>
      </c>
      <c r="T75" s="23"/>
      <c r="U75" s="23">
        <v>123231.66</v>
      </c>
      <c r="V75" s="23"/>
      <c r="W75" s="23"/>
      <c r="X75" s="23"/>
      <c r="Y75" s="23">
        <v>117857.41</v>
      </c>
      <c r="Z75" s="23">
        <v>29796.26</v>
      </c>
      <c r="AA75" s="23"/>
      <c r="AB75" s="23"/>
      <c r="AC75" s="23"/>
      <c r="AD75" s="23"/>
      <c r="AE75" s="23"/>
      <c r="AF75" s="23"/>
      <c r="AG75" s="23"/>
      <c r="AH75" s="23"/>
      <c r="AI75" s="23"/>
      <c r="AJ75" s="23"/>
      <c r="AK75" s="23"/>
      <c r="AL75" s="22"/>
      <c r="AM75" s="22"/>
      <c r="AN75" s="22"/>
      <c r="AO75" s="22"/>
      <c r="AP75" s="22"/>
      <c r="AQ75" s="22"/>
      <c r="AR75" s="22"/>
    </row>
    <row r="76" spans="1:44" ht="16.5" thickBot="1" x14ac:dyDescent="0.3">
      <c r="A76" s="30" t="s">
        <v>149</v>
      </c>
      <c r="B76" s="31" t="s">
        <v>150</v>
      </c>
      <c r="C76" s="27">
        <v>256279</v>
      </c>
      <c r="D76" s="18"/>
      <c r="E76" s="19">
        <f t="shared" ref="E76:E139" si="3">C76</f>
        <v>256279</v>
      </c>
      <c r="F76" s="19">
        <f t="shared" ref="F76:F139" si="4">SUM(H76:AN76)</f>
        <v>108274.71</v>
      </c>
      <c r="G76" s="19">
        <f t="shared" ref="G76:G139" si="5">E76-(F76+AO76+AP76)</f>
        <v>148004.28999999998</v>
      </c>
      <c r="H76" s="23"/>
      <c r="I76" s="23"/>
      <c r="J76" s="23"/>
      <c r="K76" s="56"/>
      <c r="L76" s="56"/>
      <c r="M76" s="56"/>
      <c r="N76" s="56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>
        <v>108274.71</v>
      </c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  <c r="AL76" s="22"/>
      <c r="AM76" s="22"/>
      <c r="AN76" s="22"/>
      <c r="AO76" s="22"/>
      <c r="AP76" s="22"/>
      <c r="AQ76" s="22"/>
      <c r="AR76" s="22"/>
    </row>
    <row r="77" spans="1:44" ht="16.5" thickBot="1" x14ac:dyDescent="0.3">
      <c r="A77" s="30" t="s">
        <v>151</v>
      </c>
      <c r="B77" s="31" t="s">
        <v>152</v>
      </c>
      <c r="C77" s="27">
        <v>1893684</v>
      </c>
      <c r="D77" s="18"/>
      <c r="E77" s="19">
        <f t="shared" si="3"/>
        <v>1893684</v>
      </c>
      <c r="F77" s="19">
        <f t="shared" si="4"/>
        <v>0</v>
      </c>
      <c r="G77" s="19">
        <f t="shared" si="5"/>
        <v>1893684</v>
      </c>
      <c r="H77" s="23"/>
      <c r="I77" s="23"/>
      <c r="J77" s="23"/>
      <c r="K77" s="56"/>
      <c r="L77" s="56"/>
      <c r="M77" s="56"/>
      <c r="N77" s="56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2"/>
      <c r="AM77" s="22"/>
      <c r="AN77" s="22"/>
      <c r="AO77" s="22"/>
      <c r="AP77" s="22"/>
      <c r="AQ77" s="22"/>
      <c r="AR77" s="22"/>
    </row>
    <row r="78" spans="1:44" ht="16.5" thickBot="1" x14ac:dyDescent="0.3">
      <c r="A78" s="30" t="s">
        <v>153</v>
      </c>
      <c r="B78" s="31" t="s">
        <v>154</v>
      </c>
      <c r="C78" s="27">
        <v>2011287</v>
      </c>
      <c r="D78" s="18"/>
      <c r="E78" s="19">
        <f t="shared" si="3"/>
        <v>2011287</v>
      </c>
      <c r="F78" s="19">
        <f t="shared" si="4"/>
        <v>1951287</v>
      </c>
      <c r="G78" s="19">
        <f t="shared" si="5"/>
        <v>60000</v>
      </c>
      <c r="H78" s="23"/>
      <c r="I78" s="23"/>
      <c r="J78" s="23"/>
      <c r="K78" s="56"/>
      <c r="L78" s="56"/>
      <c r="M78" s="56"/>
      <c r="N78" s="56"/>
      <c r="O78" s="23"/>
      <c r="P78" s="23"/>
      <c r="Q78" s="23"/>
      <c r="R78" s="23"/>
      <c r="S78" s="23"/>
      <c r="T78" s="23">
        <f>1871292.64+79994.36</f>
        <v>1951287</v>
      </c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2"/>
      <c r="AM78" s="22"/>
      <c r="AN78" s="22"/>
      <c r="AO78" s="22"/>
      <c r="AP78" s="22"/>
      <c r="AQ78" s="22"/>
      <c r="AR78" s="22"/>
    </row>
    <row r="79" spans="1:44" ht="16.5" thickBot="1" x14ac:dyDescent="0.3">
      <c r="A79" s="30" t="s">
        <v>155</v>
      </c>
      <c r="B79" s="31" t="s">
        <v>156</v>
      </c>
      <c r="C79" s="27">
        <v>491016</v>
      </c>
      <c r="D79" s="18"/>
      <c r="E79" s="19">
        <f t="shared" si="3"/>
        <v>491016</v>
      </c>
      <c r="F79" s="19">
        <f t="shared" si="4"/>
        <v>491016</v>
      </c>
      <c r="G79" s="19">
        <f t="shared" si="5"/>
        <v>0</v>
      </c>
      <c r="H79" s="23"/>
      <c r="I79" s="23"/>
      <c r="J79" s="23"/>
      <c r="K79" s="56"/>
      <c r="L79" s="56"/>
      <c r="M79" s="56"/>
      <c r="N79" s="56"/>
      <c r="O79" s="23"/>
      <c r="P79" s="23"/>
      <c r="Q79" s="23"/>
      <c r="R79" s="23"/>
      <c r="S79" s="23"/>
      <c r="T79" s="23"/>
      <c r="U79" s="23"/>
      <c r="V79" s="23">
        <v>325160.83</v>
      </c>
      <c r="W79" s="23"/>
      <c r="X79" s="23"/>
      <c r="Y79" s="23">
        <v>165855.17000000001</v>
      </c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2"/>
      <c r="AM79" s="22"/>
      <c r="AN79" s="22"/>
      <c r="AO79" s="22"/>
      <c r="AP79" s="22"/>
      <c r="AQ79" s="22"/>
      <c r="AR79" s="22"/>
    </row>
    <row r="80" spans="1:44" ht="16.5" thickBot="1" x14ac:dyDescent="0.3">
      <c r="A80" s="30" t="s">
        <v>157</v>
      </c>
      <c r="B80" s="31" t="s">
        <v>158</v>
      </c>
      <c r="C80" s="27">
        <v>97567</v>
      </c>
      <c r="D80" s="18"/>
      <c r="E80" s="19">
        <f t="shared" si="3"/>
        <v>97567</v>
      </c>
      <c r="F80" s="19">
        <f t="shared" si="4"/>
        <v>97567</v>
      </c>
      <c r="G80" s="19">
        <f t="shared" si="5"/>
        <v>0</v>
      </c>
      <c r="H80" s="23"/>
      <c r="I80" s="23"/>
      <c r="J80" s="23"/>
      <c r="K80" s="56"/>
      <c r="L80" s="56"/>
      <c r="M80" s="56"/>
      <c r="N80" s="56">
        <v>75051.61</v>
      </c>
      <c r="O80" s="23"/>
      <c r="P80" s="23"/>
      <c r="Q80" s="23"/>
      <c r="R80" s="23"/>
      <c r="S80" s="23">
        <v>22515.39</v>
      </c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2"/>
      <c r="AM80" s="22"/>
      <c r="AN80" s="22"/>
      <c r="AO80" s="22"/>
      <c r="AP80" s="22"/>
      <c r="AQ80" s="22"/>
      <c r="AR80" s="22"/>
    </row>
    <row r="81" spans="1:44" ht="16.5" thickBot="1" x14ac:dyDescent="0.3">
      <c r="A81" s="30" t="s">
        <v>159</v>
      </c>
      <c r="B81" s="31" t="s">
        <v>160</v>
      </c>
      <c r="C81" s="27">
        <v>279075</v>
      </c>
      <c r="D81" s="18"/>
      <c r="E81" s="19">
        <f t="shared" si="3"/>
        <v>279075</v>
      </c>
      <c r="F81" s="19">
        <f t="shared" si="4"/>
        <v>279075</v>
      </c>
      <c r="G81" s="19">
        <f t="shared" si="5"/>
        <v>0</v>
      </c>
      <c r="H81" s="23"/>
      <c r="I81" s="23"/>
      <c r="J81" s="23"/>
      <c r="K81" s="56"/>
      <c r="L81" s="56"/>
      <c r="M81" s="56"/>
      <c r="N81" s="56"/>
      <c r="O81" s="23"/>
      <c r="P81" s="23"/>
      <c r="Q81" s="23"/>
      <c r="R81" s="23"/>
      <c r="S81" s="23"/>
      <c r="T81" s="23"/>
      <c r="U81" s="23"/>
      <c r="V81" s="23"/>
      <c r="W81" s="23"/>
      <c r="X81" s="23">
        <v>279075</v>
      </c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2"/>
      <c r="AM81" s="22"/>
      <c r="AN81" s="22"/>
      <c r="AO81" s="22"/>
      <c r="AP81" s="22"/>
      <c r="AQ81" s="22"/>
      <c r="AR81" s="22"/>
    </row>
    <row r="82" spans="1:44" ht="16.5" thickBot="1" x14ac:dyDescent="0.3">
      <c r="A82" s="30" t="s">
        <v>161</v>
      </c>
      <c r="B82" s="31" t="s">
        <v>162</v>
      </c>
      <c r="C82" s="27">
        <v>395412</v>
      </c>
      <c r="D82" s="18"/>
      <c r="E82" s="19">
        <f t="shared" si="3"/>
        <v>395412</v>
      </c>
      <c r="F82" s="19">
        <f t="shared" si="4"/>
        <v>395412</v>
      </c>
      <c r="G82" s="19">
        <f t="shared" si="5"/>
        <v>0</v>
      </c>
      <c r="H82" s="23"/>
      <c r="I82" s="23"/>
      <c r="J82" s="23"/>
      <c r="K82" s="56"/>
      <c r="L82" s="56"/>
      <c r="M82" s="56"/>
      <c r="N82" s="56"/>
      <c r="O82" s="23"/>
      <c r="P82" s="23">
        <v>395412</v>
      </c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2"/>
      <c r="AM82" s="22"/>
      <c r="AN82" s="22"/>
      <c r="AO82" s="22"/>
      <c r="AP82" s="22"/>
      <c r="AQ82" s="22"/>
      <c r="AR82" s="22"/>
    </row>
    <row r="83" spans="1:44" ht="16.5" thickBot="1" x14ac:dyDescent="0.3">
      <c r="A83" s="30" t="s">
        <v>163</v>
      </c>
      <c r="B83" s="31" t="s">
        <v>164</v>
      </c>
      <c r="C83" s="27">
        <v>733017</v>
      </c>
      <c r="D83" s="18"/>
      <c r="E83" s="19">
        <f t="shared" si="3"/>
        <v>733017</v>
      </c>
      <c r="F83" s="19">
        <f t="shared" si="4"/>
        <v>733017</v>
      </c>
      <c r="G83" s="19">
        <f t="shared" si="5"/>
        <v>0</v>
      </c>
      <c r="H83" s="23"/>
      <c r="I83" s="23"/>
      <c r="J83" s="23"/>
      <c r="K83" s="56"/>
      <c r="L83" s="56"/>
      <c r="M83" s="56"/>
      <c r="N83" s="56"/>
      <c r="O83" s="23">
        <v>273171.37</v>
      </c>
      <c r="P83" s="23">
        <v>14844.12</v>
      </c>
      <c r="Q83" s="23"/>
      <c r="R83" s="23">
        <v>73881.62</v>
      </c>
      <c r="S83" s="23"/>
      <c r="T83" s="23"/>
      <c r="U83" s="23">
        <v>107454.1</v>
      </c>
      <c r="V83" s="23"/>
      <c r="W83" s="23"/>
      <c r="X83" s="23">
        <v>125023.06</v>
      </c>
      <c r="Y83" s="23"/>
      <c r="Z83" s="23"/>
      <c r="AA83" s="23">
        <v>138642.73000000001</v>
      </c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2"/>
      <c r="AM83" s="22"/>
      <c r="AN83" s="22"/>
      <c r="AO83" s="22"/>
      <c r="AP83" s="22"/>
      <c r="AQ83" s="22"/>
      <c r="AR83" s="22"/>
    </row>
    <row r="84" spans="1:44" ht="16.5" thickBot="1" x14ac:dyDescent="0.3">
      <c r="A84" s="30" t="s">
        <v>165</v>
      </c>
      <c r="B84" s="31" t="s">
        <v>166</v>
      </c>
      <c r="C84" s="27">
        <v>66334</v>
      </c>
      <c r="D84" s="18"/>
      <c r="E84" s="19">
        <f t="shared" si="3"/>
        <v>66334</v>
      </c>
      <c r="F84" s="19">
        <f t="shared" si="4"/>
        <v>66334</v>
      </c>
      <c r="G84" s="19">
        <f t="shared" si="5"/>
        <v>0</v>
      </c>
      <c r="H84" s="23"/>
      <c r="I84" s="23"/>
      <c r="J84" s="23"/>
      <c r="K84" s="56"/>
      <c r="L84" s="56"/>
      <c r="M84" s="56"/>
      <c r="N84" s="56"/>
      <c r="O84" s="23"/>
      <c r="P84" s="23"/>
      <c r="Q84" s="23"/>
      <c r="R84" s="23"/>
      <c r="S84" s="23"/>
      <c r="T84" s="23"/>
      <c r="U84" s="23"/>
      <c r="V84" s="23"/>
      <c r="W84" s="23"/>
      <c r="X84" s="23">
        <v>66334</v>
      </c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2"/>
      <c r="AM84" s="22"/>
      <c r="AN84" s="22"/>
      <c r="AO84" s="22"/>
      <c r="AP84" s="22"/>
      <c r="AQ84" s="22"/>
      <c r="AR84" s="22"/>
    </row>
    <row r="85" spans="1:44" ht="16.5" thickBot="1" x14ac:dyDescent="0.3">
      <c r="A85" s="30" t="s">
        <v>167</v>
      </c>
      <c r="B85" s="31" t="s">
        <v>168</v>
      </c>
      <c r="C85" s="27">
        <v>920838</v>
      </c>
      <c r="D85" s="18"/>
      <c r="E85" s="19">
        <f t="shared" si="3"/>
        <v>920838</v>
      </c>
      <c r="F85" s="19">
        <f t="shared" si="4"/>
        <v>678169</v>
      </c>
      <c r="G85" s="19">
        <f t="shared" si="5"/>
        <v>242669</v>
      </c>
      <c r="H85" s="23"/>
      <c r="I85" s="23"/>
      <c r="J85" s="23"/>
      <c r="K85" s="56"/>
      <c r="L85" s="56"/>
      <c r="M85" s="56"/>
      <c r="N85" s="56"/>
      <c r="O85" s="23">
        <v>261289.57</v>
      </c>
      <c r="P85" s="23">
        <v>63962.34</v>
      </c>
      <c r="Q85" s="23">
        <f>6127.13+81748.53</f>
        <v>87875.66</v>
      </c>
      <c r="R85" s="23"/>
      <c r="S85" s="23">
        <v>10318.75</v>
      </c>
      <c r="T85" s="23"/>
      <c r="U85" s="23">
        <v>69187.75</v>
      </c>
      <c r="V85" s="23">
        <f>31468.55+90226.93</f>
        <v>121695.48</v>
      </c>
      <c r="W85" s="23"/>
      <c r="X85" s="23">
        <v>107</v>
      </c>
      <c r="Y85" s="23">
        <v>27880.84</v>
      </c>
      <c r="Z85" s="23"/>
      <c r="AA85" s="23">
        <v>35851.61</v>
      </c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2"/>
      <c r="AM85" s="22"/>
      <c r="AN85" s="22"/>
      <c r="AO85" s="22"/>
      <c r="AP85" s="22"/>
      <c r="AQ85" s="22"/>
      <c r="AR85" s="22"/>
    </row>
    <row r="86" spans="1:44" ht="16.5" thickBot="1" x14ac:dyDescent="0.3">
      <c r="A86" s="30" t="s">
        <v>169</v>
      </c>
      <c r="B86" s="31" t="s">
        <v>170</v>
      </c>
      <c r="C86" s="27">
        <v>354940</v>
      </c>
      <c r="D86" s="18"/>
      <c r="E86" s="19">
        <f t="shared" si="3"/>
        <v>354940</v>
      </c>
      <c r="F86" s="19">
        <f t="shared" si="4"/>
        <v>354940</v>
      </c>
      <c r="G86" s="19">
        <f t="shared" si="5"/>
        <v>0</v>
      </c>
      <c r="H86" s="23"/>
      <c r="I86" s="23"/>
      <c r="J86" s="23"/>
      <c r="K86" s="56"/>
      <c r="L86" s="56"/>
      <c r="M86" s="56"/>
      <c r="N86" s="56"/>
      <c r="O86" s="23"/>
      <c r="P86" s="23">
        <v>354940</v>
      </c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2"/>
      <c r="AM86" s="22"/>
      <c r="AN86" s="22"/>
      <c r="AO86" s="22"/>
      <c r="AP86" s="22"/>
      <c r="AQ86" s="22"/>
      <c r="AR86" s="22"/>
    </row>
    <row r="87" spans="1:44" ht="16.5" thickBot="1" x14ac:dyDescent="0.3">
      <c r="A87" s="30" t="s">
        <v>171</v>
      </c>
      <c r="B87" s="31" t="s">
        <v>172</v>
      </c>
      <c r="C87" s="27">
        <v>147508</v>
      </c>
      <c r="D87" s="18"/>
      <c r="E87" s="19">
        <f t="shared" si="3"/>
        <v>147508</v>
      </c>
      <c r="F87" s="19">
        <f t="shared" si="4"/>
        <v>78591.37999999999</v>
      </c>
      <c r="G87" s="19">
        <f t="shared" si="5"/>
        <v>68916.62000000001</v>
      </c>
      <c r="H87" s="23"/>
      <c r="I87" s="23"/>
      <c r="J87" s="23"/>
      <c r="K87" s="56"/>
      <c r="L87" s="56"/>
      <c r="M87" s="56"/>
      <c r="N87" s="56"/>
      <c r="O87" s="23"/>
      <c r="P87" s="23"/>
      <c r="Q87" s="23">
        <v>5726.91</v>
      </c>
      <c r="R87" s="23"/>
      <c r="S87" s="23"/>
      <c r="T87" s="23"/>
      <c r="U87" s="23"/>
      <c r="V87" s="23">
        <v>29984.400000000001</v>
      </c>
      <c r="W87" s="23"/>
      <c r="X87" s="23">
        <f>15840.81*2</f>
        <v>31681.62</v>
      </c>
      <c r="Y87" s="23"/>
      <c r="Z87" s="23"/>
      <c r="AA87" s="23">
        <v>11198.45</v>
      </c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2"/>
      <c r="AM87" s="22"/>
      <c r="AN87" s="22"/>
      <c r="AO87" s="22"/>
      <c r="AP87" s="22"/>
      <c r="AQ87" s="22"/>
      <c r="AR87" s="22"/>
    </row>
    <row r="88" spans="1:44" ht="16.5" thickBot="1" x14ac:dyDescent="0.3">
      <c r="A88" s="30" t="s">
        <v>173</v>
      </c>
      <c r="B88" s="31" t="s">
        <v>174</v>
      </c>
      <c r="C88" s="27">
        <v>30375421</v>
      </c>
      <c r="D88" s="18"/>
      <c r="E88" s="19">
        <f t="shared" si="3"/>
        <v>30375421</v>
      </c>
      <c r="F88" s="19">
        <f t="shared" si="4"/>
        <v>28459881.859999999</v>
      </c>
      <c r="G88" s="19">
        <f t="shared" si="5"/>
        <v>1915539.1400000006</v>
      </c>
      <c r="H88" s="23"/>
      <c r="I88" s="23"/>
      <c r="J88" s="23"/>
      <c r="K88" s="56"/>
      <c r="L88" s="56"/>
      <c r="M88" s="56"/>
      <c r="N88" s="56"/>
      <c r="O88" s="23"/>
      <c r="P88" s="23"/>
      <c r="Q88" s="23"/>
      <c r="R88" s="23">
        <f>22724873.14+2031665.39</f>
        <v>24756538.530000001</v>
      </c>
      <c r="S88" s="23"/>
      <c r="T88" s="23"/>
      <c r="U88" s="23">
        <v>2320515.6800000002</v>
      </c>
      <c r="V88" s="23">
        <v>99099.61</v>
      </c>
      <c r="W88" s="23">
        <v>344832</v>
      </c>
      <c r="X88" s="23">
        <v>113450.93</v>
      </c>
      <c r="Y88" s="23">
        <f>278306.83+547138.28</f>
        <v>825445.1100000001</v>
      </c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2"/>
      <c r="AM88" s="22"/>
      <c r="AN88" s="22"/>
      <c r="AO88" s="22"/>
      <c r="AP88" s="22"/>
      <c r="AQ88" s="22"/>
      <c r="AR88" s="22"/>
    </row>
    <row r="89" spans="1:44" ht="16.5" thickBot="1" x14ac:dyDescent="0.3">
      <c r="A89" s="30" t="s">
        <v>175</v>
      </c>
      <c r="B89" s="31" t="s">
        <v>176</v>
      </c>
      <c r="C89" s="27">
        <v>110939</v>
      </c>
      <c r="D89" s="18"/>
      <c r="E89" s="19">
        <f t="shared" si="3"/>
        <v>110939</v>
      </c>
      <c r="F89" s="19">
        <f t="shared" si="4"/>
        <v>0</v>
      </c>
      <c r="G89" s="19">
        <f t="shared" si="5"/>
        <v>110939</v>
      </c>
      <c r="H89" s="23"/>
      <c r="I89" s="23"/>
      <c r="J89" s="23"/>
      <c r="K89" s="56"/>
      <c r="L89" s="56"/>
      <c r="M89" s="56"/>
      <c r="N89" s="56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2"/>
      <c r="AM89" s="22"/>
      <c r="AN89" s="22"/>
      <c r="AO89" s="22"/>
      <c r="AP89" s="22"/>
      <c r="AQ89" s="22"/>
      <c r="AR89" s="22"/>
    </row>
    <row r="90" spans="1:44" ht="16.5" thickBot="1" x14ac:dyDescent="0.3">
      <c r="A90" s="30" t="s">
        <v>177</v>
      </c>
      <c r="B90" s="31" t="s">
        <v>178</v>
      </c>
      <c r="C90" s="27">
        <v>59688</v>
      </c>
      <c r="D90" s="18"/>
      <c r="E90" s="19">
        <f t="shared" si="3"/>
        <v>59688</v>
      </c>
      <c r="F90" s="19">
        <f t="shared" si="4"/>
        <v>45914</v>
      </c>
      <c r="G90" s="19">
        <f t="shared" si="5"/>
        <v>13774</v>
      </c>
      <c r="H90" s="23"/>
      <c r="I90" s="23"/>
      <c r="J90" s="23"/>
      <c r="K90" s="56"/>
      <c r="L90" s="56"/>
      <c r="M90" s="56"/>
      <c r="N90" s="56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>
        <v>45914</v>
      </c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2"/>
      <c r="AM90" s="22"/>
      <c r="AN90" s="22"/>
      <c r="AO90" s="22"/>
      <c r="AP90" s="22"/>
      <c r="AQ90" s="22"/>
      <c r="AR90" s="22"/>
    </row>
    <row r="91" spans="1:44" ht="16.5" thickBot="1" x14ac:dyDescent="0.3">
      <c r="A91" s="30" t="s">
        <v>179</v>
      </c>
      <c r="B91" s="31" t="s">
        <v>180</v>
      </c>
      <c r="C91" s="27">
        <v>102290</v>
      </c>
      <c r="D91" s="18"/>
      <c r="E91" s="19">
        <f t="shared" si="3"/>
        <v>102290</v>
      </c>
      <c r="F91" s="19">
        <f t="shared" si="4"/>
        <v>102290</v>
      </c>
      <c r="G91" s="19">
        <f t="shared" si="5"/>
        <v>0</v>
      </c>
      <c r="H91" s="23"/>
      <c r="I91" s="23"/>
      <c r="J91" s="23"/>
      <c r="K91" s="56"/>
      <c r="L91" s="56"/>
      <c r="M91" s="56"/>
      <c r="N91" s="56"/>
      <c r="O91" s="23"/>
      <c r="P91" s="23"/>
      <c r="Q91" s="23"/>
      <c r="R91" s="23"/>
      <c r="S91" s="23"/>
      <c r="T91" s="23"/>
      <c r="U91" s="23">
        <v>102290</v>
      </c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3"/>
      <c r="AL91" s="22"/>
      <c r="AM91" s="22"/>
      <c r="AN91" s="22"/>
      <c r="AO91" s="22"/>
      <c r="AP91" s="22"/>
      <c r="AQ91" s="22"/>
      <c r="AR91" s="22"/>
    </row>
    <row r="92" spans="1:44" ht="16.5" thickBot="1" x14ac:dyDescent="0.3">
      <c r="A92" s="30" t="s">
        <v>181</v>
      </c>
      <c r="B92" s="31" t="s">
        <v>182</v>
      </c>
      <c r="C92" s="27">
        <v>187096</v>
      </c>
      <c r="D92" s="18"/>
      <c r="E92" s="19">
        <f t="shared" si="3"/>
        <v>187096</v>
      </c>
      <c r="F92" s="19">
        <f t="shared" si="4"/>
        <v>187096</v>
      </c>
      <c r="G92" s="19">
        <f t="shared" si="5"/>
        <v>0</v>
      </c>
      <c r="H92" s="23"/>
      <c r="I92" s="23"/>
      <c r="J92" s="23"/>
      <c r="K92" s="56"/>
      <c r="L92" s="56"/>
      <c r="M92" s="56">
        <v>85032.91</v>
      </c>
      <c r="N92" s="56"/>
      <c r="O92" s="23"/>
      <c r="P92" s="23"/>
      <c r="Q92" s="23"/>
      <c r="R92" s="23">
        <f>6354.59+95708.5</f>
        <v>102063.09</v>
      </c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23"/>
      <c r="AL92" s="22"/>
      <c r="AM92" s="22"/>
      <c r="AN92" s="22"/>
      <c r="AO92" s="22"/>
      <c r="AP92" s="22"/>
      <c r="AQ92" s="22"/>
      <c r="AR92" s="22"/>
    </row>
    <row r="93" spans="1:44" ht="16.5" thickBot="1" x14ac:dyDescent="0.3">
      <c r="A93" s="30" t="s">
        <v>183</v>
      </c>
      <c r="B93" s="31" t="s">
        <v>184</v>
      </c>
      <c r="C93" s="27">
        <v>112977</v>
      </c>
      <c r="D93" s="18"/>
      <c r="E93" s="19">
        <f t="shared" si="3"/>
        <v>112977</v>
      </c>
      <c r="F93" s="19">
        <f t="shared" si="4"/>
        <v>112977</v>
      </c>
      <c r="G93" s="19">
        <f t="shared" si="5"/>
        <v>0</v>
      </c>
      <c r="H93" s="23"/>
      <c r="I93" s="23"/>
      <c r="J93" s="23"/>
      <c r="K93" s="56"/>
      <c r="L93" s="56"/>
      <c r="M93" s="56"/>
      <c r="N93" s="56">
        <v>112977</v>
      </c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23"/>
      <c r="AL93" s="22"/>
      <c r="AM93" s="22"/>
      <c r="AN93" s="22"/>
      <c r="AO93" s="22"/>
      <c r="AP93" s="22"/>
      <c r="AQ93" s="22"/>
      <c r="AR93" s="22"/>
    </row>
    <row r="94" spans="1:44" ht="16.5" thickBot="1" x14ac:dyDescent="0.3">
      <c r="A94" s="30" t="s">
        <v>185</v>
      </c>
      <c r="B94" s="31" t="s">
        <v>186</v>
      </c>
      <c r="C94" s="27">
        <v>51789</v>
      </c>
      <c r="D94" s="18"/>
      <c r="E94" s="19">
        <f t="shared" si="3"/>
        <v>51789</v>
      </c>
      <c r="F94" s="19">
        <f t="shared" si="4"/>
        <v>51789</v>
      </c>
      <c r="G94" s="19">
        <f t="shared" si="5"/>
        <v>0</v>
      </c>
      <c r="H94" s="23"/>
      <c r="I94" s="23"/>
      <c r="J94" s="23"/>
      <c r="K94" s="56"/>
      <c r="L94" s="56"/>
      <c r="M94" s="56"/>
      <c r="N94" s="56"/>
      <c r="O94" s="23"/>
      <c r="P94" s="23">
        <v>29490</v>
      </c>
      <c r="Q94" s="23">
        <v>3716.5</v>
      </c>
      <c r="R94" s="23"/>
      <c r="S94" s="23"/>
      <c r="T94" s="23"/>
      <c r="U94" s="23"/>
      <c r="V94" s="23">
        <v>10138.719999999999</v>
      </c>
      <c r="W94" s="23"/>
      <c r="X94" s="23"/>
      <c r="Y94" s="23">
        <v>8443.7800000000007</v>
      </c>
      <c r="Z94" s="23"/>
      <c r="AA94" s="23"/>
      <c r="AB94" s="23"/>
      <c r="AC94" s="23"/>
      <c r="AD94" s="23"/>
      <c r="AE94" s="23"/>
      <c r="AF94" s="23"/>
      <c r="AG94" s="23"/>
      <c r="AH94" s="23"/>
      <c r="AI94" s="23"/>
      <c r="AJ94" s="23"/>
      <c r="AK94" s="23"/>
      <c r="AL94" s="22"/>
      <c r="AM94" s="22"/>
      <c r="AN94" s="22"/>
      <c r="AO94" s="22"/>
      <c r="AP94" s="22"/>
      <c r="AQ94" s="22"/>
      <c r="AR94" s="22"/>
    </row>
    <row r="95" spans="1:44" ht="16.5" thickBot="1" x14ac:dyDescent="0.3">
      <c r="A95" s="30" t="s">
        <v>187</v>
      </c>
      <c r="B95" s="31" t="s">
        <v>188</v>
      </c>
      <c r="C95" s="27">
        <v>669955</v>
      </c>
      <c r="D95" s="18"/>
      <c r="E95" s="19">
        <f t="shared" si="3"/>
        <v>669955</v>
      </c>
      <c r="F95" s="19">
        <f t="shared" si="4"/>
        <v>669955</v>
      </c>
      <c r="G95" s="19">
        <f t="shared" si="5"/>
        <v>0</v>
      </c>
      <c r="H95" s="23"/>
      <c r="I95" s="23"/>
      <c r="J95" s="23"/>
      <c r="K95" s="56"/>
      <c r="L95" s="56"/>
      <c r="M95" s="56"/>
      <c r="N95" s="56"/>
      <c r="O95" s="23"/>
      <c r="P95" s="23">
        <v>503480.84</v>
      </c>
      <c r="Q95" s="23"/>
      <c r="R95" s="23"/>
      <c r="S95" s="23"/>
      <c r="T95" s="23"/>
      <c r="U95" s="23"/>
      <c r="V95" s="23"/>
      <c r="W95" s="23"/>
      <c r="X95" s="23"/>
      <c r="Y95" s="23">
        <v>166474.16</v>
      </c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3"/>
      <c r="AK95" s="23"/>
      <c r="AL95" s="22"/>
      <c r="AM95" s="22"/>
      <c r="AN95" s="22"/>
      <c r="AO95" s="22"/>
      <c r="AP95" s="22"/>
      <c r="AQ95" s="22"/>
      <c r="AR95" s="22"/>
    </row>
    <row r="96" spans="1:44" ht="16.5" thickBot="1" x14ac:dyDescent="0.3">
      <c r="A96" s="30" t="s">
        <v>189</v>
      </c>
      <c r="B96" s="31" t="s">
        <v>190</v>
      </c>
      <c r="C96" s="27">
        <v>772212</v>
      </c>
      <c r="D96" s="18"/>
      <c r="E96" s="19">
        <f t="shared" si="3"/>
        <v>772212</v>
      </c>
      <c r="F96" s="19">
        <f t="shared" si="4"/>
        <v>446125.07999999996</v>
      </c>
      <c r="G96" s="19">
        <f t="shared" si="5"/>
        <v>326086.92000000004</v>
      </c>
      <c r="H96" s="23"/>
      <c r="I96" s="23"/>
      <c r="J96" s="23"/>
      <c r="K96" s="56"/>
      <c r="L96" s="56"/>
      <c r="M96" s="56"/>
      <c r="N96" s="56"/>
      <c r="O96" s="23"/>
      <c r="P96" s="23"/>
      <c r="Q96" s="23">
        <f>23631.71+16484.59</f>
        <v>40116.300000000003</v>
      </c>
      <c r="R96" s="23"/>
      <c r="S96" s="23"/>
      <c r="T96" s="23">
        <v>43783.360000000001</v>
      </c>
      <c r="U96" s="23">
        <f>18194.31+89049.58</f>
        <v>107243.89</v>
      </c>
      <c r="V96" s="23">
        <v>32317.52</v>
      </c>
      <c r="W96" s="23">
        <v>37011.839999999997</v>
      </c>
      <c r="X96" s="23">
        <v>45449.61</v>
      </c>
      <c r="Y96" s="23">
        <v>54824.160000000003</v>
      </c>
      <c r="Z96" s="23"/>
      <c r="AA96" s="23"/>
      <c r="AB96" s="23">
        <v>85378.4</v>
      </c>
      <c r="AC96" s="23"/>
      <c r="AD96" s="23"/>
      <c r="AE96" s="23"/>
      <c r="AF96" s="23"/>
      <c r="AG96" s="23"/>
      <c r="AH96" s="23"/>
      <c r="AI96" s="23"/>
      <c r="AJ96" s="23"/>
      <c r="AK96" s="23"/>
      <c r="AL96" s="22"/>
      <c r="AM96" s="22"/>
      <c r="AN96" s="22"/>
      <c r="AO96" s="22"/>
      <c r="AP96" s="22"/>
      <c r="AQ96" s="22"/>
      <c r="AR96" s="22"/>
    </row>
    <row r="97" spans="1:44" ht="16.5" thickBot="1" x14ac:dyDescent="0.3">
      <c r="A97" s="30" t="s">
        <v>191</v>
      </c>
      <c r="B97" s="31" t="s">
        <v>192</v>
      </c>
      <c r="C97" s="27">
        <v>1973921</v>
      </c>
      <c r="D97" s="18"/>
      <c r="E97" s="19">
        <f t="shared" si="3"/>
        <v>1973921</v>
      </c>
      <c r="F97" s="19">
        <f t="shared" si="4"/>
        <v>163183.22</v>
      </c>
      <c r="G97" s="19">
        <f t="shared" si="5"/>
        <v>1810737.78</v>
      </c>
      <c r="H97" s="23"/>
      <c r="I97" s="23"/>
      <c r="J97" s="23"/>
      <c r="K97" s="56"/>
      <c r="L97" s="56"/>
      <c r="M97" s="56"/>
      <c r="N97" s="56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>
        <v>163183.22</v>
      </c>
      <c r="Z97" s="23"/>
      <c r="AA97" s="23"/>
      <c r="AB97" s="23"/>
      <c r="AC97" s="23"/>
      <c r="AD97" s="23"/>
      <c r="AE97" s="23"/>
      <c r="AF97" s="23"/>
      <c r="AG97" s="23"/>
      <c r="AH97" s="23"/>
      <c r="AI97" s="23"/>
      <c r="AJ97" s="23"/>
      <c r="AK97" s="23"/>
      <c r="AL97" s="22"/>
      <c r="AM97" s="22"/>
      <c r="AN97" s="22"/>
      <c r="AO97" s="22"/>
      <c r="AP97" s="22"/>
      <c r="AQ97" s="22"/>
      <c r="AR97" s="22"/>
    </row>
    <row r="98" spans="1:44" ht="16.5" thickBot="1" x14ac:dyDescent="0.3">
      <c r="A98" s="30" t="s">
        <v>193</v>
      </c>
      <c r="B98" s="31" t="s">
        <v>194</v>
      </c>
      <c r="C98" s="27">
        <v>328643</v>
      </c>
      <c r="D98" s="18"/>
      <c r="E98" s="19">
        <f t="shared" si="3"/>
        <v>328643</v>
      </c>
      <c r="F98" s="19">
        <f t="shared" si="4"/>
        <v>328643</v>
      </c>
      <c r="G98" s="19">
        <f t="shared" si="5"/>
        <v>0</v>
      </c>
      <c r="H98" s="23"/>
      <c r="I98" s="23"/>
      <c r="J98" s="23"/>
      <c r="K98" s="56"/>
      <c r="L98" s="56"/>
      <c r="M98" s="56"/>
      <c r="N98" s="56">
        <v>328643</v>
      </c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3"/>
      <c r="AI98" s="23"/>
      <c r="AJ98" s="23"/>
      <c r="AK98" s="23"/>
      <c r="AL98" s="22"/>
      <c r="AM98" s="22"/>
      <c r="AN98" s="22"/>
      <c r="AO98" s="22"/>
      <c r="AP98" s="22"/>
      <c r="AQ98" s="22"/>
      <c r="AR98" s="22"/>
    </row>
    <row r="99" spans="1:44" ht="16.5" thickBot="1" x14ac:dyDescent="0.3">
      <c r="A99" s="30" t="s">
        <v>195</v>
      </c>
      <c r="B99" s="31" t="s">
        <v>196</v>
      </c>
      <c r="C99" s="27">
        <v>384592</v>
      </c>
      <c r="D99" s="18"/>
      <c r="E99" s="19">
        <f t="shared" si="3"/>
        <v>384592</v>
      </c>
      <c r="F99" s="19">
        <f t="shared" si="4"/>
        <v>350350.75</v>
      </c>
      <c r="G99" s="19">
        <f t="shared" si="5"/>
        <v>34241.25</v>
      </c>
      <c r="H99" s="23"/>
      <c r="I99" s="23"/>
      <c r="J99" s="23"/>
      <c r="K99" s="56"/>
      <c r="L99" s="56"/>
      <c r="M99" s="56"/>
      <c r="N99" s="56"/>
      <c r="O99" s="23"/>
      <c r="P99" s="23"/>
      <c r="Q99" s="23"/>
      <c r="R99" s="23"/>
      <c r="S99" s="23"/>
      <c r="T99" s="23"/>
      <c r="U99" s="23">
        <v>190863.02</v>
      </c>
      <c r="V99" s="23"/>
      <c r="W99" s="23"/>
      <c r="X99" s="23"/>
      <c r="Y99" s="23">
        <v>159487.73000000001</v>
      </c>
      <c r="Z99" s="23"/>
      <c r="AA99" s="23"/>
      <c r="AB99" s="23"/>
      <c r="AC99" s="23"/>
      <c r="AD99" s="23"/>
      <c r="AE99" s="23"/>
      <c r="AF99" s="23"/>
      <c r="AG99" s="23"/>
      <c r="AH99" s="23"/>
      <c r="AI99" s="23"/>
      <c r="AJ99" s="23"/>
      <c r="AK99" s="23"/>
      <c r="AL99" s="22"/>
      <c r="AM99" s="22"/>
      <c r="AN99" s="22"/>
      <c r="AO99" s="22"/>
      <c r="AP99" s="22"/>
      <c r="AQ99" s="22"/>
      <c r="AR99" s="22"/>
    </row>
    <row r="100" spans="1:44" ht="16.5" thickBot="1" x14ac:dyDescent="0.3">
      <c r="A100" s="30" t="s">
        <v>197</v>
      </c>
      <c r="B100" s="31" t="s">
        <v>198</v>
      </c>
      <c r="C100" s="27">
        <v>8799789</v>
      </c>
      <c r="D100" s="18"/>
      <c r="E100" s="19">
        <f t="shared" si="3"/>
        <v>8799789</v>
      </c>
      <c r="F100" s="19">
        <f t="shared" si="4"/>
        <v>8741474.5199999996</v>
      </c>
      <c r="G100" s="19">
        <f t="shared" si="5"/>
        <v>58314.480000000447</v>
      </c>
      <c r="H100" s="23"/>
      <c r="I100" s="23"/>
      <c r="J100" s="23"/>
      <c r="K100" s="56"/>
      <c r="L100" s="56"/>
      <c r="M100" s="56"/>
      <c r="N100" s="56"/>
      <c r="O100" s="23"/>
      <c r="P100" s="23"/>
      <c r="Q100" s="23"/>
      <c r="R100" s="23">
        <v>8538706.7599999998</v>
      </c>
      <c r="S100" s="23"/>
      <c r="T100" s="23"/>
      <c r="U100" s="23">
        <v>26190.1</v>
      </c>
      <c r="V100" s="23"/>
      <c r="W100" s="23"/>
      <c r="X100" s="23">
        <v>49639.63</v>
      </c>
      <c r="Y100" s="23">
        <v>53442.29</v>
      </c>
      <c r="Z100" s="23"/>
      <c r="AA100" s="23">
        <v>73495.740000000005</v>
      </c>
      <c r="AB100" s="23"/>
      <c r="AC100" s="23"/>
      <c r="AD100" s="23"/>
      <c r="AE100" s="23"/>
      <c r="AF100" s="23"/>
      <c r="AG100" s="23"/>
      <c r="AH100" s="23"/>
      <c r="AI100" s="23"/>
      <c r="AJ100" s="23"/>
      <c r="AK100" s="23"/>
      <c r="AL100" s="22"/>
      <c r="AM100" s="22"/>
      <c r="AN100" s="22"/>
      <c r="AO100" s="22"/>
      <c r="AP100" s="22"/>
      <c r="AQ100" s="22"/>
      <c r="AR100" s="22"/>
    </row>
    <row r="101" spans="1:44" ht="16.5" thickBot="1" x14ac:dyDescent="0.3">
      <c r="A101" s="30" t="s">
        <v>199</v>
      </c>
      <c r="B101" s="31" t="s">
        <v>200</v>
      </c>
      <c r="C101" s="27">
        <v>5319874</v>
      </c>
      <c r="D101" s="18"/>
      <c r="E101" s="19">
        <f t="shared" si="3"/>
        <v>5319874</v>
      </c>
      <c r="F101" s="19">
        <f t="shared" si="4"/>
        <v>3852153.16</v>
      </c>
      <c r="G101" s="19">
        <f t="shared" si="5"/>
        <v>1467720.8399999999</v>
      </c>
      <c r="H101" s="23"/>
      <c r="I101" s="23"/>
      <c r="J101" s="23"/>
      <c r="K101" s="56"/>
      <c r="L101" s="56"/>
      <c r="M101" s="56"/>
      <c r="N101" s="56">
        <v>117303.79</v>
      </c>
      <c r="O101" s="23"/>
      <c r="P101" s="23"/>
      <c r="Q101" s="23"/>
      <c r="R101" s="23"/>
      <c r="S101" s="23"/>
      <c r="T101" s="23"/>
      <c r="U101" s="23">
        <v>2600242.7200000002</v>
      </c>
      <c r="V101" s="23"/>
      <c r="W101" s="23"/>
      <c r="X101" s="23"/>
      <c r="Y101" s="23"/>
      <c r="Z101" s="23">
        <v>1134606.6499999999</v>
      </c>
      <c r="AA101" s="23"/>
      <c r="AB101" s="23"/>
      <c r="AC101" s="23"/>
      <c r="AD101" s="23"/>
      <c r="AE101" s="23"/>
      <c r="AF101" s="23"/>
      <c r="AG101" s="23"/>
      <c r="AH101" s="23"/>
      <c r="AI101" s="23"/>
      <c r="AJ101" s="23"/>
      <c r="AK101" s="23"/>
      <c r="AL101" s="22"/>
      <c r="AM101" s="22"/>
      <c r="AN101" s="22"/>
      <c r="AO101" s="22"/>
      <c r="AP101" s="22"/>
      <c r="AQ101" s="22"/>
      <c r="AR101" s="22"/>
    </row>
    <row r="102" spans="1:44" ht="16.5" thickBot="1" x14ac:dyDescent="0.3">
      <c r="A102" s="30" t="s">
        <v>201</v>
      </c>
      <c r="B102" s="31" t="s">
        <v>202</v>
      </c>
      <c r="C102" s="27">
        <v>934041</v>
      </c>
      <c r="D102" s="18"/>
      <c r="E102" s="19">
        <f t="shared" si="3"/>
        <v>934041</v>
      </c>
      <c r="F102" s="19">
        <f t="shared" si="4"/>
        <v>862225.59</v>
      </c>
      <c r="G102" s="19">
        <f t="shared" si="5"/>
        <v>71815.410000000033</v>
      </c>
      <c r="H102" s="23"/>
      <c r="I102" s="23"/>
      <c r="J102" s="23"/>
      <c r="K102" s="56"/>
      <c r="L102" s="56"/>
      <c r="M102" s="56">
        <v>208910.09</v>
      </c>
      <c r="N102" s="56">
        <v>48578.1</v>
      </c>
      <c r="O102" s="23">
        <v>24150.99</v>
      </c>
      <c r="P102" s="23"/>
      <c r="Q102" s="23">
        <v>53005.73</v>
      </c>
      <c r="R102" s="23">
        <v>119236.42</v>
      </c>
      <c r="S102" s="23">
        <v>43339.48</v>
      </c>
      <c r="T102" s="23">
        <v>46211.25</v>
      </c>
      <c r="U102" s="23">
        <v>42117.919999999998</v>
      </c>
      <c r="V102" s="23"/>
      <c r="W102" s="23">
        <v>79648.490000000005</v>
      </c>
      <c r="X102" s="23">
        <v>47395.19</v>
      </c>
      <c r="Y102" s="23">
        <v>39724.410000000003</v>
      </c>
      <c r="Z102" s="23">
        <v>38653.040000000001</v>
      </c>
      <c r="AA102" s="23">
        <v>36147.06</v>
      </c>
      <c r="AB102" s="23">
        <v>35107.42</v>
      </c>
      <c r="AC102" s="23"/>
      <c r="AD102" s="23"/>
      <c r="AE102" s="23"/>
      <c r="AF102" s="23"/>
      <c r="AG102" s="23"/>
      <c r="AH102" s="23"/>
      <c r="AI102" s="23"/>
      <c r="AJ102" s="23"/>
      <c r="AK102" s="23"/>
      <c r="AL102" s="22"/>
      <c r="AM102" s="22"/>
      <c r="AN102" s="22"/>
      <c r="AO102" s="22"/>
      <c r="AP102" s="22"/>
      <c r="AQ102" s="22"/>
      <c r="AR102" s="22"/>
    </row>
    <row r="103" spans="1:44" ht="16.5" thickBot="1" x14ac:dyDescent="0.3">
      <c r="A103" s="30" t="s">
        <v>203</v>
      </c>
      <c r="B103" s="31" t="s">
        <v>204</v>
      </c>
      <c r="C103" s="27">
        <v>1361611</v>
      </c>
      <c r="D103" s="18"/>
      <c r="E103" s="19">
        <f t="shared" si="3"/>
        <v>1361611</v>
      </c>
      <c r="F103" s="19">
        <f t="shared" si="4"/>
        <v>866280.65000000014</v>
      </c>
      <c r="G103" s="19">
        <f t="shared" si="5"/>
        <v>495330.34999999986</v>
      </c>
      <c r="H103" s="23"/>
      <c r="I103" s="23"/>
      <c r="J103" s="23"/>
      <c r="K103" s="56"/>
      <c r="L103" s="56"/>
      <c r="M103" s="56"/>
      <c r="N103" s="56"/>
      <c r="O103" s="23">
        <v>140548.91</v>
      </c>
      <c r="P103" s="23"/>
      <c r="Q103" s="23">
        <v>162922.47</v>
      </c>
      <c r="R103" s="23"/>
      <c r="S103" s="23">
        <f>61078.1+175715.59</f>
        <v>236793.69</v>
      </c>
      <c r="T103" s="23"/>
      <c r="U103" s="23">
        <v>55716.18</v>
      </c>
      <c r="V103" s="23"/>
      <c r="W103" s="23"/>
      <c r="X103" s="23"/>
      <c r="Y103" s="23">
        <v>270299.40000000002</v>
      </c>
      <c r="Z103" s="23"/>
      <c r="AA103" s="23"/>
      <c r="AB103" s="23"/>
      <c r="AC103" s="23"/>
      <c r="AD103" s="23"/>
      <c r="AE103" s="23"/>
      <c r="AF103" s="23"/>
      <c r="AG103" s="23"/>
      <c r="AH103" s="23"/>
      <c r="AI103" s="23"/>
      <c r="AJ103" s="23"/>
      <c r="AK103" s="23"/>
      <c r="AL103" s="22"/>
      <c r="AM103" s="22"/>
      <c r="AN103" s="22"/>
      <c r="AO103" s="22"/>
      <c r="AP103" s="22"/>
      <c r="AQ103" s="22"/>
      <c r="AR103" s="22"/>
    </row>
    <row r="104" spans="1:44" ht="16.5" thickBot="1" x14ac:dyDescent="0.3">
      <c r="A104" s="30" t="s">
        <v>205</v>
      </c>
      <c r="B104" s="31" t="s">
        <v>206</v>
      </c>
      <c r="C104" s="27">
        <v>127268</v>
      </c>
      <c r="D104" s="18"/>
      <c r="E104" s="19">
        <f t="shared" si="3"/>
        <v>127268</v>
      </c>
      <c r="F104" s="19">
        <f t="shared" si="4"/>
        <v>57169.11</v>
      </c>
      <c r="G104" s="19">
        <f t="shared" si="5"/>
        <v>70098.89</v>
      </c>
      <c r="H104" s="23"/>
      <c r="I104" s="23"/>
      <c r="J104" s="23"/>
      <c r="K104" s="56"/>
      <c r="L104" s="56"/>
      <c r="M104" s="56"/>
      <c r="N104" s="56"/>
      <c r="O104" s="23"/>
      <c r="P104" s="23"/>
      <c r="Q104" s="23"/>
      <c r="R104" s="23"/>
      <c r="S104" s="23"/>
      <c r="T104" s="23"/>
      <c r="U104" s="23">
        <v>38180.400000000001</v>
      </c>
      <c r="V104" s="23"/>
      <c r="W104" s="23"/>
      <c r="X104" s="23">
        <v>7524.46</v>
      </c>
      <c r="Y104" s="23">
        <v>11464.25</v>
      </c>
      <c r="Z104" s="23"/>
      <c r="AA104" s="23"/>
      <c r="AB104" s="23"/>
      <c r="AC104" s="23"/>
      <c r="AD104" s="23"/>
      <c r="AE104" s="23"/>
      <c r="AF104" s="23"/>
      <c r="AG104" s="23"/>
      <c r="AH104" s="23"/>
      <c r="AI104" s="23"/>
      <c r="AJ104" s="23"/>
      <c r="AK104" s="23"/>
      <c r="AL104" s="22"/>
      <c r="AM104" s="22"/>
      <c r="AN104" s="22"/>
      <c r="AO104" s="22"/>
      <c r="AP104" s="22"/>
      <c r="AQ104" s="22"/>
      <c r="AR104" s="22"/>
    </row>
    <row r="105" spans="1:44" ht="16.5" thickBot="1" x14ac:dyDescent="0.3">
      <c r="A105" s="30" t="s">
        <v>207</v>
      </c>
      <c r="B105" s="31" t="s">
        <v>208</v>
      </c>
      <c r="C105" s="27">
        <v>278019</v>
      </c>
      <c r="D105" s="18"/>
      <c r="E105" s="19">
        <f t="shared" si="3"/>
        <v>278019</v>
      </c>
      <c r="F105" s="19">
        <f t="shared" si="4"/>
        <v>0</v>
      </c>
      <c r="G105" s="19">
        <f t="shared" si="5"/>
        <v>278019</v>
      </c>
      <c r="H105" s="23"/>
      <c r="I105" s="23"/>
      <c r="J105" s="23"/>
      <c r="K105" s="56"/>
      <c r="L105" s="56"/>
      <c r="M105" s="56"/>
      <c r="N105" s="56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  <c r="AG105" s="23"/>
      <c r="AH105" s="23"/>
      <c r="AI105" s="23"/>
      <c r="AJ105" s="23"/>
      <c r="AK105" s="23"/>
      <c r="AL105" s="22"/>
      <c r="AM105" s="22"/>
      <c r="AN105" s="22"/>
      <c r="AO105" s="22"/>
      <c r="AP105" s="22"/>
      <c r="AQ105" s="22"/>
      <c r="AR105" s="22"/>
    </row>
    <row r="106" spans="1:44" ht="16.5" thickBot="1" x14ac:dyDescent="0.3">
      <c r="A106" s="30" t="s">
        <v>209</v>
      </c>
      <c r="B106" s="31" t="s">
        <v>210</v>
      </c>
      <c r="C106" s="27">
        <v>239326</v>
      </c>
      <c r="D106" s="18"/>
      <c r="E106" s="19">
        <f t="shared" si="3"/>
        <v>239326</v>
      </c>
      <c r="F106" s="19">
        <f t="shared" si="4"/>
        <v>235042</v>
      </c>
      <c r="G106" s="19">
        <f t="shared" si="5"/>
        <v>4284</v>
      </c>
      <c r="H106" s="23"/>
      <c r="I106" s="23"/>
      <c r="J106" s="23"/>
      <c r="K106" s="56"/>
      <c r="L106" s="56"/>
      <c r="M106" s="56"/>
      <c r="N106" s="56"/>
      <c r="O106" s="23"/>
      <c r="P106" s="23"/>
      <c r="Q106" s="23"/>
      <c r="R106" s="23">
        <v>42461</v>
      </c>
      <c r="S106" s="23">
        <v>11750</v>
      </c>
      <c r="T106" s="23">
        <v>149990</v>
      </c>
      <c r="U106" s="23"/>
      <c r="V106" s="23"/>
      <c r="W106" s="23"/>
      <c r="X106" s="23"/>
      <c r="Y106" s="23">
        <v>30841</v>
      </c>
      <c r="Z106" s="23"/>
      <c r="AA106" s="23"/>
      <c r="AB106" s="23"/>
      <c r="AC106" s="23"/>
      <c r="AD106" s="23"/>
      <c r="AE106" s="23"/>
      <c r="AF106" s="23"/>
      <c r="AG106" s="23"/>
      <c r="AH106" s="23"/>
      <c r="AI106" s="23"/>
      <c r="AJ106" s="23"/>
      <c r="AK106" s="23"/>
      <c r="AL106" s="22"/>
      <c r="AM106" s="22"/>
      <c r="AN106" s="22"/>
      <c r="AO106" s="22"/>
      <c r="AP106" s="22"/>
      <c r="AQ106" s="22"/>
      <c r="AR106" s="22"/>
    </row>
    <row r="107" spans="1:44" ht="16.5" thickBot="1" x14ac:dyDescent="0.3">
      <c r="A107" s="30" t="s">
        <v>211</v>
      </c>
      <c r="B107" s="31" t="s">
        <v>212</v>
      </c>
      <c r="C107" s="27">
        <v>99427</v>
      </c>
      <c r="D107" s="18"/>
      <c r="E107" s="19">
        <f t="shared" si="3"/>
        <v>99427</v>
      </c>
      <c r="F107" s="19">
        <f t="shared" si="4"/>
        <v>99427</v>
      </c>
      <c r="G107" s="19">
        <f t="shared" si="5"/>
        <v>0</v>
      </c>
      <c r="H107" s="23"/>
      <c r="I107" s="23"/>
      <c r="J107" s="23"/>
      <c r="K107" s="56"/>
      <c r="L107" s="56"/>
      <c r="M107" s="56">
        <v>86630</v>
      </c>
      <c r="N107" s="56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>
        <v>12797</v>
      </c>
      <c r="Z107" s="23"/>
      <c r="AA107" s="23"/>
      <c r="AB107" s="23"/>
      <c r="AC107" s="23"/>
      <c r="AD107" s="23"/>
      <c r="AE107" s="23"/>
      <c r="AF107" s="23"/>
      <c r="AG107" s="23"/>
      <c r="AH107" s="23"/>
      <c r="AI107" s="23"/>
      <c r="AJ107" s="23"/>
      <c r="AK107" s="23"/>
      <c r="AL107" s="22"/>
      <c r="AM107" s="22"/>
      <c r="AN107" s="22"/>
      <c r="AO107" s="22"/>
      <c r="AP107" s="22"/>
      <c r="AQ107" s="22"/>
      <c r="AR107" s="22"/>
    </row>
    <row r="108" spans="1:44" ht="16.5" thickBot="1" x14ac:dyDescent="0.3">
      <c r="A108" s="30" t="s">
        <v>213</v>
      </c>
      <c r="B108" s="31" t="s">
        <v>214</v>
      </c>
      <c r="C108" s="27">
        <v>4487</v>
      </c>
      <c r="D108" s="18"/>
      <c r="E108" s="19">
        <f t="shared" si="3"/>
        <v>4487</v>
      </c>
      <c r="F108" s="19">
        <f t="shared" si="4"/>
        <v>4487</v>
      </c>
      <c r="G108" s="19">
        <f t="shared" si="5"/>
        <v>0</v>
      </c>
      <c r="H108" s="23"/>
      <c r="I108" s="23"/>
      <c r="J108" s="23"/>
      <c r="K108" s="56"/>
      <c r="L108" s="56"/>
      <c r="M108" s="56"/>
      <c r="N108" s="56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  <c r="AA108" s="23">
        <v>4000</v>
      </c>
      <c r="AB108" s="23">
        <v>487</v>
      </c>
      <c r="AC108" s="23"/>
      <c r="AD108" s="23"/>
      <c r="AE108" s="23"/>
      <c r="AF108" s="23"/>
      <c r="AG108" s="23"/>
      <c r="AH108" s="23"/>
      <c r="AI108" s="23"/>
      <c r="AJ108" s="23"/>
      <c r="AK108" s="23"/>
      <c r="AL108" s="22"/>
      <c r="AM108" s="22"/>
      <c r="AN108" s="22"/>
      <c r="AO108" s="22"/>
      <c r="AP108" s="22"/>
      <c r="AQ108" s="22"/>
      <c r="AR108" s="22"/>
    </row>
    <row r="109" spans="1:44" ht="16.5" thickBot="1" x14ac:dyDescent="0.3">
      <c r="A109" s="30" t="s">
        <v>215</v>
      </c>
      <c r="B109" s="31" t="s">
        <v>216</v>
      </c>
      <c r="C109" s="27">
        <v>122834</v>
      </c>
      <c r="D109" s="18"/>
      <c r="E109" s="19">
        <f t="shared" si="3"/>
        <v>122834</v>
      </c>
      <c r="F109" s="19">
        <f t="shared" si="4"/>
        <v>60827.85</v>
      </c>
      <c r="G109" s="19">
        <f t="shared" si="5"/>
        <v>62006.15</v>
      </c>
      <c r="H109" s="23"/>
      <c r="I109" s="23"/>
      <c r="J109" s="23"/>
      <c r="K109" s="56"/>
      <c r="L109" s="56"/>
      <c r="M109" s="56">
        <v>14641</v>
      </c>
      <c r="N109" s="56"/>
      <c r="O109" s="23"/>
      <c r="P109" s="23"/>
      <c r="Q109" s="23"/>
      <c r="R109" s="23"/>
      <c r="S109" s="23"/>
      <c r="T109" s="23"/>
      <c r="U109" s="23"/>
      <c r="V109" s="23"/>
      <c r="W109" s="23"/>
      <c r="X109" s="23">
        <v>25906.85</v>
      </c>
      <c r="Y109" s="23"/>
      <c r="Z109" s="23"/>
      <c r="AA109" s="23">
        <v>20280</v>
      </c>
      <c r="AB109" s="23"/>
      <c r="AC109" s="23"/>
      <c r="AD109" s="23"/>
      <c r="AE109" s="23"/>
      <c r="AF109" s="23"/>
      <c r="AG109" s="23"/>
      <c r="AH109" s="23"/>
      <c r="AI109" s="23"/>
      <c r="AJ109" s="23"/>
      <c r="AK109" s="23"/>
      <c r="AL109" s="22"/>
      <c r="AM109" s="22"/>
      <c r="AN109" s="22"/>
      <c r="AO109" s="22"/>
      <c r="AP109" s="22"/>
      <c r="AQ109" s="22"/>
      <c r="AR109" s="22"/>
    </row>
    <row r="110" spans="1:44" ht="16.5" thickBot="1" x14ac:dyDescent="0.3">
      <c r="A110" s="30" t="s">
        <v>217</v>
      </c>
      <c r="B110" s="31" t="s">
        <v>218</v>
      </c>
      <c r="C110" s="27">
        <v>346793</v>
      </c>
      <c r="D110" s="18"/>
      <c r="E110" s="19">
        <f t="shared" si="3"/>
        <v>346793</v>
      </c>
      <c r="F110" s="19">
        <f t="shared" si="4"/>
        <v>346793</v>
      </c>
      <c r="G110" s="19">
        <f t="shared" si="5"/>
        <v>0</v>
      </c>
      <c r="H110" s="23"/>
      <c r="I110" s="23"/>
      <c r="J110" s="23"/>
      <c r="K110" s="56"/>
      <c r="L110" s="56"/>
      <c r="M110" s="56"/>
      <c r="N110" s="56"/>
      <c r="O110" s="23"/>
      <c r="P110" s="23"/>
      <c r="Q110" s="23"/>
      <c r="R110" s="23"/>
      <c r="S110" s="23"/>
      <c r="T110" s="23"/>
      <c r="U110" s="23">
        <v>346793</v>
      </c>
      <c r="V110" s="23"/>
      <c r="W110" s="23"/>
      <c r="X110" s="23"/>
      <c r="Y110" s="23"/>
      <c r="Z110" s="23"/>
      <c r="AA110" s="23"/>
      <c r="AB110" s="23"/>
      <c r="AC110" s="23"/>
      <c r="AD110" s="23"/>
      <c r="AE110" s="23"/>
      <c r="AF110" s="23"/>
      <c r="AG110" s="23"/>
      <c r="AH110" s="23"/>
      <c r="AI110" s="23"/>
      <c r="AJ110" s="23"/>
      <c r="AK110" s="23"/>
      <c r="AL110" s="22"/>
      <c r="AM110" s="22"/>
      <c r="AN110" s="22"/>
      <c r="AO110" s="22"/>
      <c r="AP110" s="22"/>
      <c r="AQ110" s="22"/>
      <c r="AR110" s="22"/>
    </row>
    <row r="111" spans="1:44" ht="16.5" thickBot="1" x14ac:dyDescent="0.3">
      <c r="A111" s="30" t="s">
        <v>219</v>
      </c>
      <c r="B111" s="31" t="s">
        <v>220</v>
      </c>
      <c r="C111" s="27">
        <v>79149</v>
      </c>
      <c r="D111" s="18"/>
      <c r="E111" s="19">
        <f t="shared" si="3"/>
        <v>79149</v>
      </c>
      <c r="F111" s="19">
        <f t="shared" si="4"/>
        <v>66387.3</v>
      </c>
      <c r="G111" s="19">
        <f t="shared" si="5"/>
        <v>12761.699999999997</v>
      </c>
      <c r="H111" s="23"/>
      <c r="I111" s="23"/>
      <c r="J111" s="23"/>
      <c r="K111" s="56"/>
      <c r="L111" s="56"/>
      <c r="M111" s="56"/>
      <c r="N111" s="56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>
        <v>66387.3</v>
      </c>
      <c r="Z111" s="23"/>
      <c r="AA111" s="23"/>
      <c r="AB111" s="23"/>
      <c r="AC111" s="23"/>
      <c r="AD111" s="23"/>
      <c r="AE111" s="23"/>
      <c r="AF111" s="23"/>
      <c r="AG111" s="23"/>
      <c r="AH111" s="23"/>
      <c r="AI111" s="23"/>
      <c r="AJ111" s="23"/>
      <c r="AK111" s="23"/>
      <c r="AL111" s="22"/>
      <c r="AM111" s="22"/>
      <c r="AN111" s="22"/>
      <c r="AO111" s="22"/>
      <c r="AP111" s="22"/>
      <c r="AQ111" s="22"/>
      <c r="AR111" s="22"/>
    </row>
    <row r="112" spans="1:44" ht="16.5" thickBot="1" x14ac:dyDescent="0.3">
      <c r="A112" s="30" t="s">
        <v>221</v>
      </c>
      <c r="B112" s="31" t="s">
        <v>222</v>
      </c>
      <c r="C112" s="27">
        <v>1488049</v>
      </c>
      <c r="D112" s="18"/>
      <c r="E112" s="19">
        <f t="shared" si="3"/>
        <v>1488049</v>
      </c>
      <c r="F112" s="19">
        <f t="shared" si="4"/>
        <v>606443.02</v>
      </c>
      <c r="G112" s="19">
        <f t="shared" si="5"/>
        <v>881605.98</v>
      </c>
      <c r="H112" s="23"/>
      <c r="I112" s="23"/>
      <c r="J112" s="23"/>
      <c r="K112" s="56"/>
      <c r="L112" s="56"/>
      <c r="M112" s="56"/>
      <c r="N112" s="56"/>
      <c r="O112" s="23"/>
      <c r="P112" s="23"/>
      <c r="Q112" s="23"/>
      <c r="R112" s="23"/>
      <c r="S112" s="23"/>
      <c r="T112" s="23"/>
      <c r="U112" s="23"/>
      <c r="V112" s="23"/>
      <c r="W112" s="23">
        <v>43941.63</v>
      </c>
      <c r="X112" s="23">
        <v>562501.39</v>
      </c>
      <c r="Y112" s="23"/>
      <c r="Z112" s="23"/>
      <c r="AA112" s="23"/>
      <c r="AB112" s="23"/>
      <c r="AC112" s="23"/>
      <c r="AD112" s="23"/>
      <c r="AE112" s="23"/>
      <c r="AF112" s="23"/>
      <c r="AG112" s="23"/>
      <c r="AH112" s="23"/>
      <c r="AI112" s="23"/>
      <c r="AJ112" s="23"/>
      <c r="AK112" s="23"/>
      <c r="AL112" s="22"/>
      <c r="AM112" s="22"/>
      <c r="AN112" s="22"/>
      <c r="AO112" s="22"/>
      <c r="AP112" s="22"/>
      <c r="AQ112" s="22"/>
      <c r="AR112" s="22"/>
    </row>
    <row r="113" spans="1:44" ht="16.5" thickBot="1" x14ac:dyDescent="0.3">
      <c r="A113" s="30" t="s">
        <v>223</v>
      </c>
      <c r="B113" s="31" t="s">
        <v>224</v>
      </c>
      <c r="C113" s="27">
        <v>85826</v>
      </c>
      <c r="D113" s="18"/>
      <c r="E113" s="19">
        <f t="shared" si="3"/>
        <v>85826</v>
      </c>
      <c r="F113" s="19">
        <f t="shared" si="4"/>
        <v>0</v>
      </c>
      <c r="G113" s="19">
        <f t="shared" si="5"/>
        <v>85826</v>
      </c>
      <c r="H113" s="23"/>
      <c r="I113" s="23"/>
      <c r="J113" s="23"/>
      <c r="K113" s="56"/>
      <c r="L113" s="56"/>
      <c r="M113" s="56"/>
      <c r="N113" s="56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3"/>
      <c r="AA113" s="23"/>
      <c r="AB113" s="23"/>
      <c r="AC113" s="23"/>
      <c r="AD113" s="23"/>
      <c r="AE113" s="23"/>
      <c r="AF113" s="23"/>
      <c r="AG113" s="23"/>
      <c r="AH113" s="23"/>
      <c r="AI113" s="23"/>
      <c r="AJ113" s="23"/>
      <c r="AK113" s="23"/>
      <c r="AL113" s="22"/>
      <c r="AM113" s="22"/>
      <c r="AN113" s="22"/>
      <c r="AO113" s="22"/>
      <c r="AP113" s="22"/>
      <c r="AQ113" s="22"/>
      <c r="AR113" s="22"/>
    </row>
    <row r="114" spans="1:44" ht="16.5" thickBot="1" x14ac:dyDescent="0.3">
      <c r="A114" s="30" t="s">
        <v>225</v>
      </c>
      <c r="B114" s="31" t="s">
        <v>226</v>
      </c>
      <c r="C114" s="27">
        <v>68458</v>
      </c>
      <c r="D114" s="18"/>
      <c r="E114" s="19">
        <f t="shared" si="3"/>
        <v>68458</v>
      </c>
      <c r="F114" s="19">
        <f t="shared" si="4"/>
        <v>68458</v>
      </c>
      <c r="G114" s="19">
        <f t="shared" si="5"/>
        <v>0</v>
      </c>
      <c r="H114" s="23"/>
      <c r="I114" s="23"/>
      <c r="J114" s="23"/>
      <c r="K114" s="56"/>
      <c r="L114" s="56"/>
      <c r="M114" s="56">
        <v>68458</v>
      </c>
      <c r="N114" s="56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  <c r="AA114" s="23"/>
      <c r="AB114" s="23"/>
      <c r="AC114" s="23"/>
      <c r="AD114" s="23"/>
      <c r="AE114" s="23"/>
      <c r="AF114" s="23"/>
      <c r="AG114" s="23"/>
      <c r="AH114" s="23"/>
      <c r="AI114" s="23"/>
      <c r="AJ114" s="23"/>
      <c r="AK114" s="23"/>
      <c r="AL114" s="22"/>
      <c r="AM114" s="22"/>
      <c r="AN114" s="22"/>
      <c r="AO114" s="22"/>
      <c r="AP114" s="22"/>
      <c r="AQ114" s="22"/>
      <c r="AR114" s="22"/>
    </row>
    <row r="115" spans="1:44" ht="16.5" thickBot="1" x14ac:dyDescent="0.3">
      <c r="A115" s="30" t="s">
        <v>227</v>
      </c>
      <c r="B115" s="31" t="s">
        <v>228</v>
      </c>
      <c r="C115" s="27">
        <v>60183</v>
      </c>
      <c r="D115" s="18"/>
      <c r="E115" s="19">
        <f t="shared" si="3"/>
        <v>60183</v>
      </c>
      <c r="F115" s="19">
        <f t="shared" si="4"/>
        <v>60183</v>
      </c>
      <c r="G115" s="19">
        <f t="shared" si="5"/>
        <v>0</v>
      </c>
      <c r="H115" s="23"/>
      <c r="I115" s="23"/>
      <c r="J115" s="23"/>
      <c r="K115" s="56"/>
      <c r="L115" s="56"/>
      <c r="M115" s="56"/>
      <c r="N115" s="56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>
        <v>60183</v>
      </c>
      <c r="Z115" s="23"/>
      <c r="AA115" s="23"/>
      <c r="AB115" s="23"/>
      <c r="AC115" s="23"/>
      <c r="AD115" s="23"/>
      <c r="AE115" s="23"/>
      <c r="AF115" s="23"/>
      <c r="AG115" s="23"/>
      <c r="AH115" s="23"/>
      <c r="AI115" s="23"/>
      <c r="AJ115" s="23"/>
      <c r="AK115" s="23"/>
      <c r="AL115" s="22"/>
      <c r="AM115" s="22"/>
      <c r="AN115" s="22"/>
      <c r="AO115" s="22"/>
      <c r="AP115" s="22"/>
      <c r="AQ115" s="22"/>
      <c r="AR115" s="22"/>
    </row>
    <row r="116" spans="1:44" ht="16.5" thickBot="1" x14ac:dyDescent="0.3">
      <c r="A116" s="30" t="s">
        <v>229</v>
      </c>
      <c r="B116" s="31" t="s">
        <v>230</v>
      </c>
      <c r="C116" s="27">
        <v>56369</v>
      </c>
      <c r="D116" s="18"/>
      <c r="E116" s="19">
        <f t="shared" si="3"/>
        <v>56369</v>
      </c>
      <c r="F116" s="19">
        <f t="shared" si="4"/>
        <v>56369</v>
      </c>
      <c r="G116" s="19">
        <f t="shared" si="5"/>
        <v>0</v>
      </c>
      <c r="H116" s="23"/>
      <c r="I116" s="23"/>
      <c r="J116" s="23"/>
      <c r="K116" s="56"/>
      <c r="L116" s="56"/>
      <c r="M116" s="56"/>
      <c r="N116" s="56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>
        <v>56369</v>
      </c>
      <c r="Z116" s="23"/>
      <c r="AA116" s="23"/>
      <c r="AB116" s="23"/>
      <c r="AC116" s="23"/>
      <c r="AD116" s="23"/>
      <c r="AE116" s="23"/>
      <c r="AF116" s="23"/>
      <c r="AG116" s="23"/>
      <c r="AH116" s="23"/>
      <c r="AI116" s="23"/>
      <c r="AJ116" s="23"/>
      <c r="AK116" s="23"/>
      <c r="AL116" s="22"/>
      <c r="AM116" s="22"/>
      <c r="AN116" s="22"/>
      <c r="AO116" s="22"/>
      <c r="AP116" s="22"/>
      <c r="AQ116" s="22"/>
      <c r="AR116" s="22"/>
    </row>
    <row r="117" spans="1:44" ht="16.5" thickBot="1" x14ac:dyDescent="0.3">
      <c r="A117" s="30" t="s">
        <v>231</v>
      </c>
      <c r="B117" s="31" t="s">
        <v>232</v>
      </c>
      <c r="C117" s="27">
        <v>254695</v>
      </c>
      <c r="D117" s="18"/>
      <c r="E117" s="19">
        <f t="shared" si="3"/>
        <v>254695</v>
      </c>
      <c r="F117" s="19">
        <f t="shared" si="4"/>
        <v>202757.74000000002</v>
      </c>
      <c r="G117" s="19">
        <f t="shared" si="5"/>
        <v>51937.25999999998</v>
      </c>
      <c r="H117" s="23"/>
      <c r="I117" s="23"/>
      <c r="J117" s="23"/>
      <c r="K117" s="56"/>
      <c r="L117" s="56"/>
      <c r="M117" s="56"/>
      <c r="N117" s="56"/>
      <c r="O117" s="23"/>
      <c r="P117" s="23"/>
      <c r="Q117" s="23"/>
      <c r="R117" s="23"/>
      <c r="S117" s="23"/>
      <c r="T117" s="23"/>
      <c r="U117" s="23">
        <f>11601+154427.41</f>
        <v>166028.41</v>
      </c>
      <c r="V117" s="23"/>
      <c r="W117" s="23">
        <v>17308.099999999999</v>
      </c>
      <c r="X117" s="23">
        <v>19421.23</v>
      </c>
      <c r="Y117" s="23"/>
      <c r="Z117" s="23"/>
      <c r="AA117" s="23"/>
      <c r="AB117" s="23"/>
      <c r="AC117" s="23"/>
      <c r="AD117" s="23"/>
      <c r="AE117" s="23"/>
      <c r="AF117" s="23"/>
      <c r="AG117" s="23"/>
      <c r="AH117" s="23"/>
      <c r="AI117" s="23"/>
      <c r="AJ117" s="23"/>
      <c r="AK117" s="23"/>
      <c r="AL117" s="22"/>
      <c r="AM117" s="22"/>
      <c r="AN117" s="22"/>
      <c r="AO117" s="22"/>
      <c r="AP117" s="22"/>
      <c r="AQ117" s="22"/>
      <c r="AR117" s="22"/>
    </row>
    <row r="118" spans="1:44" ht="16.5" thickBot="1" x14ac:dyDescent="0.3">
      <c r="A118" s="30" t="s">
        <v>233</v>
      </c>
      <c r="B118" s="31" t="s">
        <v>234</v>
      </c>
      <c r="C118" s="27">
        <v>20262726</v>
      </c>
      <c r="D118" s="18"/>
      <c r="E118" s="19">
        <f t="shared" si="3"/>
        <v>20262726</v>
      </c>
      <c r="F118" s="19">
        <f t="shared" si="4"/>
        <v>20109166.640000004</v>
      </c>
      <c r="G118" s="19">
        <f t="shared" si="5"/>
        <v>153559.35999999568</v>
      </c>
      <c r="H118" s="23"/>
      <c r="I118" s="23"/>
      <c r="J118" s="23"/>
      <c r="K118" s="56"/>
      <c r="L118" s="56"/>
      <c r="M118" s="56"/>
      <c r="N118" s="56">
        <v>12013816.77</v>
      </c>
      <c r="O118" s="23">
        <v>215319.45</v>
      </c>
      <c r="P118" s="23">
        <v>238097.88</v>
      </c>
      <c r="Q118" s="23">
        <f>2300252.35+906584.77</f>
        <v>3206837.12</v>
      </c>
      <c r="R118" s="23">
        <v>522740.49</v>
      </c>
      <c r="S118" s="23">
        <v>504344.44</v>
      </c>
      <c r="T118" s="23">
        <v>2502533.19</v>
      </c>
      <c r="U118" s="23">
        <v>271936.76</v>
      </c>
      <c r="V118" s="23">
        <v>25438.68</v>
      </c>
      <c r="W118" s="23">
        <v>31678.48</v>
      </c>
      <c r="X118" s="23">
        <v>24262.63</v>
      </c>
      <c r="Y118" s="23">
        <v>22157</v>
      </c>
      <c r="Z118" s="23">
        <v>11802.71</v>
      </c>
      <c r="AA118" s="23">
        <v>2989.87</v>
      </c>
      <c r="AB118" s="23">
        <f>502461.27+12749.9</f>
        <v>515211.17000000004</v>
      </c>
      <c r="AC118" s="23"/>
      <c r="AD118" s="23"/>
      <c r="AE118" s="23"/>
      <c r="AF118" s="23"/>
      <c r="AG118" s="23"/>
      <c r="AH118" s="23"/>
      <c r="AI118" s="23"/>
      <c r="AJ118" s="23"/>
      <c r="AK118" s="23"/>
      <c r="AL118" s="22"/>
      <c r="AM118" s="22"/>
      <c r="AN118" s="22"/>
      <c r="AO118" s="22"/>
      <c r="AP118" s="22"/>
      <c r="AQ118" s="22"/>
      <c r="AR118" s="22"/>
    </row>
    <row r="119" spans="1:44" ht="16.5" thickBot="1" x14ac:dyDescent="0.3">
      <c r="A119" s="30" t="s">
        <v>235</v>
      </c>
      <c r="B119" s="31" t="s">
        <v>236</v>
      </c>
      <c r="C119" s="27">
        <v>42373</v>
      </c>
      <c r="D119" s="18"/>
      <c r="E119" s="19">
        <f t="shared" si="3"/>
        <v>42373</v>
      </c>
      <c r="F119" s="19">
        <f t="shared" si="4"/>
        <v>41669.85</v>
      </c>
      <c r="G119" s="19">
        <f t="shared" si="5"/>
        <v>703.15000000000146</v>
      </c>
      <c r="H119" s="23"/>
      <c r="I119" s="23"/>
      <c r="J119" s="23"/>
      <c r="K119" s="56"/>
      <c r="L119" s="56"/>
      <c r="M119" s="56"/>
      <c r="N119" s="56"/>
      <c r="O119" s="23"/>
      <c r="P119" s="23"/>
      <c r="Q119" s="23">
        <f>3942.23+6725.75</f>
        <v>10667.98</v>
      </c>
      <c r="R119" s="23">
        <v>11597.32</v>
      </c>
      <c r="S119" s="23"/>
      <c r="T119" s="23">
        <f>9086.85-2426.5</f>
        <v>6660.35</v>
      </c>
      <c r="U119" s="23"/>
      <c r="V119" s="23"/>
      <c r="W119" s="23"/>
      <c r="X119" s="23">
        <v>5340.85</v>
      </c>
      <c r="Y119" s="23">
        <v>7403.35</v>
      </c>
      <c r="Z119" s="23"/>
      <c r="AA119" s="23"/>
      <c r="AB119" s="23"/>
      <c r="AC119" s="23"/>
      <c r="AD119" s="23"/>
      <c r="AE119" s="23"/>
      <c r="AF119" s="23"/>
      <c r="AG119" s="23"/>
      <c r="AH119" s="23"/>
      <c r="AI119" s="23"/>
      <c r="AJ119" s="23"/>
      <c r="AK119" s="23"/>
      <c r="AL119" s="22"/>
      <c r="AM119" s="22"/>
      <c r="AN119" s="22"/>
      <c r="AO119" s="22"/>
      <c r="AP119" s="22"/>
      <c r="AQ119" s="22"/>
      <c r="AR119" s="22"/>
    </row>
    <row r="120" spans="1:44" ht="16.5" thickBot="1" x14ac:dyDescent="0.3">
      <c r="A120" s="30" t="s">
        <v>237</v>
      </c>
      <c r="B120" s="31" t="s">
        <v>238</v>
      </c>
      <c r="C120" s="27">
        <v>1300630</v>
      </c>
      <c r="D120" s="18"/>
      <c r="E120" s="19">
        <f t="shared" si="3"/>
        <v>1300630</v>
      </c>
      <c r="F120" s="19">
        <f t="shared" si="4"/>
        <v>1300630</v>
      </c>
      <c r="G120" s="19">
        <f t="shared" si="5"/>
        <v>0</v>
      </c>
      <c r="H120" s="23"/>
      <c r="I120" s="23"/>
      <c r="J120" s="23"/>
      <c r="K120" s="56"/>
      <c r="L120" s="56"/>
      <c r="M120" s="56"/>
      <c r="N120" s="56"/>
      <c r="O120" s="23"/>
      <c r="P120" s="23"/>
      <c r="Q120" s="23"/>
      <c r="R120" s="23"/>
      <c r="S120" s="23"/>
      <c r="T120" s="23"/>
      <c r="U120" s="23">
        <v>1300630</v>
      </c>
      <c r="V120" s="23"/>
      <c r="W120" s="23"/>
      <c r="X120" s="23"/>
      <c r="Y120" s="23"/>
      <c r="Z120" s="23"/>
      <c r="AA120" s="23"/>
      <c r="AB120" s="23"/>
      <c r="AC120" s="23"/>
      <c r="AD120" s="23"/>
      <c r="AE120" s="23"/>
      <c r="AF120" s="23"/>
      <c r="AG120" s="23"/>
      <c r="AH120" s="23"/>
      <c r="AI120" s="23"/>
      <c r="AJ120" s="23"/>
      <c r="AK120" s="23"/>
      <c r="AL120" s="22"/>
      <c r="AM120" s="22"/>
      <c r="AN120" s="22"/>
      <c r="AO120" s="22"/>
      <c r="AP120" s="22"/>
      <c r="AQ120" s="22"/>
      <c r="AR120" s="22"/>
    </row>
    <row r="121" spans="1:44" ht="16.5" thickBot="1" x14ac:dyDescent="0.3">
      <c r="A121" s="30" t="s">
        <v>239</v>
      </c>
      <c r="B121" s="31" t="s">
        <v>240</v>
      </c>
      <c r="C121" s="27">
        <v>4338830</v>
      </c>
      <c r="D121" s="18"/>
      <c r="E121" s="19">
        <f t="shared" si="3"/>
        <v>4338830</v>
      </c>
      <c r="F121" s="19">
        <f t="shared" si="4"/>
        <v>1102586.78</v>
      </c>
      <c r="G121" s="19">
        <f t="shared" si="5"/>
        <v>3236243.2199999997</v>
      </c>
      <c r="H121" s="23"/>
      <c r="I121" s="23"/>
      <c r="J121" s="23"/>
      <c r="K121" s="56"/>
      <c r="L121" s="56"/>
      <c r="M121" s="56"/>
      <c r="N121" s="56">
        <v>92774.06</v>
      </c>
      <c r="O121" s="23">
        <v>357175.41</v>
      </c>
      <c r="P121" s="23">
        <v>89382.83</v>
      </c>
      <c r="Q121" s="23">
        <f>49083.66+98903.77</f>
        <v>147987.43</v>
      </c>
      <c r="R121" s="23">
        <v>56763.17</v>
      </c>
      <c r="S121" s="23">
        <v>53055.79</v>
      </c>
      <c r="T121" s="23">
        <v>49119.21</v>
      </c>
      <c r="U121" s="23">
        <v>151147.76</v>
      </c>
      <c r="V121" s="23">
        <v>25023.33</v>
      </c>
      <c r="W121" s="23">
        <v>47122.03</v>
      </c>
      <c r="X121" s="23"/>
      <c r="Y121" s="23"/>
      <c r="Z121" s="23">
        <v>33035.760000000002</v>
      </c>
      <c r="AA121" s="23"/>
      <c r="AB121" s="23"/>
      <c r="AC121" s="23"/>
      <c r="AD121" s="23"/>
      <c r="AE121" s="23"/>
      <c r="AF121" s="23"/>
      <c r="AG121" s="23"/>
      <c r="AH121" s="23"/>
      <c r="AI121" s="23"/>
      <c r="AJ121" s="23"/>
      <c r="AK121" s="23"/>
      <c r="AL121" s="22"/>
      <c r="AM121" s="22"/>
      <c r="AN121" s="22"/>
      <c r="AO121" s="22"/>
      <c r="AP121" s="22"/>
      <c r="AQ121" s="22"/>
      <c r="AR121" s="22"/>
    </row>
    <row r="122" spans="1:44" ht="16.5" thickBot="1" x14ac:dyDescent="0.3">
      <c r="A122" s="30" t="s">
        <v>241</v>
      </c>
      <c r="B122" s="31" t="s">
        <v>242</v>
      </c>
      <c r="C122" s="27">
        <v>262101</v>
      </c>
      <c r="D122" s="18"/>
      <c r="E122" s="19">
        <f t="shared" si="3"/>
        <v>262101</v>
      </c>
      <c r="F122" s="19">
        <f t="shared" si="4"/>
        <v>262101</v>
      </c>
      <c r="G122" s="19">
        <f t="shared" si="5"/>
        <v>0</v>
      </c>
      <c r="H122" s="23"/>
      <c r="I122" s="23"/>
      <c r="J122" s="23"/>
      <c r="K122" s="56"/>
      <c r="L122" s="56"/>
      <c r="M122" s="56"/>
      <c r="N122" s="56"/>
      <c r="O122" s="23"/>
      <c r="P122" s="23"/>
      <c r="Q122" s="23"/>
      <c r="R122" s="23"/>
      <c r="S122" s="23"/>
      <c r="T122" s="23"/>
      <c r="U122" s="23"/>
      <c r="V122" s="23"/>
      <c r="W122" s="23">
        <v>160261.45000000001</v>
      </c>
      <c r="X122" s="23"/>
      <c r="Y122" s="23">
        <v>30931.040000000001</v>
      </c>
      <c r="Z122" s="23">
        <v>70908.509999999995</v>
      </c>
      <c r="AA122" s="23"/>
      <c r="AB122" s="23"/>
      <c r="AC122" s="23"/>
      <c r="AD122" s="23"/>
      <c r="AE122" s="23"/>
      <c r="AF122" s="23"/>
      <c r="AG122" s="23"/>
      <c r="AH122" s="23"/>
      <c r="AI122" s="23"/>
      <c r="AJ122" s="23"/>
      <c r="AK122" s="23"/>
      <c r="AL122" s="22"/>
      <c r="AM122" s="22"/>
      <c r="AN122" s="22"/>
      <c r="AO122" s="22"/>
      <c r="AP122" s="22"/>
      <c r="AQ122" s="22"/>
      <c r="AR122" s="22"/>
    </row>
    <row r="123" spans="1:44" ht="16.5" thickBot="1" x14ac:dyDescent="0.3">
      <c r="A123" s="30" t="s">
        <v>243</v>
      </c>
      <c r="B123" s="31" t="s">
        <v>244</v>
      </c>
      <c r="C123" s="27">
        <v>399312</v>
      </c>
      <c r="D123" s="18"/>
      <c r="E123" s="19">
        <f t="shared" si="3"/>
        <v>399312</v>
      </c>
      <c r="F123" s="19">
        <f t="shared" si="4"/>
        <v>399311.99999999994</v>
      </c>
      <c r="G123" s="19">
        <f t="shared" si="5"/>
        <v>0</v>
      </c>
      <c r="H123" s="23"/>
      <c r="I123" s="23"/>
      <c r="J123" s="23"/>
      <c r="K123" s="56"/>
      <c r="L123" s="56"/>
      <c r="M123" s="56">
        <v>173284.19</v>
      </c>
      <c r="N123" s="56">
        <v>28300.25</v>
      </c>
      <c r="O123" s="23"/>
      <c r="P123" s="23">
        <f>5504.79+2559.44</f>
        <v>8064.23</v>
      </c>
      <c r="Q123" s="23">
        <v>9766.2000000000007</v>
      </c>
      <c r="R123" s="23">
        <v>14673.6</v>
      </c>
      <c r="S123" s="23">
        <v>14150.71</v>
      </c>
      <c r="T123" s="23">
        <v>24061.1</v>
      </c>
      <c r="U123" s="23">
        <v>13684.92</v>
      </c>
      <c r="V123" s="23">
        <v>20529.23</v>
      </c>
      <c r="W123" s="23">
        <v>15694.98</v>
      </c>
      <c r="X123" s="23">
        <v>12435.23</v>
      </c>
      <c r="Y123" s="23">
        <v>23753.06</v>
      </c>
      <c r="Z123" s="23">
        <v>40914.300000000003</v>
      </c>
      <c r="AA123" s="23"/>
      <c r="AB123" s="23"/>
      <c r="AC123" s="23"/>
      <c r="AD123" s="23"/>
      <c r="AE123" s="23"/>
      <c r="AF123" s="23"/>
      <c r="AG123" s="23"/>
      <c r="AH123" s="23"/>
      <c r="AI123" s="23"/>
      <c r="AJ123" s="23"/>
      <c r="AK123" s="23"/>
      <c r="AL123" s="22"/>
      <c r="AM123" s="22"/>
      <c r="AN123" s="22"/>
      <c r="AO123" s="22"/>
      <c r="AP123" s="22"/>
      <c r="AQ123" s="22"/>
      <c r="AR123" s="22"/>
    </row>
    <row r="124" spans="1:44" ht="16.5" thickBot="1" x14ac:dyDescent="0.3">
      <c r="A124" s="30" t="s">
        <v>245</v>
      </c>
      <c r="B124" s="31" t="s">
        <v>246</v>
      </c>
      <c r="C124" s="27">
        <v>4102519</v>
      </c>
      <c r="D124" s="18"/>
      <c r="E124" s="19">
        <f t="shared" si="3"/>
        <v>4102519</v>
      </c>
      <c r="F124" s="19">
        <f t="shared" si="4"/>
        <v>3376545.1999999997</v>
      </c>
      <c r="G124" s="19">
        <f t="shared" si="5"/>
        <v>725973.80000000028</v>
      </c>
      <c r="H124" s="23"/>
      <c r="I124" s="23"/>
      <c r="J124" s="23"/>
      <c r="K124" s="56"/>
      <c r="L124" s="56"/>
      <c r="M124" s="56"/>
      <c r="N124" s="56"/>
      <c r="O124" s="23"/>
      <c r="P124" s="23"/>
      <c r="Q124" s="23"/>
      <c r="R124" s="23">
        <v>568548.27</v>
      </c>
      <c r="S124" s="23">
        <v>339233.57</v>
      </c>
      <c r="T124" s="23">
        <v>183044.02</v>
      </c>
      <c r="U124" s="23">
        <v>210789.65</v>
      </c>
      <c r="V124" s="23">
        <v>416242.4</v>
      </c>
      <c r="W124" s="23">
        <v>152265.32999999999</v>
      </c>
      <c r="X124" s="23">
        <v>233754.38</v>
      </c>
      <c r="Y124" s="23">
        <v>549688.84</v>
      </c>
      <c r="Z124" s="23">
        <v>220632.44</v>
      </c>
      <c r="AA124" s="23"/>
      <c r="AB124" s="23">
        <f>155490.69+346855.61</f>
        <v>502346.3</v>
      </c>
      <c r="AC124" s="23"/>
      <c r="AD124" s="23"/>
      <c r="AE124" s="23"/>
      <c r="AF124" s="23"/>
      <c r="AG124" s="23"/>
      <c r="AH124" s="23"/>
      <c r="AI124" s="23"/>
      <c r="AJ124" s="23"/>
      <c r="AK124" s="23"/>
      <c r="AL124" s="22"/>
      <c r="AM124" s="22"/>
      <c r="AN124" s="22"/>
      <c r="AO124" s="22"/>
      <c r="AP124" s="22"/>
      <c r="AQ124" s="22"/>
      <c r="AR124" s="22"/>
    </row>
    <row r="125" spans="1:44" ht="16.5" thickBot="1" x14ac:dyDescent="0.3">
      <c r="A125" s="30" t="s">
        <v>247</v>
      </c>
      <c r="B125" s="31" t="s">
        <v>248</v>
      </c>
      <c r="C125" s="27">
        <v>188504</v>
      </c>
      <c r="D125" s="18"/>
      <c r="E125" s="19">
        <f t="shared" si="3"/>
        <v>188504</v>
      </c>
      <c r="F125" s="19">
        <f t="shared" si="4"/>
        <v>140191.85999999999</v>
      </c>
      <c r="G125" s="19">
        <f t="shared" si="5"/>
        <v>48312.140000000014</v>
      </c>
      <c r="H125" s="23"/>
      <c r="I125" s="23"/>
      <c r="J125" s="23"/>
      <c r="K125" s="56"/>
      <c r="L125" s="56"/>
      <c r="M125" s="56"/>
      <c r="N125" s="56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3">
        <v>140191.85999999999</v>
      </c>
      <c r="AA125" s="23"/>
      <c r="AB125" s="23"/>
      <c r="AC125" s="23"/>
      <c r="AD125" s="23"/>
      <c r="AE125" s="23"/>
      <c r="AF125" s="23"/>
      <c r="AG125" s="23"/>
      <c r="AH125" s="23"/>
      <c r="AI125" s="23"/>
      <c r="AJ125" s="23"/>
      <c r="AK125" s="23"/>
      <c r="AL125" s="22"/>
      <c r="AM125" s="22"/>
      <c r="AN125" s="22"/>
      <c r="AO125" s="22"/>
      <c r="AP125" s="22"/>
      <c r="AQ125" s="22"/>
      <c r="AR125" s="22"/>
    </row>
    <row r="126" spans="1:44" ht="16.5" thickBot="1" x14ac:dyDescent="0.3">
      <c r="A126" s="30" t="s">
        <v>249</v>
      </c>
      <c r="B126" s="31" t="s">
        <v>250</v>
      </c>
      <c r="C126" s="27">
        <v>714770</v>
      </c>
      <c r="D126" s="18"/>
      <c r="E126" s="19">
        <f t="shared" si="3"/>
        <v>714770</v>
      </c>
      <c r="F126" s="19">
        <f t="shared" si="4"/>
        <v>679600.52</v>
      </c>
      <c r="G126" s="19">
        <f t="shared" si="5"/>
        <v>35169.479999999981</v>
      </c>
      <c r="H126" s="23"/>
      <c r="I126" s="23"/>
      <c r="J126" s="23"/>
      <c r="K126" s="56"/>
      <c r="L126" s="56"/>
      <c r="M126" s="56"/>
      <c r="N126" s="56"/>
      <c r="O126" s="23"/>
      <c r="P126" s="23"/>
      <c r="Q126" s="23"/>
      <c r="R126" s="23">
        <f>155949.03+109984.87</f>
        <v>265933.90000000002</v>
      </c>
      <c r="S126" s="23"/>
      <c r="T126" s="23">
        <v>152933.47</v>
      </c>
      <c r="U126" s="23"/>
      <c r="V126" s="23">
        <v>35139.42</v>
      </c>
      <c r="W126" s="23">
        <v>65537.08</v>
      </c>
      <c r="X126" s="23">
        <v>31386.98</v>
      </c>
      <c r="Y126" s="23"/>
      <c r="Z126" s="23">
        <v>67103.14</v>
      </c>
      <c r="AA126" s="23">
        <v>61566.53</v>
      </c>
      <c r="AB126" s="23"/>
      <c r="AC126" s="23"/>
      <c r="AD126" s="23"/>
      <c r="AE126" s="23"/>
      <c r="AF126" s="23"/>
      <c r="AG126" s="23"/>
      <c r="AH126" s="23"/>
      <c r="AI126" s="23"/>
      <c r="AJ126" s="23"/>
      <c r="AK126" s="23"/>
      <c r="AL126" s="22"/>
      <c r="AM126" s="22"/>
      <c r="AN126" s="22"/>
      <c r="AO126" s="22"/>
      <c r="AP126" s="22"/>
      <c r="AQ126" s="22"/>
      <c r="AR126" s="22"/>
    </row>
    <row r="127" spans="1:44" ht="16.5" thickBot="1" x14ac:dyDescent="0.3">
      <c r="A127" s="30" t="s">
        <v>251</v>
      </c>
      <c r="B127" s="31" t="s">
        <v>252</v>
      </c>
      <c r="C127" s="27">
        <v>1638638</v>
      </c>
      <c r="D127" s="18"/>
      <c r="E127" s="19">
        <f t="shared" si="3"/>
        <v>1638638</v>
      </c>
      <c r="F127" s="19">
        <f t="shared" si="4"/>
        <v>1280643.3700000001</v>
      </c>
      <c r="G127" s="19">
        <f t="shared" si="5"/>
        <v>357994.62999999989</v>
      </c>
      <c r="H127" s="23"/>
      <c r="I127" s="23"/>
      <c r="J127" s="23"/>
      <c r="K127" s="56"/>
      <c r="L127" s="56"/>
      <c r="M127" s="56"/>
      <c r="N127" s="56"/>
      <c r="O127" s="23"/>
      <c r="P127" s="23">
        <v>129568.12</v>
      </c>
      <c r="Q127" s="23">
        <v>47884.52</v>
      </c>
      <c r="R127" s="23">
        <v>67406.45</v>
      </c>
      <c r="S127" s="23">
        <v>87984.23</v>
      </c>
      <c r="T127" s="23">
        <v>131827.74</v>
      </c>
      <c r="U127" s="23">
        <v>91230.55</v>
      </c>
      <c r="V127" s="23">
        <v>285197.43</v>
      </c>
      <c r="W127" s="23">
        <v>116699.04</v>
      </c>
      <c r="X127" s="23">
        <v>52146.18</v>
      </c>
      <c r="Y127" s="23">
        <v>41042.71</v>
      </c>
      <c r="Z127" s="23"/>
      <c r="AA127" s="23">
        <f>85865.52+54679.84</f>
        <v>140545.35999999999</v>
      </c>
      <c r="AB127" s="23">
        <v>89111.039999999994</v>
      </c>
      <c r="AC127" s="23"/>
      <c r="AD127" s="23"/>
      <c r="AE127" s="23"/>
      <c r="AF127" s="23"/>
      <c r="AG127" s="23"/>
      <c r="AH127" s="23"/>
      <c r="AI127" s="23"/>
      <c r="AJ127" s="23"/>
      <c r="AK127" s="23"/>
      <c r="AL127" s="22"/>
      <c r="AM127" s="22"/>
      <c r="AN127" s="22"/>
      <c r="AO127" s="22"/>
      <c r="AP127" s="22"/>
      <c r="AQ127" s="22"/>
      <c r="AR127" s="22"/>
    </row>
    <row r="128" spans="1:44" ht="16.5" thickBot="1" x14ac:dyDescent="0.3">
      <c r="A128" s="30" t="s">
        <v>253</v>
      </c>
      <c r="B128" s="31" t="s">
        <v>254</v>
      </c>
      <c r="C128" s="27">
        <v>110718</v>
      </c>
      <c r="D128" s="18"/>
      <c r="E128" s="19">
        <f t="shared" si="3"/>
        <v>110718</v>
      </c>
      <c r="F128" s="19">
        <f t="shared" si="4"/>
        <v>110718</v>
      </c>
      <c r="G128" s="19">
        <f t="shared" si="5"/>
        <v>0</v>
      </c>
      <c r="H128" s="23"/>
      <c r="I128" s="23"/>
      <c r="J128" s="23"/>
      <c r="K128" s="56"/>
      <c r="L128" s="56">
        <v>86625</v>
      </c>
      <c r="M128" s="56">
        <v>19125</v>
      </c>
      <c r="N128" s="56"/>
      <c r="O128" s="23"/>
      <c r="P128" s="23"/>
      <c r="Q128" s="23"/>
      <c r="R128" s="23">
        <v>4968</v>
      </c>
      <c r="S128" s="23"/>
      <c r="T128" s="23"/>
      <c r="U128" s="23"/>
      <c r="V128" s="23"/>
      <c r="W128" s="23"/>
      <c r="X128" s="23"/>
      <c r="Y128" s="23"/>
      <c r="Z128" s="23"/>
      <c r="AA128" s="23"/>
      <c r="AB128" s="23"/>
      <c r="AC128" s="23"/>
      <c r="AD128" s="23"/>
      <c r="AE128" s="23"/>
      <c r="AF128" s="23"/>
      <c r="AG128" s="23"/>
      <c r="AH128" s="23"/>
      <c r="AI128" s="23"/>
      <c r="AJ128" s="23"/>
      <c r="AK128" s="23"/>
      <c r="AL128" s="22"/>
      <c r="AM128" s="22"/>
      <c r="AN128" s="22"/>
      <c r="AO128" s="22"/>
      <c r="AP128" s="22"/>
      <c r="AQ128" s="22"/>
      <c r="AR128" s="22"/>
    </row>
    <row r="129" spans="1:44" ht="16.5" thickBot="1" x14ac:dyDescent="0.3">
      <c r="A129" s="30" t="s">
        <v>255</v>
      </c>
      <c r="B129" s="31" t="s">
        <v>256</v>
      </c>
      <c r="C129" s="27">
        <v>357701</v>
      </c>
      <c r="D129" s="18"/>
      <c r="E129" s="19">
        <f t="shared" si="3"/>
        <v>357701</v>
      </c>
      <c r="F129" s="19">
        <f t="shared" si="4"/>
        <v>357700.99</v>
      </c>
      <c r="G129" s="19">
        <f t="shared" si="5"/>
        <v>1.0000000009313226E-2</v>
      </c>
      <c r="H129" s="23"/>
      <c r="I129" s="23"/>
      <c r="J129" s="23"/>
      <c r="K129" s="56"/>
      <c r="L129" s="56">
        <v>131831.94</v>
      </c>
      <c r="M129" s="56"/>
      <c r="N129" s="56">
        <v>58834.14</v>
      </c>
      <c r="O129" s="23"/>
      <c r="P129" s="23"/>
      <c r="Q129" s="23"/>
      <c r="R129" s="23">
        <v>71766.31</v>
      </c>
      <c r="S129" s="23">
        <v>14900.91</v>
      </c>
      <c r="T129" s="23">
        <v>69657.25</v>
      </c>
      <c r="U129" s="23">
        <v>10710.44</v>
      </c>
      <c r="V129" s="23"/>
      <c r="W129" s="23"/>
      <c r="X129" s="23"/>
      <c r="Y129" s="23"/>
      <c r="Z129" s="23"/>
      <c r="AA129" s="23"/>
      <c r="AB129" s="23"/>
      <c r="AC129" s="23"/>
      <c r="AD129" s="23"/>
      <c r="AE129" s="23"/>
      <c r="AF129" s="23"/>
      <c r="AG129" s="23"/>
      <c r="AH129" s="23"/>
      <c r="AI129" s="23"/>
      <c r="AJ129" s="23"/>
      <c r="AK129" s="23"/>
      <c r="AL129" s="22"/>
      <c r="AM129" s="22"/>
      <c r="AN129" s="22"/>
      <c r="AO129" s="22"/>
      <c r="AP129" s="22"/>
      <c r="AQ129" s="22"/>
      <c r="AR129" s="22"/>
    </row>
    <row r="130" spans="1:44" ht="16.5" thickBot="1" x14ac:dyDescent="0.3">
      <c r="A130" s="30" t="s">
        <v>257</v>
      </c>
      <c r="B130" s="31" t="s">
        <v>258</v>
      </c>
      <c r="C130" s="27">
        <v>1991872</v>
      </c>
      <c r="D130" s="18"/>
      <c r="E130" s="19">
        <f t="shared" si="3"/>
        <v>1991872</v>
      </c>
      <c r="F130" s="19">
        <f t="shared" si="4"/>
        <v>435428.53</v>
      </c>
      <c r="G130" s="19">
        <f t="shared" si="5"/>
        <v>1556443.47</v>
      </c>
      <c r="H130" s="23"/>
      <c r="I130" s="23"/>
      <c r="J130" s="23"/>
      <c r="K130" s="56"/>
      <c r="L130" s="56"/>
      <c r="M130" s="56"/>
      <c r="N130" s="56"/>
      <c r="O130" s="23"/>
      <c r="P130" s="23"/>
      <c r="Q130" s="23"/>
      <c r="R130" s="23"/>
      <c r="S130" s="23"/>
      <c r="T130" s="23"/>
      <c r="U130" s="23"/>
      <c r="V130" s="23">
        <v>10734</v>
      </c>
      <c r="W130" s="23"/>
      <c r="X130" s="23"/>
      <c r="Y130" s="23">
        <v>424694.53</v>
      </c>
      <c r="Z130" s="23"/>
      <c r="AA130" s="23"/>
      <c r="AB130" s="23"/>
      <c r="AC130" s="23"/>
      <c r="AD130" s="23"/>
      <c r="AE130" s="23"/>
      <c r="AF130" s="23"/>
      <c r="AG130" s="23"/>
      <c r="AH130" s="23"/>
      <c r="AI130" s="23"/>
      <c r="AJ130" s="23"/>
      <c r="AK130" s="23"/>
      <c r="AL130" s="22"/>
      <c r="AM130" s="22"/>
      <c r="AN130" s="22"/>
      <c r="AO130" s="22"/>
      <c r="AP130" s="22"/>
      <c r="AQ130" s="22"/>
      <c r="AR130" s="22"/>
    </row>
    <row r="131" spans="1:44" ht="16.5" thickBot="1" x14ac:dyDescent="0.3">
      <c r="A131" s="30" t="s">
        <v>259</v>
      </c>
      <c r="B131" s="31" t="s">
        <v>260</v>
      </c>
      <c r="C131" s="27">
        <v>1183118</v>
      </c>
      <c r="D131" s="18"/>
      <c r="E131" s="19">
        <f t="shared" si="3"/>
        <v>1183118</v>
      </c>
      <c r="F131" s="19">
        <f t="shared" si="4"/>
        <v>81640</v>
      </c>
      <c r="G131" s="19">
        <f t="shared" si="5"/>
        <v>1101478</v>
      </c>
      <c r="H131" s="23"/>
      <c r="I131" s="23"/>
      <c r="J131" s="23"/>
      <c r="K131" s="56"/>
      <c r="L131" s="56"/>
      <c r="M131" s="56"/>
      <c r="N131" s="56"/>
      <c r="O131" s="23"/>
      <c r="P131" s="23"/>
      <c r="Q131" s="23"/>
      <c r="R131" s="23"/>
      <c r="S131" s="23"/>
      <c r="T131" s="23"/>
      <c r="U131" s="23"/>
      <c r="V131" s="23">
        <v>81640</v>
      </c>
      <c r="W131" s="23"/>
      <c r="X131" s="23"/>
      <c r="Y131" s="23"/>
      <c r="Z131" s="23"/>
      <c r="AA131" s="23"/>
      <c r="AB131" s="23"/>
      <c r="AC131" s="23"/>
      <c r="AD131" s="23"/>
      <c r="AE131" s="23"/>
      <c r="AF131" s="23"/>
      <c r="AG131" s="23"/>
      <c r="AH131" s="23"/>
      <c r="AI131" s="23"/>
      <c r="AJ131" s="23"/>
      <c r="AK131" s="23"/>
      <c r="AL131" s="22"/>
      <c r="AM131" s="22"/>
      <c r="AN131" s="22"/>
      <c r="AO131" s="22"/>
      <c r="AP131" s="22"/>
      <c r="AQ131" s="22"/>
      <c r="AR131" s="22"/>
    </row>
    <row r="132" spans="1:44" ht="16.5" thickBot="1" x14ac:dyDescent="0.3">
      <c r="A132" s="30" t="s">
        <v>261</v>
      </c>
      <c r="B132" s="31" t="s">
        <v>262</v>
      </c>
      <c r="C132" s="27">
        <v>234835</v>
      </c>
      <c r="D132" s="18"/>
      <c r="E132" s="19">
        <f t="shared" si="3"/>
        <v>234835</v>
      </c>
      <c r="F132" s="19">
        <f t="shared" si="4"/>
        <v>116623.11</v>
      </c>
      <c r="G132" s="19">
        <f t="shared" si="5"/>
        <v>118211.89</v>
      </c>
      <c r="H132" s="23"/>
      <c r="I132" s="23"/>
      <c r="J132" s="23"/>
      <c r="K132" s="56"/>
      <c r="L132" s="56"/>
      <c r="M132" s="56"/>
      <c r="N132" s="56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>
        <v>116623.11</v>
      </c>
      <c r="Z132" s="23"/>
      <c r="AA132" s="23"/>
      <c r="AB132" s="23"/>
      <c r="AC132" s="23"/>
      <c r="AD132" s="23"/>
      <c r="AE132" s="23"/>
      <c r="AF132" s="23"/>
      <c r="AG132" s="23"/>
      <c r="AH132" s="23"/>
      <c r="AI132" s="23"/>
      <c r="AJ132" s="23"/>
      <c r="AK132" s="23"/>
      <c r="AL132" s="22"/>
      <c r="AM132" s="22"/>
      <c r="AN132" s="22"/>
      <c r="AO132" s="22"/>
      <c r="AP132" s="22"/>
      <c r="AQ132" s="22"/>
      <c r="AR132" s="22"/>
    </row>
    <row r="133" spans="1:44" ht="16.5" thickBot="1" x14ac:dyDescent="0.3">
      <c r="A133" s="30" t="s">
        <v>263</v>
      </c>
      <c r="B133" s="31" t="s">
        <v>264</v>
      </c>
      <c r="C133" s="27">
        <v>314283</v>
      </c>
      <c r="D133" s="18"/>
      <c r="E133" s="19">
        <f t="shared" si="3"/>
        <v>314283</v>
      </c>
      <c r="F133" s="19">
        <f t="shared" si="4"/>
        <v>0</v>
      </c>
      <c r="G133" s="19">
        <f t="shared" si="5"/>
        <v>314283</v>
      </c>
      <c r="H133" s="23"/>
      <c r="I133" s="23"/>
      <c r="J133" s="23"/>
      <c r="K133" s="56"/>
      <c r="L133" s="56"/>
      <c r="M133" s="56"/>
      <c r="N133" s="56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  <c r="Z133" s="23"/>
      <c r="AA133" s="23"/>
      <c r="AB133" s="23"/>
      <c r="AC133" s="23"/>
      <c r="AD133" s="23"/>
      <c r="AE133" s="23"/>
      <c r="AF133" s="23"/>
      <c r="AG133" s="23"/>
      <c r="AH133" s="23"/>
      <c r="AI133" s="23"/>
      <c r="AJ133" s="23"/>
      <c r="AK133" s="23"/>
      <c r="AL133" s="22"/>
      <c r="AM133" s="22"/>
      <c r="AN133" s="22"/>
      <c r="AO133" s="22"/>
      <c r="AP133" s="22"/>
      <c r="AQ133" s="22"/>
      <c r="AR133" s="22"/>
    </row>
    <row r="134" spans="1:44" ht="16.5" thickBot="1" x14ac:dyDescent="0.3">
      <c r="A134" s="30" t="s">
        <v>265</v>
      </c>
      <c r="B134" s="31" t="s">
        <v>266</v>
      </c>
      <c r="C134" s="27">
        <v>85195</v>
      </c>
      <c r="D134" s="18"/>
      <c r="E134" s="19">
        <f t="shared" si="3"/>
        <v>85195</v>
      </c>
      <c r="F134" s="19">
        <f t="shared" si="4"/>
        <v>85195</v>
      </c>
      <c r="G134" s="19">
        <f t="shared" si="5"/>
        <v>0</v>
      </c>
      <c r="H134" s="23"/>
      <c r="I134" s="23"/>
      <c r="J134" s="23"/>
      <c r="K134" s="56"/>
      <c r="L134" s="56"/>
      <c r="M134" s="56"/>
      <c r="N134" s="56">
        <v>85195</v>
      </c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  <c r="Z134" s="23"/>
      <c r="AA134" s="23"/>
      <c r="AB134" s="23"/>
      <c r="AC134" s="23"/>
      <c r="AD134" s="23"/>
      <c r="AE134" s="23"/>
      <c r="AF134" s="23"/>
      <c r="AG134" s="23"/>
      <c r="AH134" s="23"/>
      <c r="AI134" s="23"/>
      <c r="AJ134" s="23"/>
      <c r="AK134" s="23"/>
      <c r="AL134" s="22"/>
      <c r="AM134" s="22"/>
      <c r="AN134" s="22"/>
      <c r="AO134" s="22"/>
      <c r="AP134" s="22"/>
      <c r="AQ134" s="22"/>
      <c r="AR134" s="22"/>
    </row>
    <row r="135" spans="1:44" ht="16.5" thickBot="1" x14ac:dyDescent="0.3">
      <c r="A135" s="30" t="s">
        <v>267</v>
      </c>
      <c r="B135" s="31" t="s">
        <v>268</v>
      </c>
      <c r="C135" s="27">
        <v>222141</v>
      </c>
      <c r="D135" s="18"/>
      <c r="E135" s="19">
        <f t="shared" si="3"/>
        <v>222141</v>
      </c>
      <c r="F135" s="19">
        <f t="shared" si="4"/>
        <v>165161.65</v>
      </c>
      <c r="G135" s="19">
        <f t="shared" si="5"/>
        <v>56979.350000000006</v>
      </c>
      <c r="H135" s="23"/>
      <c r="I135" s="23"/>
      <c r="J135" s="23"/>
      <c r="K135" s="56"/>
      <c r="L135" s="56"/>
      <c r="M135" s="56"/>
      <c r="N135" s="56"/>
      <c r="O135" s="23"/>
      <c r="P135" s="23"/>
      <c r="Q135" s="23"/>
      <c r="R135" s="23"/>
      <c r="S135" s="23">
        <v>43541.35</v>
      </c>
      <c r="T135" s="23"/>
      <c r="U135" s="23">
        <v>27862.86</v>
      </c>
      <c r="V135" s="23">
        <v>13372.47</v>
      </c>
      <c r="W135" s="23"/>
      <c r="X135" s="23">
        <v>26484.57</v>
      </c>
      <c r="Y135" s="23">
        <v>26745.02</v>
      </c>
      <c r="Z135" s="23"/>
      <c r="AA135" s="23"/>
      <c r="AB135" s="23">
        <v>27155.38</v>
      </c>
      <c r="AC135" s="23"/>
      <c r="AD135" s="23"/>
      <c r="AE135" s="23"/>
      <c r="AF135" s="23"/>
      <c r="AG135" s="23"/>
      <c r="AH135" s="23"/>
      <c r="AI135" s="23"/>
      <c r="AJ135" s="23"/>
      <c r="AK135" s="23"/>
      <c r="AL135" s="22"/>
      <c r="AM135" s="22"/>
      <c r="AN135" s="22"/>
      <c r="AO135" s="22"/>
      <c r="AP135" s="22"/>
      <c r="AQ135" s="22"/>
      <c r="AR135" s="22"/>
    </row>
    <row r="136" spans="1:44" ht="16.5" thickBot="1" x14ac:dyDescent="0.3">
      <c r="A136" s="30" t="s">
        <v>269</v>
      </c>
      <c r="B136" s="31" t="s">
        <v>270</v>
      </c>
      <c r="C136" s="27">
        <v>63763</v>
      </c>
      <c r="D136" s="18"/>
      <c r="E136" s="19">
        <f t="shared" si="3"/>
        <v>63763</v>
      </c>
      <c r="F136" s="19">
        <f t="shared" si="4"/>
        <v>63763</v>
      </c>
      <c r="G136" s="19">
        <f t="shared" si="5"/>
        <v>0</v>
      </c>
      <c r="H136" s="23"/>
      <c r="I136" s="23"/>
      <c r="J136" s="23"/>
      <c r="K136" s="56"/>
      <c r="L136" s="56"/>
      <c r="M136" s="56"/>
      <c r="N136" s="56"/>
      <c r="O136" s="23"/>
      <c r="P136" s="23"/>
      <c r="Q136" s="23"/>
      <c r="R136" s="23"/>
      <c r="S136" s="23"/>
      <c r="T136" s="23"/>
      <c r="U136" s="23"/>
      <c r="V136" s="23"/>
      <c r="W136" s="23"/>
      <c r="X136" s="23">
        <f>49670.1+14092.9</f>
        <v>63763</v>
      </c>
      <c r="Y136" s="23"/>
      <c r="Z136" s="23"/>
      <c r="AA136" s="23"/>
      <c r="AB136" s="23"/>
      <c r="AC136" s="23"/>
      <c r="AD136" s="23"/>
      <c r="AE136" s="23"/>
      <c r="AF136" s="23"/>
      <c r="AG136" s="23"/>
      <c r="AH136" s="23"/>
      <c r="AI136" s="23"/>
      <c r="AJ136" s="23"/>
      <c r="AK136" s="23"/>
      <c r="AL136" s="22"/>
      <c r="AM136" s="22"/>
      <c r="AN136" s="22"/>
      <c r="AO136" s="22"/>
      <c r="AP136" s="22"/>
      <c r="AQ136" s="22"/>
      <c r="AR136" s="22"/>
    </row>
    <row r="137" spans="1:44" ht="16.5" thickBot="1" x14ac:dyDescent="0.3">
      <c r="A137" s="30" t="s">
        <v>271</v>
      </c>
      <c r="B137" s="31" t="s">
        <v>272</v>
      </c>
      <c r="C137" s="27">
        <v>112350</v>
      </c>
      <c r="D137" s="18"/>
      <c r="E137" s="19">
        <f t="shared" si="3"/>
        <v>112350</v>
      </c>
      <c r="F137" s="19">
        <f t="shared" si="4"/>
        <v>83346.11</v>
      </c>
      <c r="G137" s="19">
        <f t="shared" si="5"/>
        <v>29003.89</v>
      </c>
      <c r="H137" s="23"/>
      <c r="I137" s="23"/>
      <c r="J137" s="23"/>
      <c r="K137" s="56"/>
      <c r="L137" s="56"/>
      <c r="M137" s="56"/>
      <c r="N137" s="56"/>
      <c r="O137" s="23"/>
      <c r="P137" s="23"/>
      <c r="Q137" s="23"/>
      <c r="R137" s="23"/>
      <c r="S137" s="23"/>
      <c r="T137" s="23">
        <v>45251.03</v>
      </c>
      <c r="U137" s="23"/>
      <c r="V137" s="23"/>
      <c r="W137" s="23">
        <v>19047.54</v>
      </c>
      <c r="X137" s="23"/>
      <c r="Y137" s="23"/>
      <c r="Z137" s="23">
        <v>19047.54</v>
      </c>
      <c r="AA137" s="23"/>
      <c r="AB137" s="23"/>
      <c r="AC137" s="23"/>
      <c r="AD137" s="23"/>
      <c r="AE137" s="23"/>
      <c r="AF137" s="23"/>
      <c r="AG137" s="23"/>
      <c r="AH137" s="23"/>
      <c r="AI137" s="23"/>
      <c r="AJ137" s="23"/>
      <c r="AK137" s="23"/>
      <c r="AL137" s="22"/>
      <c r="AM137" s="22"/>
      <c r="AN137" s="22"/>
      <c r="AO137" s="22"/>
      <c r="AP137" s="22"/>
      <c r="AQ137" s="22"/>
      <c r="AR137" s="22"/>
    </row>
    <row r="138" spans="1:44" ht="16.5" thickBot="1" x14ac:dyDescent="0.3">
      <c r="A138" s="30" t="s">
        <v>273</v>
      </c>
      <c r="B138" s="31" t="s">
        <v>274</v>
      </c>
      <c r="C138" s="27">
        <v>387266</v>
      </c>
      <c r="D138" s="18"/>
      <c r="E138" s="19">
        <f t="shared" si="3"/>
        <v>387266</v>
      </c>
      <c r="F138" s="19">
        <f t="shared" si="4"/>
        <v>387266</v>
      </c>
      <c r="G138" s="19">
        <f t="shared" si="5"/>
        <v>0</v>
      </c>
      <c r="H138" s="23"/>
      <c r="I138" s="23"/>
      <c r="J138" s="23"/>
      <c r="K138" s="56"/>
      <c r="L138" s="56"/>
      <c r="M138" s="56"/>
      <c r="N138" s="56"/>
      <c r="O138" s="23"/>
      <c r="P138" s="23"/>
      <c r="Q138" s="23"/>
      <c r="R138" s="23"/>
      <c r="S138" s="23"/>
      <c r="T138" s="23"/>
      <c r="U138" s="23"/>
      <c r="V138" s="23">
        <v>264624.40000000002</v>
      </c>
      <c r="W138" s="23"/>
      <c r="X138" s="23"/>
      <c r="Y138" s="23">
        <v>93086.36</v>
      </c>
      <c r="Z138" s="23">
        <v>29555.24</v>
      </c>
      <c r="AA138" s="23"/>
      <c r="AB138" s="23"/>
      <c r="AC138" s="23"/>
      <c r="AD138" s="23"/>
      <c r="AE138" s="23"/>
      <c r="AF138" s="23"/>
      <c r="AG138" s="23"/>
      <c r="AH138" s="23"/>
      <c r="AI138" s="23"/>
      <c r="AJ138" s="23"/>
      <c r="AK138" s="23"/>
      <c r="AL138" s="22"/>
      <c r="AM138" s="22"/>
      <c r="AN138" s="22"/>
      <c r="AO138" s="22"/>
      <c r="AP138" s="22"/>
      <c r="AQ138" s="22"/>
      <c r="AR138" s="22"/>
    </row>
    <row r="139" spans="1:44" ht="16.5" thickBot="1" x14ac:dyDescent="0.3">
      <c r="A139" s="30" t="s">
        <v>275</v>
      </c>
      <c r="B139" s="31" t="s">
        <v>276</v>
      </c>
      <c r="C139" s="27">
        <v>360845</v>
      </c>
      <c r="D139" s="18"/>
      <c r="E139" s="19">
        <f t="shared" si="3"/>
        <v>360845</v>
      </c>
      <c r="F139" s="19">
        <f t="shared" si="4"/>
        <v>282780.63</v>
      </c>
      <c r="G139" s="19">
        <f t="shared" si="5"/>
        <v>78064.37</v>
      </c>
      <c r="H139" s="23"/>
      <c r="I139" s="23"/>
      <c r="J139" s="23"/>
      <c r="K139" s="56"/>
      <c r="L139" s="56"/>
      <c r="M139" s="56"/>
      <c r="N139" s="56"/>
      <c r="O139" s="23"/>
      <c r="P139" s="23"/>
      <c r="Q139" s="23"/>
      <c r="R139" s="23"/>
      <c r="S139" s="23"/>
      <c r="T139" s="23"/>
      <c r="U139" s="23">
        <v>269476.63</v>
      </c>
      <c r="V139" s="23"/>
      <c r="W139" s="23"/>
      <c r="X139" s="23"/>
      <c r="Y139" s="23">
        <v>13304</v>
      </c>
      <c r="Z139" s="23"/>
      <c r="AA139" s="23"/>
      <c r="AB139" s="23"/>
      <c r="AC139" s="23"/>
      <c r="AD139" s="23"/>
      <c r="AE139" s="23"/>
      <c r="AF139" s="23"/>
      <c r="AG139" s="23"/>
      <c r="AH139" s="23"/>
      <c r="AI139" s="23"/>
      <c r="AJ139" s="23"/>
      <c r="AK139" s="23"/>
      <c r="AL139" s="22"/>
      <c r="AM139" s="22"/>
      <c r="AN139" s="22"/>
      <c r="AO139" s="22"/>
      <c r="AP139" s="22"/>
      <c r="AQ139" s="22"/>
      <c r="AR139" s="22"/>
    </row>
    <row r="140" spans="1:44" ht="16.5" thickBot="1" x14ac:dyDescent="0.3">
      <c r="A140" s="30" t="s">
        <v>277</v>
      </c>
      <c r="B140" s="31" t="s">
        <v>278</v>
      </c>
      <c r="C140" s="27">
        <v>286210</v>
      </c>
      <c r="D140" s="18"/>
      <c r="E140" s="19">
        <f t="shared" ref="E140:E190" si="6">C140</f>
        <v>286210</v>
      </c>
      <c r="F140" s="19">
        <f t="shared" ref="F140:F190" si="7">SUM(H140:AN140)</f>
        <v>221370.6</v>
      </c>
      <c r="G140" s="19">
        <f t="shared" ref="G140:G190" si="8">E140-(F140+AO140+AP140)</f>
        <v>64839.399999999994</v>
      </c>
      <c r="H140" s="23"/>
      <c r="I140" s="23"/>
      <c r="J140" s="23"/>
      <c r="K140" s="56"/>
      <c r="L140" s="56"/>
      <c r="M140" s="56">
        <v>221370.6</v>
      </c>
      <c r="N140" s="56"/>
      <c r="O140" s="23"/>
      <c r="P140" s="23"/>
      <c r="Q140" s="23"/>
      <c r="R140" s="23"/>
      <c r="S140" s="23"/>
      <c r="T140" s="23"/>
      <c r="U140" s="23"/>
      <c r="V140" s="23"/>
      <c r="W140" s="23"/>
      <c r="X140" s="23"/>
      <c r="Y140" s="23"/>
      <c r="Z140" s="23"/>
      <c r="AA140" s="23"/>
      <c r="AB140" s="23"/>
      <c r="AC140" s="23"/>
      <c r="AD140" s="23"/>
      <c r="AE140" s="23"/>
      <c r="AF140" s="23"/>
      <c r="AG140" s="23"/>
      <c r="AH140" s="23"/>
      <c r="AI140" s="23"/>
      <c r="AJ140" s="23"/>
      <c r="AK140" s="23"/>
      <c r="AL140" s="22"/>
      <c r="AM140" s="22"/>
      <c r="AN140" s="22"/>
      <c r="AO140" s="22"/>
      <c r="AP140" s="22"/>
      <c r="AQ140" s="22"/>
      <c r="AR140" s="22"/>
    </row>
    <row r="141" spans="1:44" ht="16.5" thickBot="1" x14ac:dyDescent="0.3">
      <c r="A141" s="30" t="s">
        <v>279</v>
      </c>
      <c r="B141" s="31" t="s">
        <v>280</v>
      </c>
      <c r="C141" s="27">
        <v>149055</v>
      </c>
      <c r="D141" s="18"/>
      <c r="E141" s="19">
        <f t="shared" si="6"/>
        <v>149055</v>
      </c>
      <c r="F141" s="19">
        <f t="shared" si="7"/>
        <v>0</v>
      </c>
      <c r="G141" s="19">
        <f t="shared" si="8"/>
        <v>149055</v>
      </c>
      <c r="H141" s="23"/>
      <c r="I141" s="23"/>
      <c r="J141" s="23"/>
      <c r="K141" s="56"/>
      <c r="L141" s="56"/>
      <c r="M141" s="56"/>
      <c r="N141" s="56"/>
      <c r="O141" s="23"/>
      <c r="P141" s="23"/>
      <c r="Q141" s="23"/>
      <c r="R141" s="23"/>
      <c r="S141" s="23"/>
      <c r="T141" s="23"/>
      <c r="U141" s="23"/>
      <c r="V141" s="23"/>
      <c r="W141" s="23"/>
      <c r="X141" s="23"/>
      <c r="Y141" s="23"/>
      <c r="Z141" s="23"/>
      <c r="AA141" s="23"/>
      <c r="AB141" s="23"/>
      <c r="AC141" s="23"/>
      <c r="AD141" s="23"/>
      <c r="AE141" s="23"/>
      <c r="AF141" s="23"/>
      <c r="AG141" s="23"/>
      <c r="AH141" s="23"/>
      <c r="AI141" s="23"/>
      <c r="AJ141" s="23"/>
      <c r="AK141" s="23"/>
      <c r="AL141" s="22"/>
      <c r="AM141" s="22"/>
      <c r="AN141" s="22"/>
      <c r="AO141" s="22"/>
      <c r="AP141" s="22"/>
      <c r="AQ141" s="22"/>
      <c r="AR141" s="22"/>
    </row>
    <row r="142" spans="1:44" ht="16.5" thickBot="1" x14ac:dyDescent="0.3">
      <c r="A142" s="30" t="s">
        <v>281</v>
      </c>
      <c r="B142" s="31" t="s">
        <v>282</v>
      </c>
      <c r="C142" s="27">
        <v>112232</v>
      </c>
      <c r="D142" s="18"/>
      <c r="E142" s="19">
        <f t="shared" si="6"/>
        <v>112232</v>
      </c>
      <c r="F142" s="19">
        <f t="shared" si="7"/>
        <v>0</v>
      </c>
      <c r="G142" s="19">
        <f t="shared" si="8"/>
        <v>112232</v>
      </c>
      <c r="H142" s="23"/>
      <c r="I142" s="23"/>
      <c r="J142" s="23"/>
      <c r="K142" s="56"/>
      <c r="L142" s="56"/>
      <c r="M142" s="56"/>
      <c r="N142" s="56"/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23"/>
      <c r="Z142" s="23"/>
      <c r="AA142" s="23"/>
      <c r="AB142" s="23"/>
      <c r="AC142" s="23"/>
      <c r="AD142" s="23"/>
      <c r="AE142" s="23"/>
      <c r="AF142" s="23"/>
      <c r="AG142" s="23"/>
      <c r="AH142" s="23"/>
      <c r="AI142" s="23"/>
      <c r="AJ142" s="23"/>
      <c r="AK142" s="23"/>
      <c r="AL142" s="22"/>
      <c r="AM142" s="22"/>
      <c r="AN142" s="22"/>
      <c r="AO142" s="22"/>
      <c r="AP142" s="22"/>
      <c r="AQ142" s="22"/>
      <c r="AR142" s="22"/>
    </row>
    <row r="143" spans="1:44" ht="16.5" thickBot="1" x14ac:dyDescent="0.3">
      <c r="A143" s="30" t="s">
        <v>283</v>
      </c>
      <c r="B143" s="31" t="s">
        <v>284</v>
      </c>
      <c r="C143" s="27">
        <v>235082</v>
      </c>
      <c r="D143" s="18"/>
      <c r="E143" s="19">
        <f t="shared" si="6"/>
        <v>235082</v>
      </c>
      <c r="F143" s="19">
        <f t="shared" si="7"/>
        <v>0</v>
      </c>
      <c r="G143" s="19">
        <f t="shared" si="8"/>
        <v>235082</v>
      </c>
      <c r="H143" s="23"/>
      <c r="I143" s="23"/>
      <c r="J143" s="23"/>
      <c r="K143" s="56"/>
      <c r="L143" s="56"/>
      <c r="M143" s="56"/>
      <c r="N143" s="56"/>
      <c r="O143" s="23"/>
      <c r="P143" s="23"/>
      <c r="Q143" s="23"/>
      <c r="R143" s="23"/>
      <c r="S143" s="23"/>
      <c r="T143" s="23"/>
      <c r="U143" s="23"/>
      <c r="V143" s="23"/>
      <c r="W143" s="23"/>
      <c r="X143" s="23"/>
      <c r="Y143" s="23"/>
      <c r="Z143" s="23"/>
      <c r="AA143" s="23"/>
      <c r="AB143" s="23"/>
      <c r="AC143" s="23"/>
      <c r="AD143" s="23"/>
      <c r="AE143" s="23"/>
      <c r="AF143" s="23"/>
      <c r="AG143" s="23"/>
      <c r="AH143" s="23"/>
      <c r="AI143" s="23"/>
      <c r="AJ143" s="23"/>
      <c r="AK143" s="23"/>
      <c r="AL143" s="22"/>
      <c r="AM143" s="22"/>
      <c r="AN143" s="22"/>
      <c r="AO143" s="22"/>
      <c r="AP143" s="22"/>
      <c r="AQ143" s="22"/>
      <c r="AR143" s="22"/>
    </row>
    <row r="144" spans="1:44" ht="16.5" thickBot="1" x14ac:dyDescent="0.3">
      <c r="A144" s="30" t="s">
        <v>285</v>
      </c>
      <c r="B144" s="31" t="s">
        <v>286</v>
      </c>
      <c r="C144" s="27">
        <v>1784677</v>
      </c>
      <c r="D144" s="18"/>
      <c r="E144" s="19">
        <f t="shared" si="6"/>
        <v>1784677</v>
      </c>
      <c r="F144" s="19">
        <f t="shared" si="7"/>
        <v>1784677</v>
      </c>
      <c r="G144" s="19">
        <f t="shared" si="8"/>
        <v>0</v>
      </c>
      <c r="H144" s="23"/>
      <c r="I144" s="23"/>
      <c r="J144" s="23"/>
      <c r="K144" s="56"/>
      <c r="L144" s="56"/>
      <c r="M144" s="56"/>
      <c r="N144" s="56"/>
      <c r="O144" s="23"/>
      <c r="P144" s="23"/>
      <c r="Q144" s="23"/>
      <c r="R144" s="23">
        <v>143445</v>
      </c>
      <c r="S144" s="23">
        <v>140486</v>
      </c>
      <c r="T144" s="23">
        <v>142266</v>
      </c>
      <c r="U144" s="23">
        <v>137292</v>
      </c>
      <c r="V144" s="23">
        <f>142044+144293</f>
        <v>286337</v>
      </c>
      <c r="W144" s="23">
        <v>143056</v>
      </c>
      <c r="X144" s="23"/>
      <c r="Y144" s="23">
        <f>140591+140999</f>
        <v>281590</v>
      </c>
      <c r="Z144" s="23"/>
      <c r="AA144" s="23">
        <v>510205</v>
      </c>
      <c r="AB144" s="23"/>
      <c r="AC144" s="23"/>
      <c r="AD144" s="23"/>
      <c r="AE144" s="23"/>
      <c r="AF144" s="23"/>
      <c r="AG144" s="23"/>
      <c r="AH144" s="23"/>
      <c r="AI144" s="23"/>
      <c r="AJ144" s="23"/>
      <c r="AK144" s="23"/>
      <c r="AL144" s="22"/>
      <c r="AM144" s="22"/>
      <c r="AN144" s="22"/>
      <c r="AO144" s="22"/>
      <c r="AP144" s="22"/>
      <c r="AQ144" s="22"/>
      <c r="AR144" s="22"/>
    </row>
    <row r="145" spans="1:44" ht="16.5" thickBot="1" x14ac:dyDescent="0.3">
      <c r="A145" s="30" t="s">
        <v>287</v>
      </c>
      <c r="B145" s="31" t="s">
        <v>288</v>
      </c>
      <c r="C145" s="27">
        <v>282464</v>
      </c>
      <c r="D145" s="18"/>
      <c r="E145" s="19">
        <f t="shared" si="6"/>
        <v>282464</v>
      </c>
      <c r="F145" s="19">
        <f t="shared" si="7"/>
        <v>282464</v>
      </c>
      <c r="G145" s="19">
        <f t="shared" si="8"/>
        <v>0</v>
      </c>
      <c r="H145" s="23"/>
      <c r="I145" s="23"/>
      <c r="J145" s="23"/>
      <c r="K145" s="56"/>
      <c r="L145" s="56"/>
      <c r="M145" s="56"/>
      <c r="N145" s="56"/>
      <c r="O145" s="23"/>
      <c r="P145" s="23"/>
      <c r="Q145" s="23"/>
      <c r="R145" s="23"/>
      <c r="S145" s="23"/>
      <c r="T145" s="23"/>
      <c r="U145" s="23"/>
      <c r="V145" s="23">
        <v>125000</v>
      </c>
      <c r="W145" s="23"/>
      <c r="X145" s="23"/>
      <c r="Y145" s="23">
        <v>157464</v>
      </c>
      <c r="Z145" s="23"/>
      <c r="AA145" s="23"/>
      <c r="AB145" s="23"/>
      <c r="AC145" s="23"/>
      <c r="AD145" s="23"/>
      <c r="AE145" s="23"/>
      <c r="AF145" s="23"/>
      <c r="AG145" s="23"/>
      <c r="AH145" s="23"/>
      <c r="AI145" s="23"/>
      <c r="AJ145" s="23"/>
      <c r="AK145" s="23"/>
      <c r="AL145" s="22"/>
      <c r="AM145" s="22"/>
      <c r="AN145" s="22"/>
      <c r="AO145" s="22"/>
      <c r="AP145" s="22"/>
      <c r="AQ145" s="22"/>
      <c r="AR145" s="22"/>
    </row>
    <row r="146" spans="1:44" ht="16.5" thickBot="1" x14ac:dyDescent="0.3">
      <c r="A146" s="30" t="s">
        <v>289</v>
      </c>
      <c r="B146" s="31" t="s">
        <v>290</v>
      </c>
      <c r="C146" s="27">
        <v>123788</v>
      </c>
      <c r="D146" s="18"/>
      <c r="E146" s="19">
        <f t="shared" si="6"/>
        <v>123788</v>
      </c>
      <c r="F146" s="19">
        <f t="shared" si="7"/>
        <v>57740</v>
      </c>
      <c r="G146" s="19">
        <f t="shared" si="8"/>
        <v>66048</v>
      </c>
      <c r="H146" s="23"/>
      <c r="I146" s="23"/>
      <c r="J146" s="23"/>
      <c r="K146" s="56"/>
      <c r="L146" s="56">
        <v>26250</v>
      </c>
      <c r="M146" s="56"/>
      <c r="N146" s="56"/>
      <c r="O146" s="23"/>
      <c r="P146" s="23"/>
      <c r="Q146" s="23"/>
      <c r="R146" s="23"/>
      <c r="S146" s="23"/>
      <c r="T146" s="23"/>
      <c r="U146" s="23">
        <v>31490</v>
      </c>
      <c r="V146" s="23"/>
      <c r="W146" s="23"/>
      <c r="X146" s="23"/>
      <c r="Y146" s="23"/>
      <c r="Z146" s="23"/>
      <c r="AA146" s="23"/>
      <c r="AB146" s="23"/>
      <c r="AC146" s="23"/>
      <c r="AD146" s="23"/>
      <c r="AE146" s="23"/>
      <c r="AF146" s="23"/>
      <c r="AG146" s="23"/>
      <c r="AH146" s="23"/>
      <c r="AI146" s="23"/>
      <c r="AJ146" s="23"/>
      <c r="AK146" s="23"/>
      <c r="AL146" s="22"/>
      <c r="AM146" s="22"/>
      <c r="AN146" s="22"/>
      <c r="AO146" s="22"/>
      <c r="AP146" s="22"/>
      <c r="AQ146" s="22"/>
      <c r="AR146" s="22"/>
    </row>
    <row r="147" spans="1:44" ht="16.5" thickBot="1" x14ac:dyDescent="0.3">
      <c r="A147" s="30" t="s">
        <v>291</v>
      </c>
      <c r="B147" s="31" t="s">
        <v>292</v>
      </c>
      <c r="C147" s="27">
        <v>19130692</v>
      </c>
      <c r="D147" s="18"/>
      <c r="E147" s="19">
        <f t="shared" si="6"/>
        <v>19130692</v>
      </c>
      <c r="F147" s="19">
        <f t="shared" si="7"/>
        <v>7522915.6699999999</v>
      </c>
      <c r="G147" s="19">
        <f t="shared" si="8"/>
        <v>11607776.33</v>
      </c>
      <c r="H147" s="23"/>
      <c r="I147" s="23"/>
      <c r="J147" s="23"/>
      <c r="K147" s="56"/>
      <c r="L147" s="56"/>
      <c r="M147" s="56"/>
      <c r="N147" s="56"/>
      <c r="O147" s="23"/>
      <c r="P147" s="23"/>
      <c r="Q147" s="23">
        <v>25513.01</v>
      </c>
      <c r="R147" s="23">
        <v>902936</v>
      </c>
      <c r="S147" s="23">
        <v>1687968.25</v>
      </c>
      <c r="T147" s="23"/>
      <c r="U147" s="23">
        <v>1095217.1299999999</v>
      </c>
      <c r="V147" s="23">
        <v>225075.98</v>
      </c>
      <c r="W147" s="23">
        <v>227818.15</v>
      </c>
      <c r="X147" s="23">
        <v>439541.65</v>
      </c>
      <c r="Y147" s="23">
        <v>1016829.34</v>
      </c>
      <c r="Z147" s="23"/>
      <c r="AA147" s="23">
        <v>1267071.28</v>
      </c>
      <c r="AB147" s="23">
        <v>634944.88</v>
      </c>
      <c r="AC147" s="23"/>
      <c r="AD147" s="23"/>
      <c r="AE147" s="23"/>
      <c r="AF147" s="23"/>
      <c r="AG147" s="23"/>
      <c r="AH147" s="23"/>
      <c r="AI147" s="23"/>
      <c r="AJ147" s="23"/>
      <c r="AK147" s="23"/>
      <c r="AL147" s="22"/>
      <c r="AM147" s="22"/>
      <c r="AN147" s="22"/>
      <c r="AO147" s="22"/>
      <c r="AP147" s="22"/>
      <c r="AQ147" s="22"/>
      <c r="AR147" s="22"/>
    </row>
    <row r="148" spans="1:44" ht="16.5" thickBot="1" x14ac:dyDescent="0.3">
      <c r="A148" s="30" t="s">
        <v>293</v>
      </c>
      <c r="B148" s="31" t="s">
        <v>294</v>
      </c>
      <c r="C148" s="27">
        <v>3441456</v>
      </c>
      <c r="D148" s="18"/>
      <c r="E148" s="19">
        <f t="shared" si="6"/>
        <v>3441456</v>
      </c>
      <c r="F148" s="19">
        <f t="shared" si="7"/>
        <v>2115518.2800000003</v>
      </c>
      <c r="G148" s="19">
        <f t="shared" si="8"/>
        <v>1325937.7199999997</v>
      </c>
      <c r="H148" s="23"/>
      <c r="I148" s="23"/>
      <c r="J148" s="23"/>
      <c r="K148" s="56"/>
      <c r="L148" s="56"/>
      <c r="M148" s="56"/>
      <c r="N148" s="56">
        <v>627470.01</v>
      </c>
      <c r="O148" s="23"/>
      <c r="P148" s="23"/>
      <c r="Q148" s="23"/>
      <c r="R148" s="23"/>
      <c r="S148" s="23">
        <f>11320.21+417673.9</f>
        <v>428994.11000000004</v>
      </c>
      <c r="T148" s="23">
        <v>146824.68</v>
      </c>
      <c r="U148" s="23">
        <v>193818.49</v>
      </c>
      <c r="V148" s="23"/>
      <c r="W148" s="23">
        <v>88624.84</v>
      </c>
      <c r="X148" s="23">
        <f>142595.35+136222.07</f>
        <v>278817.42000000004</v>
      </c>
      <c r="Y148" s="23">
        <v>87193.56</v>
      </c>
      <c r="Z148" s="23">
        <v>111074.81</v>
      </c>
      <c r="AA148" s="23">
        <v>152700.35999999999</v>
      </c>
      <c r="AB148" s="23"/>
      <c r="AC148" s="23"/>
      <c r="AD148" s="23"/>
      <c r="AE148" s="23"/>
      <c r="AF148" s="23"/>
      <c r="AG148" s="23"/>
      <c r="AH148" s="23"/>
      <c r="AI148" s="23"/>
      <c r="AJ148" s="23"/>
      <c r="AK148" s="23"/>
      <c r="AL148" s="22"/>
      <c r="AM148" s="22"/>
      <c r="AN148" s="22"/>
      <c r="AO148" s="22"/>
      <c r="AP148" s="22"/>
      <c r="AQ148" s="22"/>
      <c r="AR148" s="22"/>
    </row>
    <row r="149" spans="1:44" ht="16.5" thickBot="1" x14ac:dyDescent="0.3">
      <c r="A149" s="30" t="s">
        <v>295</v>
      </c>
      <c r="B149" s="31" t="s">
        <v>296</v>
      </c>
      <c r="C149" s="27">
        <v>312003</v>
      </c>
      <c r="D149" s="18"/>
      <c r="E149" s="19">
        <f t="shared" si="6"/>
        <v>312003</v>
      </c>
      <c r="F149" s="19">
        <f t="shared" si="7"/>
        <v>312003</v>
      </c>
      <c r="G149" s="19">
        <f t="shared" si="8"/>
        <v>0</v>
      </c>
      <c r="H149" s="23"/>
      <c r="I149" s="23"/>
      <c r="J149" s="23"/>
      <c r="K149" s="56"/>
      <c r="L149" s="56"/>
      <c r="M149" s="56">
        <v>312003</v>
      </c>
      <c r="N149" s="56"/>
      <c r="O149" s="23"/>
      <c r="P149" s="23"/>
      <c r="Q149" s="23"/>
      <c r="R149" s="23"/>
      <c r="S149" s="23"/>
      <c r="T149" s="23"/>
      <c r="U149" s="23"/>
      <c r="V149" s="23"/>
      <c r="W149" s="23"/>
      <c r="X149" s="23"/>
      <c r="Y149" s="23"/>
      <c r="Z149" s="23"/>
      <c r="AA149" s="23"/>
      <c r="AB149" s="23"/>
      <c r="AC149" s="23"/>
      <c r="AD149" s="23"/>
      <c r="AE149" s="23"/>
      <c r="AF149" s="23"/>
      <c r="AG149" s="23"/>
      <c r="AH149" s="23"/>
      <c r="AI149" s="23"/>
      <c r="AJ149" s="23"/>
      <c r="AK149" s="23"/>
      <c r="AL149" s="22"/>
      <c r="AM149" s="22"/>
      <c r="AN149" s="22"/>
      <c r="AO149" s="22"/>
      <c r="AP149" s="22"/>
      <c r="AQ149" s="22"/>
      <c r="AR149" s="22"/>
    </row>
    <row r="150" spans="1:44" ht="16.5" thickBot="1" x14ac:dyDescent="0.3">
      <c r="A150" s="30" t="s">
        <v>297</v>
      </c>
      <c r="B150" s="31" t="s">
        <v>298</v>
      </c>
      <c r="C150" s="27">
        <v>129729</v>
      </c>
      <c r="D150" s="18"/>
      <c r="E150" s="19">
        <f t="shared" si="6"/>
        <v>129729</v>
      </c>
      <c r="F150" s="19">
        <f t="shared" si="7"/>
        <v>129729</v>
      </c>
      <c r="G150" s="19">
        <f t="shared" si="8"/>
        <v>0</v>
      </c>
      <c r="H150" s="23"/>
      <c r="I150" s="23"/>
      <c r="J150" s="23"/>
      <c r="K150" s="56"/>
      <c r="L150" s="56"/>
      <c r="M150" s="56"/>
      <c r="N150" s="56"/>
      <c r="O150" s="23"/>
      <c r="P150" s="23"/>
      <c r="Q150" s="23"/>
      <c r="R150" s="23"/>
      <c r="S150" s="23"/>
      <c r="T150" s="23"/>
      <c r="U150" s="23"/>
      <c r="V150" s="23">
        <v>51864.07</v>
      </c>
      <c r="W150" s="23"/>
      <c r="X150" s="23"/>
      <c r="Y150" s="23">
        <v>77864.929999999993</v>
      </c>
      <c r="Z150" s="23"/>
      <c r="AA150" s="23"/>
      <c r="AB150" s="23"/>
      <c r="AC150" s="23"/>
      <c r="AD150" s="23"/>
      <c r="AE150" s="23"/>
      <c r="AF150" s="23"/>
      <c r="AG150" s="23"/>
      <c r="AH150" s="23"/>
      <c r="AI150" s="23"/>
      <c r="AJ150" s="23"/>
      <c r="AK150" s="23"/>
      <c r="AL150" s="22"/>
      <c r="AM150" s="22"/>
      <c r="AN150" s="22"/>
      <c r="AO150" s="22"/>
      <c r="AP150" s="22"/>
      <c r="AQ150" s="22"/>
      <c r="AR150" s="22"/>
    </row>
    <row r="151" spans="1:44" ht="16.5" thickBot="1" x14ac:dyDescent="0.3">
      <c r="A151" s="30" t="s">
        <v>299</v>
      </c>
      <c r="B151" s="31" t="s">
        <v>300</v>
      </c>
      <c r="C151" s="27">
        <v>653764</v>
      </c>
      <c r="D151" s="18"/>
      <c r="E151" s="19">
        <f t="shared" si="6"/>
        <v>653764</v>
      </c>
      <c r="F151" s="19">
        <f t="shared" si="7"/>
        <v>653764</v>
      </c>
      <c r="G151" s="19">
        <f t="shared" si="8"/>
        <v>0</v>
      </c>
      <c r="H151" s="23"/>
      <c r="I151" s="23"/>
      <c r="J151" s="23"/>
      <c r="K151" s="56"/>
      <c r="L151" s="56">
        <v>653764</v>
      </c>
      <c r="M151" s="56"/>
      <c r="N151" s="56"/>
      <c r="O151" s="23"/>
      <c r="P151" s="23"/>
      <c r="Q151" s="23"/>
      <c r="R151" s="23"/>
      <c r="S151" s="23"/>
      <c r="T151" s="23"/>
      <c r="U151" s="23"/>
      <c r="V151" s="23"/>
      <c r="W151" s="23"/>
      <c r="X151" s="23"/>
      <c r="Y151" s="23"/>
      <c r="Z151" s="23"/>
      <c r="AA151" s="23"/>
      <c r="AB151" s="23"/>
      <c r="AC151" s="23"/>
      <c r="AD151" s="23"/>
      <c r="AE151" s="23"/>
      <c r="AF151" s="23"/>
      <c r="AG151" s="23"/>
      <c r="AH151" s="23"/>
      <c r="AI151" s="23"/>
      <c r="AJ151" s="23"/>
      <c r="AK151" s="23"/>
      <c r="AL151" s="22"/>
      <c r="AM151" s="22"/>
      <c r="AN151" s="22"/>
      <c r="AO151" s="22"/>
      <c r="AP151" s="22"/>
      <c r="AQ151" s="22"/>
      <c r="AR151" s="22"/>
    </row>
    <row r="152" spans="1:44" ht="16.5" thickBot="1" x14ac:dyDescent="0.3">
      <c r="A152" s="30" t="s">
        <v>301</v>
      </c>
      <c r="B152" s="31" t="s">
        <v>302</v>
      </c>
      <c r="C152" s="27">
        <v>1188079</v>
      </c>
      <c r="D152" s="18"/>
      <c r="E152" s="19">
        <f t="shared" si="6"/>
        <v>1188079</v>
      </c>
      <c r="F152" s="19">
        <f t="shared" si="7"/>
        <v>661602</v>
      </c>
      <c r="G152" s="19">
        <f t="shared" si="8"/>
        <v>526477</v>
      </c>
      <c r="H152" s="23"/>
      <c r="I152" s="23"/>
      <c r="J152" s="23"/>
      <c r="K152" s="56"/>
      <c r="L152" s="56"/>
      <c r="M152" s="56"/>
      <c r="N152" s="56"/>
      <c r="O152" s="23"/>
      <c r="P152" s="23"/>
      <c r="Q152" s="23">
        <v>48853</v>
      </c>
      <c r="R152" s="23">
        <v>46796</v>
      </c>
      <c r="S152" s="23">
        <v>46933</v>
      </c>
      <c r="T152" s="23">
        <v>44380</v>
      </c>
      <c r="U152" s="23">
        <v>40493</v>
      </c>
      <c r="V152" s="23">
        <v>44735</v>
      </c>
      <c r="W152" s="23">
        <v>42316</v>
      </c>
      <c r="X152" s="23">
        <v>198337</v>
      </c>
      <c r="Y152" s="23">
        <v>36702</v>
      </c>
      <c r="Z152" s="23">
        <v>37222</v>
      </c>
      <c r="AA152" s="23">
        <v>37418</v>
      </c>
      <c r="AB152" s="23">
        <v>37417</v>
      </c>
      <c r="AC152" s="23"/>
      <c r="AD152" s="23"/>
      <c r="AE152" s="23"/>
      <c r="AF152" s="23"/>
      <c r="AG152" s="23"/>
      <c r="AH152" s="23"/>
      <c r="AI152" s="23"/>
      <c r="AJ152" s="23"/>
      <c r="AK152" s="23"/>
      <c r="AL152" s="22"/>
      <c r="AM152" s="22"/>
      <c r="AN152" s="22"/>
      <c r="AO152" s="22"/>
      <c r="AP152" s="22"/>
      <c r="AQ152" s="22"/>
      <c r="AR152" s="22"/>
    </row>
    <row r="153" spans="1:44" ht="16.5" thickBot="1" x14ac:dyDescent="0.3">
      <c r="A153" s="30" t="s">
        <v>303</v>
      </c>
      <c r="B153" s="31" t="s">
        <v>304</v>
      </c>
      <c r="C153" s="27">
        <v>137046</v>
      </c>
      <c r="D153" s="18"/>
      <c r="E153" s="19">
        <f t="shared" si="6"/>
        <v>137046</v>
      </c>
      <c r="F153" s="19">
        <f t="shared" si="7"/>
        <v>107767.45</v>
      </c>
      <c r="G153" s="19">
        <f t="shared" si="8"/>
        <v>29278.550000000003</v>
      </c>
      <c r="H153" s="23"/>
      <c r="I153" s="23"/>
      <c r="J153" s="23"/>
      <c r="K153" s="56"/>
      <c r="L153" s="56"/>
      <c r="M153" s="56"/>
      <c r="N153" s="56"/>
      <c r="O153" s="23"/>
      <c r="P153" s="23"/>
      <c r="Q153" s="23"/>
      <c r="R153" s="23"/>
      <c r="S153" s="23"/>
      <c r="T153" s="23">
        <f>17279.4+58135.43</f>
        <v>75414.83</v>
      </c>
      <c r="U153" s="23"/>
      <c r="V153" s="23"/>
      <c r="W153" s="23"/>
      <c r="X153" s="23"/>
      <c r="Y153" s="23">
        <v>32352.62</v>
      </c>
      <c r="Z153" s="23"/>
      <c r="AA153" s="23"/>
      <c r="AB153" s="23"/>
      <c r="AC153" s="23"/>
      <c r="AD153" s="23"/>
      <c r="AE153" s="23"/>
      <c r="AF153" s="23"/>
      <c r="AG153" s="23"/>
      <c r="AH153" s="23"/>
      <c r="AI153" s="23"/>
      <c r="AJ153" s="23"/>
      <c r="AK153" s="23"/>
      <c r="AL153" s="22"/>
      <c r="AM153" s="22"/>
      <c r="AN153" s="22"/>
      <c r="AO153" s="22"/>
      <c r="AP153" s="22"/>
      <c r="AQ153" s="22"/>
      <c r="AR153" s="22"/>
    </row>
    <row r="154" spans="1:44" ht="16.5" thickBot="1" x14ac:dyDescent="0.3">
      <c r="A154" s="30" t="s">
        <v>305</v>
      </c>
      <c r="B154" s="31" t="s">
        <v>306</v>
      </c>
      <c r="C154" s="27">
        <v>0</v>
      </c>
      <c r="D154" s="18"/>
      <c r="E154" s="19">
        <f t="shared" si="6"/>
        <v>0</v>
      </c>
      <c r="F154" s="19">
        <f t="shared" si="7"/>
        <v>0</v>
      </c>
      <c r="G154" s="19">
        <f t="shared" si="8"/>
        <v>0</v>
      </c>
      <c r="H154" s="23"/>
      <c r="I154" s="23"/>
      <c r="J154" s="23"/>
      <c r="K154" s="56"/>
      <c r="L154" s="56"/>
      <c r="M154" s="56"/>
      <c r="N154" s="56"/>
      <c r="O154" s="23"/>
      <c r="P154" s="23"/>
      <c r="Q154" s="23"/>
      <c r="R154" s="23"/>
      <c r="S154" s="23"/>
      <c r="T154" s="23"/>
      <c r="U154" s="23"/>
      <c r="V154" s="23"/>
      <c r="W154" s="23"/>
      <c r="X154" s="23"/>
      <c r="Y154" s="23"/>
      <c r="Z154" s="23"/>
      <c r="AA154" s="23"/>
      <c r="AB154" s="23"/>
      <c r="AC154" s="23"/>
      <c r="AD154" s="23"/>
      <c r="AE154" s="23"/>
      <c r="AF154" s="23"/>
      <c r="AG154" s="23"/>
      <c r="AH154" s="23"/>
      <c r="AI154" s="23"/>
      <c r="AJ154" s="23"/>
      <c r="AK154" s="23"/>
      <c r="AL154" s="22"/>
      <c r="AM154" s="22"/>
      <c r="AN154" s="22"/>
      <c r="AO154" s="22"/>
      <c r="AP154" s="22"/>
      <c r="AQ154" s="22"/>
      <c r="AR154" s="22"/>
    </row>
    <row r="155" spans="1:44" ht="16.5" thickBot="1" x14ac:dyDescent="0.3">
      <c r="A155" s="30" t="s">
        <v>307</v>
      </c>
      <c r="B155" s="31" t="s">
        <v>308</v>
      </c>
      <c r="C155" s="27">
        <v>612531</v>
      </c>
      <c r="D155" s="18"/>
      <c r="E155" s="19">
        <f t="shared" si="6"/>
        <v>612531</v>
      </c>
      <c r="F155" s="19">
        <f t="shared" si="7"/>
        <v>612531</v>
      </c>
      <c r="G155" s="19">
        <f t="shared" si="8"/>
        <v>0</v>
      </c>
      <c r="H155" s="23"/>
      <c r="I155" s="23"/>
      <c r="J155" s="23"/>
      <c r="K155" s="56"/>
      <c r="L155" s="56"/>
      <c r="M155" s="56"/>
      <c r="N155" s="56"/>
      <c r="O155" s="23"/>
      <c r="P155" s="23"/>
      <c r="Q155" s="23"/>
      <c r="R155" s="23"/>
      <c r="S155" s="23"/>
      <c r="T155" s="23"/>
      <c r="U155" s="23"/>
      <c r="V155" s="23"/>
      <c r="W155" s="23">
        <v>25000</v>
      </c>
      <c r="X155" s="23"/>
      <c r="Y155" s="23">
        <v>419324.58</v>
      </c>
      <c r="Z155" s="23"/>
      <c r="AA155" s="23"/>
      <c r="AB155" s="23">
        <v>168206.42</v>
      </c>
      <c r="AC155" s="23"/>
      <c r="AD155" s="23"/>
      <c r="AE155" s="23"/>
      <c r="AF155" s="23"/>
      <c r="AG155" s="23"/>
      <c r="AH155" s="23"/>
      <c r="AI155" s="23"/>
      <c r="AJ155" s="23"/>
      <c r="AK155" s="23"/>
      <c r="AL155" s="22"/>
      <c r="AM155" s="22"/>
      <c r="AN155" s="22"/>
      <c r="AO155" s="22"/>
      <c r="AP155" s="22"/>
      <c r="AQ155" s="22"/>
      <c r="AR155" s="22"/>
    </row>
    <row r="156" spans="1:44" ht="16.5" thickBot="1" x14ac:dyDescent="0.3">
      <c r="A156" s="30" t="s">
        <v>309</v>
      </c>
      <c r="B156" s="31" t="s">
        <v>310</v>
      </c>
      <c r="C156" s="27">
        <v>348819</v>
      </c>
      <c r="D156" s="18"/>
      <c r="E156" s="19">
        <f t="shared" si="6"/>
        <v>348819</v>
      </c>
      <c r="F156" s="19">
        <f t="shared" si="7"/>
        <v>165172.59</v>
      </c>
      <c r="G156" s="19">
        <f t="shared" si="8"/>
        <v>183646.41</v>
      </c>
      <c r="H156" s="23"/>
      <c r="I156" s="23"/>
      <c r="J156" s="23"/>
      <c r="K156" s="56"/>
      <c r="L156" s="56"/>
      <c r="M156" s="56"/>
      <c r="N156" s="56"/>
      <c r="O156" s="23"/>
      <c r="P156" s="23"/>
      <c r="Q156" s="23"/>
      <c r="R156" s="23"/>
      <c r="S156" s="23"/>
      <c r="T156" s="23"/>
      <c r="U156" s="23">
        <v>165172.59</v>
      </c>
      <c r="V156" s="23"/>
      <c r="W156" s="23"/>
      <c r="X156" s="23"/>
      <c r="Y156" s="23"/>
      <c r="Z156" s="23"/>
      <c r="AA156" s="23"/>
      <c r="AB156" s="23"/>
      <c r="AC156" s="23"/>
      <c r="AD156" s="23"/>
      <c r="AE156" s="23"/>
      <c r="AF156" s="23"/>
      <c r="AG156" s="23"/>
      <c r="AH156" s="23"/>
      <c r="AI156" s="23"/>
      <c r="AJ156" s="23"/>
      <c r="AK156" s="23"/>
      <c r="AL156" s="22"/>
      <c r="AM156" s="22"/>
      <c r="AN156" s="22"/>
      <c r="AO156" s="22"/>
      <c r="AP156" s="22"/>
      <c r="AQ156" s="22"/>
      <c r="AR156" s="22"/>
    </row>
    <row r="157" spans="1:44" ht="16.5" thickBot="1" x14ac:dyDescent="0.3">
      <c r="A157" s="30" t="s">
        <v>311</v>
      </c>
      <c r="B157" s="31" t="s">
        <v>312</v>
      </c>
      <c r="C157" s="27">
        <v>272917</v>
      </c>
      <c r="D157" s="18"/>
      <c r="E157" s="19">
        <f t="shared" si="6"/>
        <v>272917</v>
      </c>
      <c r="F157" s="19">
        <f t="shared" si="7"/>
        <v>259669.19</v>
      </c>
      <c r="G157" s="19">
        <f t="shared" si="8"/>
        <v>13247.809999999998</v>
      </c>
      <c r="H157" s="23"/>
      <c r="I157" s="23"/>
      <c r="J157" s="23"/>
      <c r="K157" s="56"/>
      <c r="L157" s="56"/>
      <c r="M157" s="56"/>
      <c r="N157" s="56"/>
      <c r="O157" s="23"/>
      <c r="P157" s="23"/>
      <c r="Q157" s="23"/>
      <c r="R157" s="23">
        <v>87298.240000000005</v>
      </c>
      <c r="S157" s="23"/>
      <c r="T157" s="23">
        <v>26187.47</v>
      </c>
      <c r="U157" s="23"/>
      <c r="V157" s="23"/>
      <c r="W157" s="23"/>
      <c r="X157" s="23"/>
      <c r="Y157" s="23"/>
      <c r="Z157" s="23"/>
      <c r="AA157" s="23"/>
      <c r="AB157" s="23">
        <v>146183.48000000001</v>
      </c>
      <c r="AC157" s="23"/>
      <c r="AD157" s="23"/>
      <c r="AE157" s="23"/>
      <c r="AF157" s="23"/>
      <c r="AG157" s="23"/>
      <c r="AH157" s="23"/>
      <c r="AI157" s="23"/>
      <c r="AJ157" s="23"/>
      <c r="AK157" s="23"/>
      <c r="AL157" s="22"/>
      <c r="AM157" s="22"/>
      <c r="AN157" s="22"/>
      <c r="AO157" s="22"/>
      <c r="AP157" s="22"/>
      <c r="AQ157" s="22"/>
      <c r="AR157" s="22"/>
    </row>
    <row r="158" spans="1:44" ht="16.5" thickBot="1" x14ac:dyDescent="0.3">
      <c r="A158" s="30" t="s">
        <v>313</v>
      </c>
      <c r="B158" s="31" t="s">
        <v>314</v>
      </c>
      <c r="C158" s="27">
        <v>479009</v>
      </c>
      <c r="D158" s="18"/>
      <c r="E158" s="19">
        <f t="shared" si="6"/>
        <v>479009</v>
      </c>
      <c r="F158" s="19">
        <f t="shared" si="7"/>
        <v>369305.22000000003</v>
      </c>
      <c r="G158" s="19">
        <f t="shared" si="8"/>
        <v>109703.77999999997</v>
      </c>
      <c r="H158" s="23"/>
      <c r="I158" s="23"/>
      <c r="J158" s="23"/>
      <c r="K158" s="56"/>
      <c r="L158" s="56"/>
      <c r="M158" s="56"/>
      <c r="N158" s="56"/>
      <c r="O158" s="23">
        <f>123326.97+5770.29</f>
        <v>129097.26</v>
      </c>
      <c r="P158" s="23">
        <v>10793.45</v>
      </c>
      <c r="Q158" s="23">
        <v>22085.89</v>
      </c>
      <c r="R158" s="23">
        <v>6837.39</v>
      </c>
      <c r="S158" s="23">
        <v>9343.73</v>
      </c>
      <c r="T158" s="23">
        <v>10546.06</v>
      </c>
      <c r="U158" s="23">
        <v>17261.98</v>
      </c>
      <c r="V158" s="23">
        <v>9088.1200000000008</v>
      </c>
      <c r="W158" s="23">
        <v>12229.43</v>
      </c>
      <c r="X158" s="23">
        <v>58782.080000000002</v>
      </c>
      <c r="Y158" s="23">
        <v>73434.36</v>
      </c>
      <c r="Z158" s="23">
        <v>7914.07</v>
      </c>
      <c r="AA158" s="23">
        <v>1891.4</v>
      </c>
      <c r="AB158" s="23"/>
      <c r="AC158" s="23"/>
      <c r="AD158" s="23"/>
      <c r="AE158" s="23"/>
      <c r="AF158" s="23"/>
      <c r="AG158" s="23"/>
      <c r="AH158" s="23"/>
      <c r="AI158" s="23"/>
      <c r="AJ158" s="23"/>
      <c r="AK158" s="23"/>
      <c r="AL158" s="22"/>
      <c r="AM158" s="22"/>
      <c r="AN158" s="22"/>
      <c r="AO158" s="22"/>
      <c r="AP158" s="22"/>
      <c r="AQ158" s="22"/>
      <c r="AR158" s="22"/>
    </row>
    <row r="159" spans="1:44" ht="16.5" thickBot="1" x14ac:dyDescent="0.3">
      <c r="A159" s="30" t="s">
        <v>315</v>
      </c>
      <c r="B159" s="31" t="s">
        <v>316</v>
      </c>
      <c r="C159" s="27">
        <v>1229748</v>
      </c>
      <c r="D159" s="18"/>
      <c r="E159" s="19">
        <f t="shared" si="6"/>
        <v>1229748</v>
      </c>
      <c r="F159" s="19">
        <f t="shared" si="7"/>
        <v>1092795.53</v>
      </c>
      <c r="G159" s="19">
        <f t="shared" si="8"/>
        <v>136952.46999999997</v>
      </c>
      <c r="H159" s="23"/>
      <c r="I159" s="23"/>
      <c r="J159" s="23"/>
      <c r="K159" s="56"/>
      <c r="L159" s="56"/>
      <c r="M159" s="56"/>
      <c r="N159" s="56"/>
      <c r="O159" s="23"/>
      <c r="P159" s="23"/>
      <c r="Q159" s="23"/>
      <c r="R159" s="23"/>
      <c r="S159" s="23">
        <v>150978.92000000001</v>
      </c>
      <c r="T159" s="23"/>
      <c r="U159" s="23">
        <v>116056.46</v>
      </c>
      <c r="V159" s="23"/>
      <c r="W159" s="23">
        <v>36524.639999999999</v>
      </c>
      <c r="X159" s="23"/>
      <c r="Y159" s="23">
        <v>430073.62</v>
      </c>
      <c r="Z159" s="23"/>
      <c r="AA159" s="23">
        <v>359161.89</v>
      </c>
      <c r="AB159" s="23"/>
      <c r="AC159" s="23"/>
      <c r="AD159" s="23"/>
      <c r="AE159" s="23"/>
      <c r="AF159" s="23"/>
      <c r="AG159" s="23"/>
      <c r="AH159" s="23"/>
      <c r="AI159" s="23"/>
      <c r="AJ159" s="23"/>
      <c r="AK159" s="23"/>
      <c r="AL159" s="22"/>
      <c r="AM159" s="22"/>
      <c r="AN159" s="22"/>
      <c r="AO159" s="22"/>
      <c r="AP159" s="22"/>
      <c r="AQ159" s="22"/>
      <c r="AR159" s="22"/>
    </row>
    <row r="160" spans="1:44" ht="16.5" thickBot="1" x14ac:dyDescent="0.3">
      <c r="A160" s="30" t="s">
        <v>317</v>
      </c>
      <c r="B160" s="31" t="s">
        <v>318</v>
      </c>
      <c r="C160" s="27">
        <v>67396</v>
      </c>
      <c r="D160" s="18"/>
      <c r="E160" s="19">
        <f t="shared" si="6"/>
        <v>67396</v>
      </c>
      <c r="F160" s="19">
        <f t="shared" si="7"/>
        <v>67396</v>
      </c>
      <c r="G160" s="19">
        <f t="shared" si="8"/>
        <v>0</v>
      </c>
      <c r="H160" s="23"/>
      <c r="I160" s="23"/>
      <c r="J160" s="23"/>
      <c r="K160" s="56"/>
      <c r="L160" s="56"/>
      <c r="M160" s="56"/>
      <c r="N160" s="56"/>
      <c r="O160" s="23"/>
      <c r="P160" s="23"/>
      <c r="Q160" s="23"/>
      <c r="R160" s="23"/>
      <c r="S160" s="23">
        <f>41864.3+25531.7</f>
        <v>67396</v>
      </c>
      <c r="T160" s="23"/>
      <c r="U160" s="23"/>
      <c r="V160" s="23"/>
      <c r="W160" s="23"/>
      <c r="X160" s="23"/>
      <c r="Y160" s="23"/>
      <c r="Z160" s="23"/>
      <c r="AA160" s="23"/>
      <c r="AB160" s="23"/>
      <c r="AC160" s="23"/>
      <c r="AD160" s="23"/>
      <c r="AE160" s="23"/>
      <c r="AF160" s="23"/>
      <c r="AG160" s="23"/>
      <c r="AH160" s="23"/>
      <c r="AI160" s="23"/>
      <c r="AJ160" s="23"/>
      <c r="AK160" s="23"/>
      <c r="AL160" s="22"/>
      <c r="AM160" s="22"/>
      <c r="AN160" s="22"/>
      <c r="AO160" s="22"/>
      <c r="AP160" s="22"/>
      <c r="AQ160" s="22"/>
      <c r="AR160" s="22"/>
    </row>
    <row r="161" spans="1:44" ht="16.5" thickBot="1" x14ac:dyDescent="0.3">
      <c r="A161" s="30" t="s">
        <v>319</v>
      </c>
      <c r="B161" s="31" t="s">
        <v>320</v>
      </c>
      <c r="C161" s="27">
        <v>267543</v>
      </c>
      <c r="D161" s="18"/>
      <c r="E161" s="19">
        <f t="shared" si="6"/>
        <v>267543</v>
      </c>
      <c r="F161" s="19">
        <f t="shared" si="7"/>
        <v>267543</v>
      </c>
      <c r="G161" s="19">
        <f t="shared" si="8"/>
        <v>0</v>
      </c>
      <c r="H161" s="23"/>
      <c r="I161" s="23"/>
      <c r="J161" s="23"/>
      <c r="K161" s="56"/>
      <c r="L161" s="56"/>
      <c r="M161" s="56">
        <v>237545</v>
      </c>
      <c r="N161" s="56"/>
      <c r="O161" s="23">
        <v>29998</v>
      </c>
      <c r="P161" s="23"/>
      <c r="Q161" s="23"/>
      <c r="R161" s="23"/>
      <c r="S161" s="23"/>
      <c r="T161" s="23"/>
      <c r="U161" s="23"/>
      <c r="V161" s="23"/>
      <c r="W161" s="23"/>
      <c r="X161" s="23"/>
      <c r="Y161" s="23"/>
      <c r="Z161" s="23"/>
      <c r="AA161" s="23"/>
      <c r="AB161" s="23"/>
      <c r="AC161" s="23"/>
      <c r="AD161" s="23"/>
      <c r="AE161" s="23"/>
      <c r="AF161" s="23"/>
      <c r="AG161" s="23"/>
      <c r="AH161" s="23"/>
      <c r="AI161" s="23"/>
      <c r="AJ161" s="23"/>
      <c r="AK161" s="23"/>
      <c r="AL161" s="22"/>
      <c r="AM161" s="22"/>
      <c r="AN161" s="22"/>
      <c r="AO161" s="22"/>
      <c r="AP161" s="22"/>
      <c r="AQ161" s="22"/>
      <c r="AR161" s="22"/>
    </row>
    <row r="162" spans="1:44" ht="16.5" thickBot="1" x14ac:dyDescent="0.3">
      <c r="A162" s="30" t="s">
        <v>321</v>
      </c>
      <c r="B162" s="31" t="s">
        <v>322</v>
      </c>
      <c r="C162" s="27">
        <v>147416</v>
      </c>
      <c r="D162" s="18"/>
      <c r="E162" s="19">
        <f t="shared" si="6"/>
        <v>147416</v>
      </c>
      <c r="F162" s="19">
        <f t="shared" si="7"/>
        <v>147416</v>
      </c>
      <c r="G162" s="19">
        <f t="shared" si="8"/>
        <v>0</v>
      </c>
      <c r="H162" s="23"/>
      <c r="I162" s="23"/>
      <c r="J162" s="23"/>
      <c r="K162" s="56"/>
      <c r="L162" s="56"/>
      <c r="M162" s="56">
        <v>140595.64000000001</v>
      </c>
      <c r="N162" s="56"/>
      <c r="O162" s="23"/>
      <c r="P162" s="23"/>
      <c r="Q162" s="23"/>
      <c r="R162" s="23"/>
      <c r="S162" s="23"/>
      <c r="T162" s="23"/>
      <c r="U162" s="23"/>
      <c r="V162" s="23"/>
      <c r="W162" s="23"/>
      <c r="X162" s="23"/>
      <c r="Y162" s="23">
        <v>6820.36</v>
      </c>
      <c r="Z162" s="23"/>
      <c r="AA162" s="23"/>
      <c r="AB162" s="23"/>
      <c r="AC162" s="23"/>
      <c r="AD162" s="23"/>
      <c r="AE162" s="23"/>
      <c r="AF162" s="23"/>
      <c r="AG162" s="23"/>
      <c r="AH162" s="23"/>
      <c r="AI162" s="23"/>
      <c r="AJ162" s="23"/>
      <c r="AK162" s="23"/>
      <c r="AL162" s="22"/>
      <c r="AM162" s="22"/>
      <c r="AN162" s="22"/>
      <c r="AO162" s="22"/>
      <c r="AP162" s="22"/>
      <c r="AQ162" s="22"/>
      <c r="AR162" s="22"/>
    </row>
    <row r="163" spans="1:44" ht="16.5" thickBot="1" x14ac:dyDescent="0.3">
      <c r="A163" s="30" t="s">
        <v>323</v>
      </c>
      <c r="B163" s="31" t="s">
        <v>324</v>
      </c>
      <c r="C163" s="27">
        <v>494273</v>
      </c>
      <c r="D163" s="18"/>
      <c r="E163" s="19">
        <f t="shared" si="6"/>
        <v>494273</v>
      </c>
      <c r="F163" s="19">
        <f t="shared" si="7"/>
        <v>494273</v>
      </c>
      <c r="G163" s="19">
        <f t="shared" si="8"/>
        <v>0</v>
      </c>
      <c r="H163" s="23"/>
      <c r="I163" s="23"/>
      <c r="J163" s="23"/>
      <c r="K163" s="56"/>
      <c r="L163" s="56"/>
      <c r="M163" s="56"/>
      <c r="N163" s="56"/>
      <c r="O163" s="23"/>
      <c r="P163" s="23">
        <v>178886.92</v>
      </c>
      <c r="Q163" s="23">
        <v>178886.92</v>
      </c>
      <c r="R163" s="23">
        <f>-Q163</f>
        <v>-178886.92</v>
      </c>
      <c r="S163" s="23"/>
      <c r="T163" s="23"/>
      <c r="U163" s="23"/>
      <c r="V163" s="23"/>
      <c r="W163" s="23"/>
      <c r="X163" s="23"/>
      <c r="Y163" s="23">
        <v>315386.08</v>
      </c>
      <c r="Z163" s="23"/>
      <c r="AA163" s="23"/>
      <c r="AB163" s="23"/>
      <c r="AC163" s="23"/>
      <c r="AD163" s="23"/>
      <c r="AE163" s="23"/>
      <c r="AF163" s="23"/>
      <c r="AG163" s="23"/>
      <c r="AH163" s="23"/>
      <c r="AI163" s="23"/>
      <c r="AJ163" s="23"/>
      <c r="AK163" s="23"/>
      <c r="AL163" s="22"/>
      <c r="AM163" s="22"/>
      <c r="AN163" s="22"/>
      <c r="AO163" s="22"/>
      <c r="AP163" s="22"/>
      <c r="AQ163" s="22"/>
      <c r="AR163" s="22"/>
    </row>
    <row r="164" spans="1:44" ht="16.5" thickBot="1" x14ac:dyDescent="0.3">
      <c r="A164" s="30" t="s">
        <v>325</v>
      </c>
      <c r="B164" s="31" t="s">
        <v>326</v>
      </c>
      <c r="C164" s="27">
        <v>129790</v>
      </c>
      <c r="D164" s="18"/>
      <c r="E164" s="19">
        <f t="shared" si="6"/>
        <v>129790</v>
      </c>
      <c r="F164" s="19">
        <f t="shared" si="7"/>
        <v>129790</v>
      </c>
      <c r="G164" s="19">
        <f t="shared" si="8"/>
        <v>0</v>
      </c>
      <c r="H164" s="23"/>
      <c r="I164" s="23"/>
      <c r="J164" s="23"/>
      <c r="K164" s="56"/>
      <c r="L164" s="56"/>
      <c r="M164" s="56">
        <v>129790</v>
      </c>
      <c r="N164" s="56"/>
      <c r="O164" s="23"/>
      <c r="P164" s="23">
        <v>-51770.31</v>
      </c>
      <c r="Q164" s="23"/>
      <c r="R164" s="23"/>
      <c r="S164" s="23"/>
      <c r="T164" s="23"/>
      <c r="U164" s="23"/>
      <c r="V164" s="23"/>
      <c r="W164" s="23">
        <v>31881.17</v>
      </c>
      <c r="X164" s="23"/>
      <c r="Y164" s="23">
        <v>19889.14</v>
      </c>
      <c r="Z164" s="23"/>
      <c r="AA164" s="23"/>
      <c r="AB164" s="23"/>
      <c r="AC164" s="23"/>
      <c r="AD164" s="23"/>
      <c r="AE164" s="23"/>
      <c r="AF164" s="23"/>
      <c r="AG164" s="23"/>
      <c r="AH164" s="23"/>
      <c r="AI164" s="23"/>
      <c r="AJ164" s="23"/>
      <c r="AK164" s="23"/>
      <c r="AL164" s="22"/>
      <c r="AM164" s="22"/>
      <c r="AN164" s="22"/>
      <c r="AO164" s="22"/>
      <c r="AP164" s="22"/>
      <c r="AQ164" s="22"/>
      <c r="AR164" s="22"/>
    </row>
    <row r="165" spans="1:44" ht="16.5" thickBot="1" x14ac:dyDescent="0.3">
      <c r="A165" s="30" t="s">
        <v>327</v>
      </c>
      <c r="B165" s="31" t="s">
        <v>328</v>
      </c>
      <c r="C165" s="27">
        <v>744199</v>
      </c>
      <c r="D165" s="18"/>
      <c r="E165" s="19">
        <f t="shared" si="6"/>
        <v>744199</v>
      </c>
      <c r="F165" s="19">
        <f t="shared" si="7"/>
        <v>622537</v>
      </c>
      <c r="G165" s="19">
        <f t="shared" si="8"/>
        <v>121662</v>
      </c>
      <c r="H165" s="23"/>
      <c r="I165" s="23"/>
      <c r="J165" s="23"/>
      <c r="K165" s="56"/>
      <c r="L165" s="56"/>
      <c r="M165" s="56"/>
      <c r="N165" s="56"/>
      <c r="O165" s="23"/>
      <c r="P165" s="23"/>
      <c r="Q165" s="23">
        <f>32537.87+19146</f>
        <v>51683.869999999995</v>
      </c>
      <c r="R165" s="23">
        <v>59213.42</v>
      </c>
      <c r="S165" s="23">
        <v>47265</v>
      </c>
      <c r="T165" s="23">
        <v>36890</v>
      </c>
      <c r="U165" s="23">
        <v>93756</v>
      </c>
      <c r="V165" s="23">
        <v>31344</v>
      </c>
      <c r="W165" s="23">
        <v>62234</v>
      </c>
      <c r="X165" s="23">
        <v>36416</v>
      </c>
      <c r="Y165" s="23">
        <v>81471.710000000006</v>
      </c>
      <c r="Z165" s="23">
        <v>59277</v>
      </c>
      <c r="AA165" s="23">
        <v>31688</v>
      </c>
      <c r="AB165" s="23">
        <v>31298</v>
      </c>
      <c r="AC165" s="23"/>
      <c r="AD165" s="23"/>
      <c r="AE165" s="23"/>
      <c r="AF165" s="23"/>
      <c r="AG165" s="23"/>
      <c r="AH165" s="23"/>
      <c r="AI165" s="23"/>
      <c r="AJ165" s="23"/>
      <c r="AK165" s="23"/>
      <c r="AL165" s="22"/>
      <c r="AM165" s="22"/>
      <c r="AN165" s="22"/>
      <c r="AO165" s="22"/>
      <c r="AP165" s="22"/>
      <c r="AQ165" s="22"/>
      <c r="AR165" s="22"/>
    </row>
    <row r="166" spans="1:44" ht="16.5" thickBot="1" x14ac:dyDescent="0.3">
      <c r="A166" s="30" t="s">
        <v>329</v>
      </c>
      <c r="B166" s="31" t="s">
        <v>330</v>
      </c>
      <c r="C166" s="27">
        <v>302143</v>
      </c>
      <c r="D166" s="18"/>
      <c r="E166" s="19">
        <f t="shared" si="6"/>
        <v>302143</v>
      </c>
      <c r="F166" s="19">
        <f t="shared" si="7"/>
        <v>0</v>
      </c>
      <c r="G166" s="19">
        <f t="shared" si="8"/>
        <v>302143</v>
      </c>
      <c r="H166" s="23"/>
      <c r="I166" s="23"/>
      <c r="J166" s="23"/>
      <c r="K166" s="56"/>
      <c r="L166" s="56"/>
      <c r="M166" s="56"/>
      <c r="N166" s="56"/>
      <c r="O166" s="23"/>
      <c r="P166" s="23"/>
      <c r="Q166" s="23"/>
      <c r="R166" s="23"/>
      <c r="S166" s="23"/>
      <c r="T166" s="23"/>
      <c r="U166" s="23"/>
      <c r="V166" s="23"/>
      <c r="W166" s="23"/>
      <c r="X166" s="23"/>
      <c r="Y166" s="23"/>
      <c r="Z166" s="23"/>
      <c r="AA166" s="23"/>
      <c r="AB166" s="23"/>
      <c r="AC166" s="23"/>
      <c r="AD166" s="23"/>
      <c r="AE166" s="23"/>
      <c r="AF166" s="23"/>
      <c r="AG166" s="23"/>
      <c r="AH166" s="23"/>
      <c r="AI166" s="23"/>
      <c r="AJ166" s="23"/>
      <c r="AK166" s="23"/>
      <c r="AL166" s="22"/>
      <c r="AM166" s="22"/>
      <c r="AN166" s="22"/>
      <c r="AO166" s="22"/>
      <c r="AP166" s="22"/>
      <c r="AQ166" s="22"/>
      <c r="AR166" s="22"/>
    </row>
    <row r="167" spans="1:44" ht="16.5" thickBot="1" x14ac:dyDescent="0.3">
      <c r="A167" s="30" t="s">
        <v>331</v>
      </c>
      <c r="B167" s="31" t="s">
        <v>332</v>
      </c>
      <c r="C167" s="27">
        <v>889325</v>
      </c>
      <c r="D167" s="18"/>
      <c r="E167" s="19">
        <f t="shared" si="6"/>
        <v>889325</v>
      </c>
      <c r="F167" s="19">
        <f t="shared" si="7"/>
        <v>552669.15</v>
      </c>
      <c r="G167" s="19">
        <f t="shared" si="8"/>
        <v>336655.85</v>
      </c>
      <c r="H167" s="23"/>
      <c r="I167" s="23"/>
      <c r="J167" s="23"/>
      <c r="K167" s="56"/>
      <c r="L167" s="56"/>
      <c r="M167" s="56"/>
      <c r="N167" s="56"/>
      <c r="O167" s="23"/>
      <c r="P167" s="23"/>
      <c r="Q167" s="23"/>
      <c r="R167" s="23"/>
      <c r="S167" s="23">
        <v>288511.15000000002</v>
      </c>
      <c r="T167" s="23"/>
      <c r="U167" s="23"/>
      <c r="V167" s="23"/>
      <c r="W167" s="23">
        <v>119615.64</v>
      </c>
      <c r="X167" s="23"/>
      <c r="Y167" s="23">
        <v>144542.35999999999</v>
      </c>
      <c r="Z167" s="23"/>
      <c r="AA167" s="23"/>
      <c r="AB167" s="23"/>
      <c r="AC167" s="23"/>
      <c r="AD167" s="23"/>
      <c r="AE167" s="23"/>
      <c r="AF167" s="23"/>
      <c r="AG167" s="23"/>
      <c r="AH167" s="23"/>
      <c r="AI167" s="23"/>
      <c r="AJ167" s="23"/>
      <c r="AK167" s="23"/>
      <c r="AL167" s="22"/>
      <c r="AM167" s="22"/>
      <c r="AN167" s="22"/>
      <c r="AO167" s="22"/>
      <c r="AP167" s="22"/>
      <c r="AQ167" s="22"/>
      <c r="AR167" s="22"/>
    </row>
    <row r="168" spans="1:44" ht="16.5" thickBot="1" x14ac:dyDescent="0.3">
      <c r="A168" s="30" t="s">
        <v>333</v>
      </c>
      <c r="B168" s="31" t="s">
        <v>334</v>
      </c>
      <c r="C168" s="27">
        <v>280357</v>
      </c>
      <c r="D168" s="18"/>
      <c r="E168" s="19">
        <f t="shared" si="6"/>
        <v>280357</v>
      </c>
      <c r="F168" s="19">
        <f t="shared" si="7"/>
        <v>162660.09</v>
      </c>
      <c r="G168" s="19">
        <f t="shared" si="8"/>
        <v>117696.91</v>
      </c>
      <c r="H168" s="23"/>
      <c r="I168" s="23"/>
      <c r="J168" s="23"/>
      <c r="K168" s="56"/>
      <c r="L168" s="56"/>
      <c r="M168" s="56"/>
      <c r="N168" s="56"/>
      <c r="O168" s="23"/>
      <c r="P168" s="23"/>
      <c r="Q168" s="23"/>
      <c r="R168" s="23"/>
      <c r="S168" s="23"/>
      <c r="T168" s="23">
        <v>28699.47</v>
      </c>
      <c r="U168" s="23"/>
      <c r="V168" s="23"/>
      <c r="W168" s="23"/>
      <c r="X168" s="23"/>
      <c r="Y168" s="23">
        <v>133960.62</v>
      </c>
      <c r="Z168" s="23"/>
      <c r="AA168" s="23"/>
      <c r="AB168" s="23"/>
      <c r="AC168" s="23"/>
      <c r="AD168" s="23"/>
      <c r="AE168" s="23"/>
      <c r="AF168" s="23"/>
      <c r="AG168" s="23"/>
      <c r="AH168" s="23"/>
      <c r="AI168" s="23"/>
      <c r="AJ168" s="23"/>
      <c r="AK168" s="23"/>
      <c r="AL168" s="22"/>
      <c r="AM168" s="22"/>
      <c r="AN168" s="22"/>
      <c r="AO168" s="22"/>
      <c r="AP168" s="22"/>
      <c r="AQ168" s="22"/>
      <c r="AR168" s="22"/>
    </row>
    <row r="169" spans="1:44" ht="16.5" thickBot="1" x14ac:dyDescent="0.3">
      <c r="A169" s="30" t="s">
        <v>335</v>
      </c>
      <c r="B169" s="31" t="s">
        <v>336</v>
      </c>
      <c r="C169" s="27">
        <v>60047</v>
      </c>
      <c r="D169" s="18"/>
      <c r="E169" s="19">
        <f t="shared" si="6"/>
        <v>60047</v>
      </c>
      <c r="F169" s="19">
        <f t="shared" si="7"/>
        <v>0</v>
      </c>
      <c r="G169" s="19">
        <f t="shared" si="8"/>
        <v>60047</v>
      </c>
      <c r="H169" s="23"/>
      <c r="I169" s="23"/>
      <c r="J169" s="23"/>
      <c r="K169" s="56"/>
      <c r="L169" s="56"/>
      <c r="M169" s="56"/>
      <c r="N169" s="56"/>
      <c r="O169" s="23"/>
      <c r="P169" s="23"/>
      <c r="Q169" s="23"/>
      <c r="R169" s="23"/>
      <c r="S169" s="23"/>
      <c r="T169" s="23"/>
      <c r="U169" s="23"/>
      <c r="V169" s="23"/>
      <c r="W169" s="23"/>
      <c r="X169" s="23"/>
      <c r="Y169" s="23"/>
      <c r="Z169" s="23"/>
      <c r="AA169" s="23"/>
      <c r="AB169" s="23"/>
      <c r="AC169" s="23"/>
      <c r="AD169" s="23"/>
      <c r="AE169" s="23"/>
      <c r="AF169" s="23"/>
      <c r="AG169" s="23"/>
      <c r="AH169" s="23"/>
      <c r="AI169" s="23"/>
      <c r="AJ169" s="23"/>
      <c r="AK169" s="23"/>
      <c r="AL169" s="22"/>
      <c r="AM169" s="22"/>
      <c r="AN169" s="22"/>
      <c r="AO169" s="22"/>
      <c r="AP169" s="22"/>
      <c r="AQ169" s="22"/>
      <c r="AR169" s="22"/>
    </row>
    <row r="170" spans="1:44" ht="16.5" thickBot="1" x14ac:dyDescent="0.3">
      <c r="A170" s="30" t="s">
        <v>337</v>
      </c>
      <c r="B170" s="31" t="s">
        <v>338</v>
      </c>
      <c r="C170" s="27">
        <v>90866</v>
      </c>
      <c r="D170" s="18"/>
      <c r="E170" s="19">
        <f t="shared" si="6"/>
        <v>90866</v>
      </c>
      <c r="F170" s="19">
        <f t="shared" si="7"/>
        <v>52523.37</v>
      </c>
      <c r="G170" s="19">
        <f t="shared" si="8"/>
        <v>38342.629999999997</v>
      </c>
      <c r="H170" s="23"/>
      <c r="I170" s="23"/>
      <c r="J170" s="23"/>
      <c r="K170" s="56"/>
      <c r="L170" s="56"/>
      <c r="M170" s="56"/>
      <c r="N170" s="56"/>
      <c r="O170" s="23"/>
      <c r="P170" s="23"/>
      <c r="Q170" s="23"/>
      <c r="R170" s="23"/>
      <c r="S170" s="23"/>
      <c r="T170" s="23"/>
      <c r="U170" s="23"/>
      <c r="V170" s="23"/>
      <c r="W170" s="23"/>
      <c r="X170" s="23"/>
      <c r="Y170" s="23"/>
      <c r="Z170" s="23"/>
      <c r="AA170" s="23"/>
      <c r="AB170" s="23">
        <v>52523.37</v>
      </c>
      <c r="AC170" s="23"/>
      <c r="AD170" s="23"/>
      <c r="AE170" s="23"/>
      <c r="AF170" s="23"/>
      <c r="AG170" s="23"/>
      <c r="AH170" s="23"/>
      <c r="AI170" s="23"/>
      <c r="AJ170" s="23"/>
      <c r="AK170" s="23"/>
      <c r="AL170" s="22"/>
      <c r="AM170" s="22"/>
      <c r="AN170" s="22"/>
      <c r="AO170" s="22"/>
      <c r="AP170" s="22"/>
      <c r="AQ170" s="22"/>
      <c r="AR170" s="22"/>
    </row>
    <row r="171" spans="1:44" ht="16.5" thickBot="1" x14ac:dyDescent="0.3">
      <c r="A171" s="30" t="s">
        <v>339</v>
      </c>
      <c r="B171" s="31" t="s">
        <v>340</v>
      </c>
      <c r="C171" s="27">
        <v>56407</v>
      </c>
      <c r="D171" s="18"/>
      <c r="E171" s="19">
        <f t="shared" si="6"/>
        <v>56407</v>
      </c>
      <c r="F171" s="19">
        <f t="shared" si="7"/>
        <v>56407</v>
      </c>
      <c r="G171" s="19">
        <f t="shared" si="8"/>
        <v>0</v>
      </c>
      <c r="H171" s="23"/>
      <c r="I171" s="23"/>
      <c r="J171" s="23"/>
      <c r="K171" s="56"/>
      <c r="L171" s="56"/>
      <c r="M171" s="56"/>
      <c r="N171" s="56"/>
      <c r="O171" s="23"/>
      <c r="P171" s="23"/>
      <c r="Q171" s="23"/>
      <c r="R171" s="23">
        <v>56407</v>
      </c>
      <c r="S171" s="23"/>
      <c r="T171" s="23"/>
      <c r="U171" s="23"/>
      <c r="V171" s="23"/>
      <c r="W171" s="23"/>
      <c r="X171" s="23"/>
      <c r="Y171" s="23"/>
      <c r="Z171" s="23"/>
      <c r="AA171" s="23"/>
      <c r="AB171" s="23"/>
      <c r="AC171" s="23"/>
      <c r="AD171" s="23"/>
      <c r="AE171" s="23"/>
      <c r="AF171" s="23"/>
      <c r="AG171" s="23"/>
      <c r="AH171" s="23"/>
      <c r="AI171" s="23"/>
      <c r="AJ171" s="23"/>
      <c r="AK171" s="23"/>
      <c r="AL171" s="22"/>
      <c r="AM171" s="22"/>
      <c r="AN171" s="22"/>
      <c r="AO171" s="22"/>
      <c r="AP171" s="22"/>
      <c r="AQ171" s="22"/>
      <c r="AR171" s="22"/>
    </row>
    <row r="172" spans="1:44" ht="16.5" thickBot="1" x14ac:dyDescent="0.3">
      <c r="A172" s="30" t="s">
        <v>341</v>
      </c>
      <c r="B172" s="31" t="s">
        <v>342</v>
      </c>
      <c r="C172" s="27">
        <v>86362</v>
      </c>
      <c r="D172" s="18"/>
      <c r="E172" s="19">
        <f t="shared" si="6"/>
        <v>86362</v>
      </c>
      <c r="F172" s="19">
        <f t="shared" si="7"/>
        <v>70826</v>
      </c>
      <c r="G172" s="19">
        <f t="shared" si="8"/>
        <v>15536</v>
      </c>
      <c r="H172" s="23"/>
      <c r="I172" s="23"/>
      <c r="J172" s="23"/>
      <c r="K172" s="56"/>
      <c r="L172" s="56"/>
      <c r="M172" s="56"/>
      <c r="N172" s="56"/>
      <c r="O172" s="23"/>
      <c r="P172" s="23"/>
      <c r="Q172" s="23"/>
      <c r="R172" s="23"/>
      <c r="S172" s="23"/>
      <c r="T172" s="23">
        <v>61116</v>
      </c>
      <c r="U172" s="23"/>
      <c r="V172" s="23"/>
      <c r="W172" s="23"/>
      <c r="X172" s="23">
        <v>9710</v>
      </c>
      <c r="Y172" s="23"/>
      <c r="Z172" s="23"/>
      <c r="AA172" s="23"/>
      <c r="AB172" s="23"/>
      <c r="AC172" s="23"/>
      <c r="AD172" s="23"/>
      <c r="AE172" s="23"/>
      <c r="AF172" s="23"/>
      <c r="AG172" s="23"/>
      <c r="AH172" s="23"/>
      <c r="AI172" s="23"/>
      <c r="AJ172" s="23"/>
      <c r="AK172" s="23"/>
      <c r="AL172" s="22"/>
      <c r="AM172" s="22"/>
      <c r="AN172" s="22"/>
      <c r="AO172" s="22"/>
      <c r="AP172" s="22"/>
      <c r="AQ172" s="22"/>
      <c r="AR172" s="22"/>
    </row>
    <row r="173" spans="1:44" ht="16.5" thickBot="1" x14ac:dyDescent="0.3">
      <c r="A173" s="30" t="s">
        <v>343</v>
      </c>
      <c r="B173" s="31" t="s">
        <v>344</v>
      </c>
      <c r="C173" s="27">
        <v>951110</v>
      </c>
      <c r="D173" s="18"/>
      <c r="E173" s="19">
        <f t="shared" si="6"/>
        <v>951110</v>
      </c>
      <c r="F173" s="19">
        <f t="shared" si="7"/>
        <v>708533.79</v>
      </c>
      <c r="G173" s="19">
        <f t="shared" si="8"/>
        <v>242576.20999999996</v>
      </c>
      <c r="H173" s="23"/>
      <c r="I173" s="23"/>
      <c r="J173" s="23"/>
      <c r="K173" s="56"/>
      <c r="L173" s="56"/>
      <c r="M173" s="56"/>
      <c r="N173" s="56"/>
      <c r="O173" s="23"/>
      <c r="P173" s="23">
        <v>228279.28</v>
      </c>
      <c r="Q173" s="23">
        <v>96526.97</v>
      </c>
      <c r="R173" s="23"/>
      <c r="S173" s="23"/>
      <c r="T173" s="23">
        <v>374787.87</v>
      </c>
      <c r="U173" s="23"/>
      <c r="V173" s="23">
        <v>8939.67</v>
      </c>
      <c r="W173" s="23"/>
      <c r="X173" s="23"/>
      <c r="Y173" s="23"/>
      <c r="Z173" s="23"/>
      <c r="AA173" s="23"/>
      <c r="AB173" s="23"/>
      <c r="AC173" s="23"/>
      <c r="AD173" s="23"/>
      <c r="AE173" s="23"/>
      <c r="AF173" s="23"/>
      <c r="AG173" s="23"/>
      <c r="AH173" s="23"/>
      <c r="AI173" s="23"/>
      <c r="AJ173" s="23"/>
      <c r="AK173" s="23"/>
      <c r="AL173" s="22"/>
      <c r="AM173" s="22"/>
      <c r="AN173" s="22"/>
      <c r="AO173" s="22"/>
      <c r="AP173" s="22"/>
      <c r="AQ173" s="22"/>
      <c r="AR173" s="22"/>
    </row>
    <row r="174" spans="1:44" ht="16.5" thickBot="1" x14ac:dyDescent="0.3">
      <c r="A174" s="30" t="s">
        <v>345</v>
      </c>
      <c r="B174" s="31" t="s">
        <v>346</v>
      </c>
      <c r="C174" s="27">
        <v>518033</v>
      </c>
      <c r="D174" s="18"/>
      <c r="E174" s="19">
        <f t="shared" si="6"/>
        <v>518033</v>
      </c>
      <c r="F174" s="19">
        <f t="shared" si="7"/>
        <v>518033</v>
      </c>
      <c r="G174" s="19">
        <f t="shared" si="8"/>
        <v>0</v>
      </c>
      <c r="H174" s="23"/>
      <c r="I174" s="23"/>
      <c r="J174" s="23"/>
      <c r="K174" s="56"/>
      <c r="L174" s="56"/>
      <c r="M174" s="56"/>
      <c r="N174" s="56"/>
      <c r="O174" s="23"/>
      <c r="P174" s="23">
        <v>179633.75</v>
      </c>
      <c r="Q174" s="23">
        <v>239315.28</v>
      </c>
      <c r="R174" s="23"/>
      <c r="S174" s="23"/>
      <c r="T174" s="23"/>
      <c r="U174" s="23"/>
      <c r="V174" s="23"/>
      <c r="W174" s="23"/>
      <c r="X174" s="23"/>
      <c r="Y174" s="23">
        <v>99083.97</v>
      </c>
      <c r="Z174" s="23"/>
      <c r="AA174" s="23"/>
      <c r="AB174" s="23"/>
      <c r="AC174" s="23"/>
      <c r="AD174" s="23"/>
      <c r="AE174" s="23"/>
      <c r="AF174" s="23"/>
      <c r="AG174" s="23"/>
      <c r="AH174" s="23"/>
      <c r="AI174" s="23"/>
      <c r="AJ174" s="23"/>
      <c r="AK174" s="23"/>
      <c r="AL174" s="22"/>
      <c r="AM174" s="22"/>
      <c r="AN174" s="22"/>
      <c r="AO174" s="22"/>
      <c r="AP174" s="22"/>
      <c r="AQ174" s="22"/>
      <c r="AR174" s="22"/>
    </row>
    <row r="175" spans="1:44" ht="16.5" thickBot="1" x14ac:dyDescent="0.3">
      <c r="A175" s="30" t="s">
        <v>347</v>
      </c>
      <c r="B175" s="31" t="s">
        <v>348</v>
      </c>
      <c r="C175" s="27">
        <v>1789444</v>
      </c>
      <c r="D175" s="18"/>
      <c r="E175" s="19">
        <f t="shared" si="6"/>
        <v>1789444</v>
      </c>
      <c r="F175" s="19">
        <f t="shared" si="7"/>
        <v>1005440.41</v>
      </c>
      <c r="G175" s="19">
        <f t="shared" si="8"/>
        <v>784003.59</v>
      </c>
      <c r="H175" s="23"/>
      <c r="I175" s="23"/>
      <c r="J175" s="23"/>
      <c r="K175" s="56"/>
      <c r="L175" s="56"/>
      <c r="M175" s="56"/>
      <c r="N175" s="56"/>
      <c r="O175" s="23"/>
      <c r="P175" s="23"/>
      <c r="Q175" s="23"/>
      <c r="R175" s="23"/>
      <c r="S175" s="23"/>
      <c r="T175" s="23"/>
      <c r="U175" s="23"/>
      <c r="V175" s="23"/>
      <c r="W175" s="23">
        <v>612903.76</v>
      </c>
      <c r="X175" s="23"/>
      <c r="Y175" s="23">
        <v>392536.65</v>
      </c>
      <c r="Z175" s="23"/>
      <c r="AA175" s="23"/>
      <c r="AB175" s="23"/>
      <c r="AC175" s="23"/>
      <c r="AD175" s="23"/>
      <c r="AE175" s="23"/>
      <c r="AF175" s="23"/>
      <c r="AG175" s="23"/>
      <c r="AH175" s="23"/>
      <c r="AI175" s="23"/>
      <c r="AJ175" s="23"/>
      <c r="AK175" s="23"/>
      <c r="AL175" s="22"/>
      <c r="AM175" s="22"/>
      <c r="AN175" s="22"/>
      <c r="AO175" s="22"/>
      <c r="AP175" s="22"/>
      <c r="AQ175" s="22"/>
      <c r="AR175" s="22"/>
    </row>
    <row r="176" spans="1:44" ht="16.5" thickBot="1" x14ac:dyDescent="0.3">
      <c r="A176" s="30" t="s">
        <v>349</v>
      </c>
      <c r="B176" s="31" t="s">
        <v>350</v>
      </c>
      <c r="C176" s="27">
        <v>903414</v>
      </c>
      <c r="D176" s="18"/>
      <c r="E176" s="19">
        <f t="shared" si="6"/>
        <v>903414</v>
      </c>
      <c r="F176" s="19">
        <f t="shared" si="7"/>
        <v>897879</v>
      </c>
      <c r="G176" s="19">
        <f t="shared" si="8"/>
        <v>5535</v>
      </c>
      <c r="H176" s="23"/>
      <c r="I176" s="23"/>
      <c r="J176" s="23"/>
      <c r="K176" s="56"/>
      <c r="L176" s="56">
        <v>448536.19</v>
      </c>
      <c r="M176" s="56">
        <v>134780.29</v>
      </c>
      <c r="N176" s="56"/>
      <c r="O176" s="23">
        <v>46540.79</v>
      </c>
      <c r="P176" s="23">
        <v>106875.88</v>
      </c>
      <c r="Q176" s="23">
        <v>32873.199999999997</v>
      </c>
      <c r="R176" s="23">
        <v>7469.29</v>
      </c>
      <c r="S176" s="23"/>
      <c r="T176" s="23"/>
      <c r="U176" s="23">
        <v>33395.85</v>
      </c>
      <c r="V176" s="23"/>
      <c r="W176" s="23">
        <v>29457.72</v>
      </c>
      <c r="X176" s="23">
        <v>8710.6200000000008</v>
      </c>
      <c r="Y176" s="23">
        <v>14099.04</v>
      </c>
      <c r="Z176" s="23"/>
      <c r="AA176" s="23">
        <v>35140.129999999997</v>
      </c>
      <c r="AB176" s="23"/>
      <c r="AC176" s="23"/>
      <c r="AD176" s="23"/>
      <c r="AE176" s="23"/>
      <c r="AF176" s="23"/>
      <c r="AG176" s="23"/>
      <c r="AH176" s="23"/>
      <c r="AI176" s="23"/>
      <c r="AJ176" s="23"/>
      <c r="AK176" s="23"/>
      <c r="AL176" s="22"/>
      <c r="AM176" s="22"/>
      <c r="AN176" s="22"/>
      <c r="AO176" s="22"/>
      <c r="AP176" s="22"/>
      <c r="AQ176" s="22"/>
      <c r="AR176" s="22"/>
    </row>
    <row r="177" spans="1:44" ht="16.5" thickBot="1" x14ac:dyDescent="0.3">
      <c r="A177" s="30" t="s">
        <v>351</v>
      </c>
      <c r="B177" s="31" t="s">
        <v>352</v>
      </c>
      <c r="C177" s="27">
        <v>866794</v>
      </c>
      <c r="D177" s="18"/>
      <c r="E177" s="19">
        <f t="shared" si="6"/>
        <v>866794</v>
      </c>
      <c r="F177" s="19">
        <f t="shared" si="7"/>
        <v>821202.32000000007</v>
      </c>
      <c r="G177" s="19">
        <f t="shared" si="8"/>
        <v>45591.679999999935</v>
      </c>
      <c r="H177" s="23"/>
      <c r="I177" s="23"/>
      <c r="J177" s="23"/>
      <c r="K177" s="56"/>
      <c r="L177" s="56"/>
      <c r="M177" s="56"/>
      <c r="N177" s="56"/>
      <c r="O177" s="23"/>
      <c r="P177" s="23"/>
      <c r="Q177" s="23">
        <v>124123.32</v>
      </c>
      <c r="R177" s="23"/>
      <c r="S177" s="23">
        <v>609105.48</v>
      </c>
      <c r="T177" s="23"/>
      <c r="U177" s="23">
        <f>61211.75+2000</f>
        <v>63211.75</v>
      </c>
      <c r="V177" s="23"/>
      <c r="W177" s="23"/>
      <c r="X177" s="23"/>
      <c r="Y177" s="23">
        <v>6000</v>
      </c>
      <c r="Z177" s="23"/>
      <c r="AA177" s="23"/>
      <c r="AB177" s="23">
        <v>18761.77</v>
      </c>
      <c r="AC177" s="23"/>
      <c r="AD177" s="23"/>
      <c r="AE177" s="23"/>
      <c r="AF177" s="23"/>
      <c r="AG177" s="23"/>
      <c r="AH177" s="23"/>
      <c r="AI177" s="23"/>
      <c r="AJ177" s="23"/>
      <c r="AK177" s="23"/>
      <c r="AL177" s="22"/>
      <c r="AM177" s="22"/>
      <c r="AN177" s="22"/>
      <c r="AO177" s="22"/>
      <c r="AP177" s="22"/>
      <c r="AQ177" s="22"/>
      <c r="AR177" s="22"/>
    </row>
    <row r="178" spans="1:44" ht="16.5" thickBot="1" x14ac:dyDescent="0.3">
      <c r="A178" s="30" t="s">
        <v>353</v>
      </c>
      <c r="B178" s="31" t="s">
        <v>354</v>
      </c>
      <c r="C178" s="27">
        <v>18727322</v>
      </c>
      <c r="D178" s="18"/>
      <c r="E178" s="19">
        <f t="shared" si="6"/>
        <v>18727322</v>
      </c>
      <c r="F178" s="19">
        <f t="shared" si="7"/>
        <v>6619049.5200000005</v>
      </c>
      <c r="G178" s="19">
        <f t="shared" si="8"/>
        <v>12108272.48</v>
      </c>
      <c r="H178" s="23"/>
      <c r="I178" s="23"/>
      <c r="J178" s="23"/>
      <c r="K178" s="56"/>
      <c r="L178" s="56"/>
      <c r="M178" s="56"/>
      <c r="N178" s="56"/>
      <c r="O178" s="23"/>
      <c r="P178" s="23"/>
      <c r="Q178" s="23"/>
      <c r="R178" s="23">
        <v>1318651.1599999999</v>
      </c>
      <c r="S178" s="23">
        <v>559529.49</v>
      </c>
      <c r="T178" s="23"/>
      <c r="U178" s="23"/>
      <c r="V178" s="23"/>
      <c r="W178" s="23">
        <f>1931396.96+425206.68</f>
        <v>2356603.64</v>
      </c>
      <c r="X178" s="23">
        <v>611830.43999999994</v>
      </c>
      <c r="Y178" s="23">
        <v>538654.43000000005</v>
      </c>
      <c r="Z178" s="23">
        <v>1233780.3600000001</v>
      </c>
      <c r="AA178" s="23"/>
      <c r="AB178" s="23"/>
      <c r="AC178" s="23"/>
      <c r="AD178" s="23"/>
      <c r="AE178" s="23"/>
      <c r="AF178" s="23"/>
      <c r="AG178" s="23"/>
      <c r="AH178" s="23"/>
      <c r="AI178" s="23"/>
      <c r="AJ178" s="23"/>
      <c r="AK178" s="23"/>
      <c r="AL178" s="22"/>
      <c r="AM178" s="22"/>
      <c r="AN178" s="22"/>
      <c r="AO178" s="22"/>
      <c r="AP178" s="22"/>
      <c r="AQ178" s="22"/>
      <c r="AR178" s="22"/>
    </row>
    <row r="179" spans="1:44" ht="16.5" thickBot="1" x14ac:dyDescent="0.3">
      <c r="A179" s="30" t="s">
        <v>355</v>
      </c>
      <c r="B179" s="31" t="s">
        <v>356</v>
      </c>
      <c r="C179" s="27">
        <v>683453</v>
      </c>
      <c r="D179" s="18"/>
      <c r="E179" s="19">
        <f t="shared" si="6"/>
        <v>683453</v>
      </c>
      <c r="F179" s="19">
        <f t="shared" si="7"/>
        <v>651999.36</v>
      </c>
      <c r="G179" s="19">
        <f t="shared" si="8"/>
        <v>31453.640000000014</v>
      </c>
      <c r="H179" s="23"/>
      <c r="I179" s="23"/>
      <c r="J179" s="23"/>
      <c r="K179" s="56"/>
      <c r="L179" s="56"/>
      <c r="M179" s="56"/>
      <c r="N179" s="56">
        <v>136533</v>
      </c>
      <c r="O179" s="23"/>
      <c r="P179" s="23"/>
      <c r="Q179" s="23"/>
      <c r="R179" s="23"/>
      <c r="S179" s="23"/>
      <c r="T179" s="23"/>
      <c r="U179" s="23"/>
      <c r="V179" s="23"/>
      <c r="W179" s="23"/>
      <c r="X179" s="23"/>
      <c r="Y179" s="23"/>
      <c r="Z179" s="23">
        <v>515466.36</v>
      </c>
      <c r="AA179" s="23"/>
      <c r="AB179" s="23"/>
      <c r="AC179" s="23"/>
      <c r="AD179" s="23"/>
      <c r="AE179" s="23"/>
      <c r="AF179" s="23"/>
      <c r="AG179" s="23"/>
      <c r="AH179" s="23"/>
      <c r="AI179" s="23"/>
      <c r="AJ179" s="23"/>
      <c r="AK179" s="23"/>
      <c r="AL179" s="22"/>
      <c r="AM179" s="22"/>
      <c r="AN179" s="22"/>
      <c r="AO179" s="22"/>
      <c r="AP179" s="22"/>
      <c r="AQ179" s="22"/>
      <c r="AR179" s="22"/>
    </row>
    <row r="180" spans="1:44" ht="16.5" thickBot="1" x14ac:dyDescent="0.3">
      <c r="A180" s="30" t="s">
        <v>357</v>
      </c>
      <c r="B180" s="31" t="s">
        <v>358</v>
      </c>
      <c r="C180" s="27">
        <v>1547339</v>
      </c>
      <c r="D180" s="18"/>
      <c r="E180" s="19">
        <f t="shared" si="6"/>
        <v>1547339</v>
      </c>
      <c r="F180" s="19">
        <f t="shared" si="7"/>
        <v>510554.86</v>
      </c>
      <c r="G180" s="19">
        <f t="shared" si="8"/>
        <v>1036784.14</v>
      </c>
      <c r="H180" s="23"/>
      <c r="I180" s="23"/>
      <c r="J180" s="23"/>
      <c r="K180" s="56"/>
      <c r="L180" s="56"/>
      <c r="M180" s="56"/>
      <c r="N180" s="56"/>
      <c r="O180" s="23"/>
      <c r="P180" s="23"/>
      <c r="Q180" s="23"/>
      <c r="R180" s="23"/>
      <c r="S180" s="23">
        <v>125577.57</v>
      </c>
      <c r="T180" s="23"/>
      <c r="U180" s="23">
        <v>212428.65</v>
      </c>
      <c r="V180" s="23"/>
      <c r="W180" s="23">
        <v>105558.02</v>
      </c>
      <c r="X180" s="23"/>
      <c r="Y180" s="23">
        <f>59492.36+7498.26</f>
        <v>66990.62</v>
      </c>
      <c r="Z180" s="23"/>
      <c r="AA180" s="23"/>
      <c r="AB180" s="23"/>
      <c r="AC180" s="23"/>
      <c r="AD180" s="23"/>
      <c r="AE180" s="23"/>
      <c r="AF180" s="23"/>
      <c r="AG180" s="23"/>
      <c r="AH180" s="23"/>
      <c r="AI180" s="23"/>
      <c r="AJ180" s="23"/>
      <c r="AK180" s="23"/>
      <c r="AL180" s="22"/>
      <c r="AM180" s="22"/>
      <c r="AN180" s="22"/>
      <c r="AO180" s="22"/>
      <c r="AP180" s="22"/>
      <c r="AQ180" s="22"/>
      <c r="AR180" s="22"/>
    </row>
    <row r="181" spans="1:44" ht="16.5" thickBot="1" x14ac:dyDescent="0.3">
      <c r="A181" s="30" t="s">
        <v>359</v>
      </c>
      <c r="B181" s="31" t="s">
        <v>360</v>
      </c>
      <c r="C181" s="27">
        <v>464331</v>
      </c>
      <c r="D181" s="18"/>
      <c r="E181" s="19">
        <f t="shared" si="6"/>
        <v>464331</v>
      </c>
      <c r="F181" s="19">
        <f t="shared" si="7"/>
        <v>464331</v>
      </c>
      <c r="G181" s="19">
        <f t="shared" si="8"/>
        <v>0</v>
      </c>
      <c r="H181" s="23"/>
      <c r="I181" s="23"/>
      <c r="J181" s="23"/>
      <c r="K181" s="56"/>
      <c r="L181" s="56"/>
      <c r="M181" s="56">
        <v>464331</v>
      </c>
      <c r="N181" s="56"/>
      <c r="O181" s="23"/>
      <c r="P181" s="23"/>
      <c r="Q181" s="23"/>
      <c r="R181" s="23"/>
      <c r="S181" s="23"/>
      <c r="T181" s="23"/>
      <c r="U181" s="23"/>
      <c r="V181" s="23"/>
      <c r="W181" s="23"/>
      <c r="X181" s="23"/>
      <c r="Y181" s="23"/>
      <c r="Z181" s="23"/>
      <c r="AA181" s="23"/>
      <c r="AB181" s="23"/>
      <c r="AC181" s="23"/>
      <c r="AD181" s="23"/>
      <c r="AE181" s="23"/>
      <c r="AF181" s="23"/>
      <c r="AG181" s="23"/>
      <c r="AH181" s="23"/>
      <c r="AI181" s="23"/>
      <c r="AJ181" s="23"/>
      <c r="AK181" s="23"/>
      <c r="AL181" s="22"/>
      <c r="AM181" s="22"/>
      <c r="AN181" s="22"/>
      <c r="AO181" s="22"/>
      <c r="AP181" s="22"/>
      <c r="AQ181" s="22"/>
      <c r="AR181" s="22"/>
    </row>
    <row r="182" spans="1:44" ht="16.5" thickBot="1" x14ac:dyDescent="0.3">
      <c r="A182" s="30" t="s">
        <v>361</v>
      </c>
      <c r="B182" s="31" t="s">
        <v>362</v>
      </c>
      <c r="C182" s="27">
        <v>86821</v>
      </c>
      <c r="D182" s="18"/>
      <c r="E182" s="19">
        <f t="shared" si="6"/>
        <v>86821</v>
      </c>
      <c r="F182" s="19">
        <f t="shared" si="7"/>
        <v>86821</v>
      </c>
      <c r="G182" s="19">
        <f t="shared" si="8"/>
        <v>0</v>
      </c>
      <c r="H182" s="23"/>
      <c r="I182" s="23"/>
      <c r="J182" s="23"/>
      <c r="K182" s="56"/>
      <c r="L182" s="56"/>
      <c r="M182" s="56"/>
      <c r="N182" s="56">
        <v>86821</v>
      </c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3"/>
      <c r="AB182" s="23"/>
      <c r="AC182" s="23"/>
      <c r="AD182" s="23"/>
      <c r="AE182" s="23"/>
      <c r="AF182" s="23"/>
      <c r="AG182" s="23"/>
      <c r="AH182" s="23"/>
      <c r="AI182" s="23"/>
      <c r="AJ182" s="23"/>
      <c r="AK182" s="23"/>
      <c r="AL182" s="22"/>
      <c r="AM182" s="22"/>
      <c r="AN182" s="22"/>
      <c r="AO182" s="22"/>
      <c r="AP182" s="22"/>
      <c r="AQ182" s="22"/>
      <c r="AR182" s="22"/>
    </row>
    <row r="183" spans="1:44" ht="16.5" thickBot="1" x14ac:dyDescent="0.3">
      <c r="A183" s="30" t="s">
        <v>363</v>
      </c>
      <c r="B183" s="31" t="s">
        <v>364</v>
      </c>
      <c r="C183" s="27">
        <v>0</v>
      </c>
      <c r="D183" s="18"/>
      <c r="E183" s="19">
        <f t="shared" si="6"/>
        <v>0</v>
      </c>
      <c r="F183" s="19">
        <f t="shared" si="7"/>
        <v>0</v>
      </c>
      <c r="G183" s="19">
        <f t="shared" si="8"/>
        <v>0</v>
      </c>
      <c r="H183" s="23"/>
      <c r="I183" s="23"/>
      <c r="J183" s="23"/>
      <c r="K183" s="56"/>
      <c r="L183" s="56"/>
      <c r="M183" s="56"/>
      <c r="N183" s="56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3"/>
      <c r="AB183" s="23"/>
      <c r="AC183" s="23"/>
      <c r="AD183" s="23"/>
      <c r="AE183" s="23"/>
      <c r="AF183" s="23"/>
      <c r="AG183" s="23"/>
      <c r="AH183" s="23"/>
      <c r="AI183" s="23"/>
      <c r="AJ183" s="23"/>
      <c r="AK183" s="23"/>
      <c r="AL183" s="22"/>
      <c r="AM183" s="22"/>
      <c r="AN183" s="22"/>
      <c r="AO183" s="22"/>
      <c r="AP183" s="22"/>
      <c r="AQ183" s="22"/>
      <c r="AR183" s="22"/>
    </row>
    <row r="184" spans="1:44" ht="16.5" thickBot="1" x14ac:dyDescent="0.3">
      <c r="A184" s="30" t="s">
        <v>365</v>
      </c>
      <c r="B184" s="31" t="s">
        <v>366</v>
      </c>
      <c r="C184" s="27">
        <v>93985</v>
      </c>
      <c r="D184" s="18"/>
      <c r="E184" s="19">
        <f t="shared" si="6"/>
        <v>93985</v>
      </c>
      <c r="F184" s="19">
        <f t="shared" si="7"/>
        <v>87735</v>
      </c>
      <c r="G184" s="19">
        <f t="shared" si="8"/>
        <v>6250</v>
      </c>
      <c r="H184" s="23"/>
      <c r="I184" s="23"/>
      <c r="J184" s="23"/>
      <c r="K184" s="56"/>
      <c r="L184" s="56"/>
      <c r="M184" s="56"/>
      <c r="N184" s="56"/>
      <c r="O184" s="23"/>
      <c r="P184" s="23"/>
      <c r="Q184" s="23"/>
      <c r="R184" s="23"/>
      <c r="S184" s="23"/>
      <c r="T184" s="23"/>
      <c r="U184" s="23"/>
      <c r="V184" s="23"/>
      <c r="W184" s="23"/>
      <c r="X184" s="23">
        <f>18750+68985</f>
        <v>87735</v>
      </c>
      <c r="Y184" s="23"/>
      <c r="Z184" s="23"/>
      <c r="AA184" s="23"/>
      <c r="AB184" s="23"/>
      <c r="AC184" s="23"/>
      <c r="AD184" s="23"/>
      <c r="AE184" s="23"/>
      <c r="AF184" s="23"/>
      <c r="AG184" s="23"/>
      <c r="AH184" s="23"/>
      <c r="AI184" s="23"/>
      <c r="AJ184" s="23"/>
      <c r="AK184" s="23"/>
      <c r="AL184" s="22"/>
      <c r="AM184" s="22"/>
      <c r="AN184" s="22"/>
      <c r="AO184" s="22"/>
      <c r="AP184" s="22"/>
      <c r="AQ184" s="22"/>
      <c r="AR184" s="22"/>
    </row>
    <row r="185" spans="1:44" ht="16.5" thickBot="1" x14ac:dyDescent="0.3">
      <c r="A185" s="30" t="s">
        <v>367</v>
      </c>
      <c r="B185" s="31" t="s">
        <v>368</v>
      </c>
      <c r="C185" s="27">
        <v>551294</v>
      </c>
      <c r="D185" s="18"/>
      <c r="E185" s="19">
        <f t="shared" si="6"/>
        <v>551294</v>
      </c>
      <c r="F185" s="19">
        <f t="shared" si="7"/>
        <v>130483</v>
      </c>
      <c r="G185" s="19">
        <f t="shared" si="8"/>
        <v>420811</v>
      </c>
      <c r="H185" s="23"/>
      <c r="I185" s="23"/>
      <c r="J185" s="23"/>
      <c r="K185" s="56"/>
      <c r="L185" s="56"/>
      <c r="M185" s="56"/>
      <c r="N185" s="56"/>
      <c r="O185" s="23"/>
      <c r="P185" s="23">
        <v>48900</v>
      </c>
      <c r="Q185" s="23"/>
      <c r="R185" s="23"/>
      <c r="S185" s="23"/>
      <c r="T185" s="23"/>
      <c r="U185" s="23"/>
      <c r="V185" s="23">
        <f>26362+55221</f>
        <v>81583</v>
      </c>
      <c r="W185" s="23"/>
      <c r="X185" s="23"/>
      <c r="Y185" s="23"/>
      <c r="Z185" s="23"/>
      <c r="AA185" s="23"/>
      <c r="AB185" s="23"/>
      <c r="AC185" s="23"/>
      <c r="AD185" s="23"/>
      <c r="AE185" s="23"/>
      <c r="AF185" s="23"/>
      <c r="AG185" s="23"/>
      <c r="AH185" s="23"/>
      <c r="AI185" s="23"/>
      <c r="AJ185" s="23"/>
      <c r="AK185" s="23"/>
      <c r="AL185" s="22"/>
      <c r="AM185" s="22"/>
      <c r="AN185" s="22"/>
      <c r="AO185" s="22"/>
      <c r="AP185" s="22"/>
      <c r="AQ185" s="22"/>
      <c r="AR185" s="22"/>
    </row>
    <row r="186" spans="1:44" ht="16.5" thickBot="1" x14ac:dyDescent="0.3">
      <c r="A186" s="30" t="s">
        <v>369</v>
      </c>
      <c r="B186" s="31" t="s">
        <v>370</v>
      </c>
      <c r="C186" s="27">
        <v>386198</v>
      </c>
      <c r="D186" s="18"/>
      <c r="E186" s="19">
        <f t="shared" si="6"/>
        <v>386198</v>
      </c>
      <c r="F186" s="19">
        <f t="shared" si="7"/>
        <v>382367</v>
      </c>
      <c r="G186" s="19">
        <f t="shared" si="8"/>
        <v>3831</v>
      </c>
      <c r="H186" s="23"/>
      <c r="I186" s="23"/>
      <c r="J186" s="23"/>
      <c r="K186" s="56"/>
      <c r="L186" s="56"/>
      <c r="M186" s="56"/>
      <c r="N186" s="56"/>
      <c r="O186" s="23"/>
      <c r="P186" s="23"/>
      <c r="Q186" s="23"/>
      <c r="R186" s="23"/>
      <c r="S186" s="23"/>
      <c r="T186" s="23"/>
      <c r="U186" s="23"/>
      <c r="V186" s="23"/>
      <c r="W186" s="23"/>
      <c r="X186" s="23"/>
      <c r="Y186" s="23">
        <v>382367</v>
      </c>
      <c r="Z186" s="23"/>
      <c r="AA186" s="23"/>
      <c r="AB186" s="23"/>
      <c r="AC186" s="23"/>
      <c r="AD186" s="23"/>
      <c r="AE186" s="23"/>
      <c r="AF186" s="23"/>
      <c r="AG186" s="23"/>
      <c r="AH186" s="23"/>
      <c r="AI186" s="23"/>
      <c r="AJ186" s="23"/>
      <c r="AK186" s="23"/>
      <c r="AL186" s="22"/>
      <c r="AM186" s="22"/>
      <c r="AN186" s="22"/>
      <c r="AO186" s="22"/>
      <c r="AP186" s="22"/>
      <c r="AQ186" s="22"/>
      <c r="AR186" s="22"/>
    </row>
    <row r="187" spans="1:44" ht="16.5" thickBot="1" x14ac:dyDescent="0.3">
      <c r="A187" s="30" t="s">
        <v>371</v>
      </c>
      <c r="B187" s="31" t="s">
        <v>372</v>
      </c>
      <c r="C187" s="27">
        <v>96055</v>
      </c>
      <c r="D187" s="18"/>
      <c r="E187" s="19">
        <f t="shared" si="6"/>
        <v>96055</v>
      </c>
      <c r="F187" s="19">
        <f t="shared" si="7"/>
        <v>83555</v>
      </c>
      <c r="G187" s="19">
        <f t="shared" si="8"/>
        <v>12500</v>
      </c>
      <c r="H187" s="23"/>
      <c r="I187" s="23"/>
      <c r="J187" s="23"/>
      <c r="K187" s="56"/>
      <c r="L187" s="56"/>
      <c r="M187" s="56"/>
      <c r="N187" s="56"/>
      <c r="O187" s="23"/>
      <c r="P187" s="23"/>
      <c r="Q187" s="23"/>
      <c r="R187" s="23"/>
      <c r="S187" s="23"/>
      <c r="T187" s="23"/>
      <c r="U187" s="23"/>
      <c r="V187" s="23"/>
      <c r="W187" s="23"/>
      <c r="X187" s="23"/>
      <c r="Y187" s="23">
        <v>12504</v>
      </c>
      <c r="Z187" s="23"/>
      <c r="AA187" s="23"/>
      <c r="AB187" s="23">
        <v>71051</v>
      </c>
      <c r="AC187" s="23"/>
      <c r="AD187" s="23"/>
      <c r="AE187" s="23"/>
      <c r="AF187" s="23"/>
      <c r="AG187" s="23"/>
      <c r="AH187" s="23"/>
      <c r="AI187" s="23"/>
      <c r="AJ187" s="23"/>
      <c r="AK187" s="23"/>
      <c r="AL187" s="22"/>
      <c r="AM187" s="22"/>
      <c r="AN187" s="22"/>
      <c r="AO187" s="22"/>
      <c r="AP187" s="22"/>
      <c r="AQ187" s="22"/>
      <c r="AR187" s="22"/>
    </row>
    <row r="188" spans="1:44" ht="16.5" thickBot="1" x14ac:dyDescent="0.3">
      <c r="A188" s="30" t="s">
        <v>373</v>
      </c>
      <c r="B188" s="31" t="s">
        <v>374</v>
      </c>
      <c r="C188" s="27">
        <v>2720</v>
      </c>
      <c r="D188" s="18"/>
      <c r="E188" s="19">
        <f t="shared" si="6"/>
        <v>2720</v>
      </c>
      <c r="F188" s="19">
        <f t="shared" si="7"/>
        <v>2720</v>
      </c>
      <c r="G188" s="19">
        <f t="shared" si="8"/>
        <v>0</v>
      </c>
      <c r="H188" s="23"/>
      <c r="I188" s="23"/>
      <c r="J188" s="23"/>
      <c r="K188" s="56"/>
      <c r="L188" s="56"/>
      <c r="M188" s="56"/>
      <c r="N188" s="56"/>
      <c r="O188" s="23"/>
      <c r="P188" s="23"/>
      <c r="Q188" s="23"/>
      <c r="R188" s="23"/>
      <c r="S188" s="23"/>
      <c r="T188" s="23"/>
      <c r="U188" s="23"/>
      <c r="V188" s="23"/>
      <c r="W188" s="23"/>
      <c r="X188" s="23"/>
      <c r="Y188" s="23"/>
      <c r="Z188" s="23"/>
      <c r="AA188" s="23"/>
      <c r="AB188" s="23">
        <v>2720</v>
      </c>
      <c r="AC188" s="23"/>
      <c r="AD188" s="23"/>
      <c r="AE188" s="23"/>
      <c r="AF188" s="23"/>
      <c r="AG188" s="23"/>
      <c r="AH188" s="23"/>
      <c r="AI188" s="23"/>
      <c r="AJ188" s="23"/>
      <c r="AK188" s="23"/>
      <c r="AL188" s="22"/>
      <c r="AM188" s="22"/>
      <c r="AN188" s="22"/>
      <c r="AO188" s="22"/>
      <c r="AP188" s="22"/>
      <c r="AQ188" s="22"/>
      <c r="AR188" s="22"/>
    </row>
    <row r="189" spans="1:44" ht="16.5" thickBot="1" x14ac:dyDescent="0.3">
      <c r="A189" s="30" t="s">
        <v>375</v>
      </c>
      <c r="B189" s="31" t="s">
        <v>376</v>
      </c>
      <c r="C189" s="27">
        <v>6339085</v>
      </c>
      <c r="D189" s="18"/>
      <c r="E189" s="19">
        <f t="shared" si="6"/>
        <v>6339085</v>
      </c>
      <c r="F189" s="19">
        <f t="shared" si="7"/>
        <v>5682112.3099999996</v>
      </c>
      <c r="G189" s="19">
        <f t="shared" si="8"/>
        <v>656972.69000000041</v>
      </c>
      <c r="H189" s="23"/>
      <c r="I189" s="23"/>
      <c r="J189" s="23"/>
      <c r="K189" s="56"/>
      <c r="L189" s="56"/>
      <c r="M189" s="56"/>
      <c r="N189" s="56">
        <v>624176</v>
      </c>
      <c r="O189" s="23">
        <v>1363836</v>
      </c>
      <c r="P189" s="23"/>
      <c r="Q189" s="23"/>
      <c r="R189" s="23">
        <v>101686.14</v>
      </c>
      <c r="S189" s="23">
        <v>514930</v>
      </c>
      <c r="T189" s="23">
        <v>394502</v>
      </c>
      <c r="U189" s="23">
        <f>215010+510971</f>
        <v>725981</v>
      </c>
      <c r="V189" s="23">
        <v>323627</v>
      </c>
      <c r="W189" s="23">
        <v>307871</v>
      </c>
      <c r="X189" s="23">
        <v>192913</v>
      </c>
      <c r="Y189" s="23">
        <v>600695</v>
      </c>
      <c r="Z189" s="23">
        <v>393355.33</v>
      </c>
      <c r="AA189" s="23">
        <v>138539.84</v>
      </c>
      <c r="AB189" s="23"/>
      <c r="AC189" s="23"/>
      <c r="AD189" s="23"/>
      <c r="AE189" s="23"/>
      <c r="AF189" s="23"/>
      <c r="AG189" s="23"/>
      <c r="AH189" s="23"/>
      <c r="AI189" s="23"/>
      <c r="AJ189" s="23"/>
      <c r="AK189" s="23"/>
      <c r="AL189" s="22"/>
      <c r="AM189" s="22"/>
      <c r="AN189" s="22"/>
      <c r="AO189" s="22"/>
      <c r="AP189" s="22"/>
      <c r="AQ189" s="22"/>
      <c r="AR189" s="22"/>
    </row>
    <row r="190" spans="1:44" ht="16.5" thickBot="1" x14ac:dyDescent="0.3">
      <c r="A190" s="30" t="s">
        <v>377</v>
      </c>
      <c r="B190" s="31" t="s">
        <v>378</v>
      </c>
      <c r="C190" s="27">
        <v>178223</v>
      </c>
      <c r="D190" s="18"/>
      <c r="E190" s="19">
        <f t="shared" si="6"/>
        <v>178223</v>
      </c>
      <c r="F190" s="19">
        <f t="shared" si="7"/>
        <v>66305.86</v>
      </c>
      <c r="G190" s="19">
        <f t="shared" si="8"/>
        <v>111917.14</v>
      </c>
      <c r="H190" s="23"/>
      <c r="I190" s="23"/>
      <c r="J190" s="23"/>
      <c r="K190" s="56"/>
      <c r="L190" s="56"/>
      <c r="M190" s="56"/>
      <c r="N190" s="56"/>
      <c r="O190" s="23"/>
      <c r="P190" s="23"/>
      <c r="Q190" s="23"/>
      <c r="R190" s="23"/>
      <c r="S190" s="23"/>
      <c r="T190" s="23"/>
      <c r="U190" s="23"/>
      <c r="V190" s="23"/>
      <c r="W190" s="23"/>
      <c r="X190" s="23"/>
      <c r="Y190" s="23"/>
      <c r="Z190" s="23"/>
      <c r="AA190" s="23">
        <v>66305.86</v>
      </c>
      <c r="AB190" s="23"/>
      <c r="AC190" s="23"/>
      <c r="AD190" s="23"/>
      <c r="AE190" s="23"/>
      <c r="AF190" s="23"/>
      <c r="AG190" s="23"/>
      <c r="AH190" s="23"/>
      <c r="AI190" s="23"/>
      <c r="AJ190" s="23"/>
      <c r="AK190" s="23"/>
      <c r="AL190" s="22"/>
      <c r="AM190" s="22"/>
      <c r="AN190" s="22"/>
      <c r="AO190" s="22"/>
      <c r="AP190" s="22"/>
      <c r="AQ190" s="22"/>
      <c r="AR190" s="22"/>
    </row>
    <row r="191" spans="1:44" ht="16.5" thickBot="1" x14ac:dyDescent="0.3">
      <c r="A191" s="25" t="s">
        <v>379</v>
      </c>
      <c r="B191" s="26"/>
      <c r="C191" s="20">
        <f t="shared" ref="C191:AB191" si="9">SUM(C11:C190)</f>
        <v>467391878</v>
      </c>
      <c r="D191" s="20">
        <f t="shared" si="9"/>
        <v>0</v>
      </c>
      <c r="E191" s="20">
        <f t="shared" si="9"/>
        <v>467391878</v>
      </c>
      <c r="F191" s="20">
        <f t="shared" si="9"/>
        <v>330279712.04000002</v>
      </c>
      <c r="G191" s="20">
        <f t="shared" si="9"/>
        <v>137112165.95999998</v>
      </c>
      <c r="H191" s="20">
        <f t="shared" si="9"/>
        <v>0</v>
      </c>
      <c r="I191" s="20">
        <f t="shared" si="9"/>
        <v>0</v>
      </c>
      <c r="J191" s="20">
        <f t="shared" si="9"/>
        <v>0</v>
      </c>
      <c r="K191" s="20">
        <f t="shared" si="9"/>
        <v>0</v>
      </c>
      <c r="L191" s="20">
        <f t="shared" si="9"/>
        <v>4500104.13</v>
      </c>
      <c r="M191" s="20">
        <f t="shared" si="9"/>
        <v>5012063.47</v>
      </c>
      <c r="N191" s="20">
        <f t="shared" si="9"/>
        <v>47435102.460000001</v>
      </c>
      <c r="O191" s="20">
        <f t="shared" si="9"/>
        <v>5333030.2100000009</v>
      </c>
      <c r="P191" s="20">
        <f t="shared" si="9"/>
        <v>34232052.539999992</v>
      </c>
      <c r="Q191" s="20">
        <f t="shared" si="9"/>
        <v>9908021.6099999975</v>
      </c>
      <c r="R191" s="20">
        <f t="shared" si="9"/>
        <v>47069077.570000015</v>
      </c>
      <c r="S191" s="20">
        <f t="shared" si="9"/>
        <v>26029527.060000006</v>
      </c>
      <c r="T191" s="20">
        <f t="shared" si="9"/>
        <v>11754504.710000001</v>
      </c>
      <c r="U191" s="20">
        <f t="shared" si="9"/>
        <v>17860263.010000005</v>
      </c>
      <c r="V191" s="20">
        <f t="shared" si="9"/>
        <v>12172385.48</v>
      </c>
      <c r="W191" s="20">
        <f t="shared" si="9"/>
        <v>24726833.629999992</v>
      </c>
      <c r="X191" s="20">
        <f t="shared" si="9"/>
        <v>6297277.8300000019</v>
      </c>
      <c r="Y191" s="20">
        <f t="shared" si="9"/>
        <v>37459906.73999998</v>
      </c>
      <c r="Z191" s="20">
        <f t="shared" si="9"/>
        <v>5875904.4100000001</v>
      </c>
      <c r="AA191" s="20">
        <f t="shared" si="9"/>
        <v>4890609.4000000004</v>
      </c>
      <c r="AB191" s="20">
        <f t="shared" si="9"/>
        <v>29723047.780000001</v>
      </c>
      <c r="AC191" s="23"/>
      <c r="AD191" s="23"/>
      <c r="AE191" s="23"/>
      <c r="AF191" s="23"/>
      <c r="AG191" s="23"/>
      <c r="AH191" s="23"/>
      <c r="AI191" s="23"/>
      <c r="AJ191" s="23"/>
      <c r="AK191" s="23"/>
    </row>
    <row r="192" spans="1:44" x14ac:dyDescent="0.25">
      <c r="H192" s="23"/>
      <c r="I192" s="23"/>
      <c r="J192" s="23"/>
      <c r="K192" s="23"/>
      <c r="L192" s="23"/>
      <c r="M192" s="23"/>
      <c r="N192" s="23"/>
      <c r="O192" s="23"/>
      <c r="P192" s="23"/>
      <c r="Q192" s="23"/>
      <c r="R192" s="23"/>
      <c r="S192" s="23"/>
      <c r="T192" s="23"/>
      <c r="U192" s="23"/>
      <c r="V192" s="23"/>
      <c r="W192" s="23"/>
      <c r="X192" s="23"/>
      <c r="Y192" s="23"/>
      <c r="Z192" s="23"/>
      <c r="AA192" s="23"/>
      <c r="AB192" s="23"/>
      <c r="AC192" s="23"/>
      <c r="AD192" s="23"/>
      <c r="AE192" s="23"/>
      <c r="AF192" s="23"/>
      <c r="AG192" s="23"/>
      <c r="AH192" s="23"/>
      <c r="AI192" s="23"/>
      <c r="AJ192" s="23"/>
      <c r="AK192" s="23"/>
    </row>
    <row r="193" spans="6:37" x14ac:dyDescent="0.25">
      <c r="H193" s="23"/>
      <c r="I193" s="23"/>
      <c r="J193" s="23"/>
      <c r="K193" s="23"/>
      <c r="L193" s="23"/>
      <c r="M193" s="23"/>
      <c r="N193" s="23"/>
      <c r="O193" s="23"/>
      <c r="P193" s="23"/>
      <c r="Q193" s="23"/>
      <c r="R193" s="23"/>
      <c r="S193" s="23"/>
      <c r="T193" s="23"/>
      <c r="U193" s="23"/>
      <c r="V193" s="23"/>
      <c r="W193" s="23"/>
      <c r="X193" s="23"/>
      <c r="Y193" s="23"/>
      <c r="Z193" s="23"/>
      <c r="AA193" s="23"/>
      <c r="AB193" s="23"/>
      <c r="AC193" s="23"/>
      <c r="AD193" s="23"/>
      <c r="AE193" s="23"/>
      <c r="AF193" s="23"/>
      <c r="AG193" s="23"/>
      <c r="AH193" s="23"/>
      <c r="AI193" s="23"/>
      <c r="AJ193" s="23"/>
      <c r="AK193" s="23"/>
    </row>
    <row r="194" spans="6:37" x14ac:dyDescent="0.25">
      <c r="H194" s="23"/>
      <c r="I194" s="23"/>
      <c r="J194" s="23"/>
      <c r="K194" s="23"/>
      <c r="L194" s="23"/>
      <c r="M194" s="23"/>
      <c r="N194" s="23"/>
      <c r="O194" s="23"/>
      <c r="P194" s="23"/>
      <c r="Q194" s="23"/>
      <c r="R194" s="23"/>
      <c r="S194" s="23"/>
      <c r="T194" s="23"/>
      <c r="U194" s="23"/>
      <c r="V194" s="23"/>
      <c r="W194" s="23"/>
      <c r="X194" s="23"/>
      <c r="Y194" s="23"/>
      <c r="Z194" s="23"/>
      <c r="AA194" s="23"/>
      <c r="AB194" s="23"/>
      <c r="AC194" s="23"/>
      <c r="AD194" s="23"/>
      <c r="AE194" s="23"/>
      <c r="AF194" s="23"/>
      <c r="AG194" s="23"/>
      <c r="AH194" s="23"/>
      <c r="AI194" s="23"/>
      <c r="AJ194" s="23"/>
      <c r="AK194" s="23"/>
    </row>
    <row r="195" spans="6:37" x14ac:dyDescent="0.25">
      <c r="H195" s="23"/>
      <c r="I195" s="23"/>
      <c r="J195" s="23"/>
      <c r="K195" s="23"/>
      <c r="L195" s="23"/>
      <c r="M195" s="23"/>
      <c r="N195" s="23"/>
      <c r="O195" s="23"/>
      <c r="P195" s="23"/>
      <c r="Q195" s="23"/>
      <c r="R195" s="23"/>
      <c r="S195" s="23"/>
      <c r="T195" s="23"/>
      <c r="U195" s="23"/>
      <c r="V195" s="23"/>
      <c r="W195" s="23"/>
      <c r="X195" s="23"/>
      <c r="Y195" s="23"/>
      <c r="Z195" s="23"/>
      <c r="AA195" s="23"/>
      <c r="AB195" s="23"/>
      <c r="AC195" s="23"/>
      <c r="AD195" s="23"/>
      <c r="AE195" s="23"/>
      <c r="AF195" s="23"/>
      <c r="AG195" s="23"/>
      <c r="AH195" s="23"/>
      <c r="AI195" s="23"/>
      <c r="AJ195" s="23"/>
      <c r="AK195" s="23"/>
    </row>
    <row r="196" spans="6:37" x14ac:dyDescent="0.25">
      <c r="H196" s="23"/>
      <c r="I196" s="23"/>
      <c r="J196" s="23"/>
      <c r="K196" s="23"/>
      <c r="L196" s="23"/>
      <c r="M196" s="23"/>
      <c r="N196" s="23"/>
      <c r="O196" s="23"/>
      <c r="P196" s="23"/>
      <c r="Q196" s="23"/>
      <c r="R196" s="23"/>
      <c r="S196" s="23"/>
      <c r="T196" s="23"/>
      <c r="U196" s="23"/>
      <c r="V196" s="23"/>
      <c r="W196" s="23"/>
      <c r="X196" s="23"/>
      <c r="Y196" s="23"/>
      <c r="Z196" s="23"/>
      <c r="AA196" s="23"/>
      <c r="AB196" s="23"/>
      <c r="AC196" s="23"/>
      <c r="AD196" s="23"/>
      <c r="AE196" s="23"/>
      <c r="AF196" s="23"/>
      <c r="AG196" s="23"/>
      <c r="AH196" s="23"/>
      <c r="AI196" s="23"/>
      <c r="AJ196" s="23"/>
      <c r="AK196" s="23"/>
    </row>
    <row r="197" spans="6:37" x14ac:dyDescent="0.25">
      <c r="H197" s="23"/>
      <c r="I197" s="23"/>
      <c r="J197" s="23"/>
      <c r="K197" s="23"/>
      <c r="L197" s="23"/>
      <c r="M197" s="23"/>
      <c r="N197" s="23"/>
      <c r="O197" s="23"/>
      <c r="P197" s="23"/>
      <c r="Q197" s="23"/>
      <c r="R197" s="23"/>
      <c r="S197" s="23"/>
      <c r="T197" s="23"/>
      <c r="U197" s="23"/>
      <c r="V197" s="23"/>
      <c r="W197" s="23"/>
      <c r="X197" s="23"/>
      <c r="Y197" s="23"/>
      <c r="Z197" s="23"/>
      <c r="AA197" s="23"/>
      <c r="AB197" s="23"/>
      <c r="AC197" s="23"/>
      <c r="AD197" s="23"/>
      <c r="AE197" s="23"/>
      <c r="AF197" s="23"/>
      <c r="AG197" s="23"/>
      <c r="AH197" s="23"/>
      <c r="AI197" s="23"/>
      <c r="AJ197" s="23"/>
      <c r="AK197" s="23"/>
    </row>
    <row r="198" spans="6:37" x14ac:dyDescent="0.25">
      <c r="H198" s="23"/>
      <c r="I198" s="23"/>
      <c r="J198" s="23"/>
      <c r="K198" s="23"/>
      <c r="L198" s="23"/>
      <c r="M198" s="23"/>
      <c r="N198" s="23"/>
      <c r="O198" s="23"/>
      <c r="P198" s="23"/>
      <c r="Q198" s="23"/>
      <c r="R198" s="23"/>
      <c r="S198" s="23"/>
      <c r="T198" s="23"/>
      <c r="U198" s="23"/>
      <c r="V198" s="23"/>
      <c r="W198" s="23"/>
      <c r="X198" s="23"/>
      <c r="Y198" s="23"/>
      <c r="Z198" s="23"/>
      <c r="AA198" s="23"/>
      <c r="AB198" s="23"/>
      <c r="AC198" s="23"/>
      <c r="AD198" s="23"/>
      <c r="AE198" s="23"/>
      <c r="AF198" s="23"/>
      <c r="AG198" s="23"/>
      <c r="AH198" s="23"/>
      <c r="AI198" s="23"/>
      <c r="AJ198" s="23"/>
      <c r="AK198" s="23"/>
    </row>
    <row r="199" spans="6:37" x14ac:dyDescent="0.25">
      <c r="H199" s="22"/>
      <c r="I199" s="22"/>
      <c r="J199" s="22"/>
      <c r="K199" s="22"/>
      <c r="L199" s="22"/>
      <c r="M199" s="22"/>
      <c r="N199" s="22"/>
      <c r="P199" s="22"/>
      <c r="Q199" s="22"/>
      <c r="R199" s="22"/>
      <c r="S199" s="22"/>
      <c r="T199" s="22"/>
      <c r="U199" s="22"/>
      <c r="V199" s="22"/>
      <c r="W199" s="22"/>
      <c r="X199" s="22"/>
      <c r="Y199" s="22"/>
      <c r="Z199" s="22"/>
      <c r="AA199" s="22"/>
      <c r="AB199" s="22"/>
      <c r="AC199" s="22"/>
      <c r="AD199" s="22"/>
      <c r="AE199" s="22"/>
      <c r="AF199" s="22"/>
      <c r="AG199" s="22"/>
      <c r="AH199" s="22"/>
      <c r="AI199" s="22"/>
      <c r="AJ199" s="22"/>
      <c r="AK199" s="22"/>
    </row>
    <row r="200" spans="6:37" x14ac:dyDescent="0.25">
      <c r="H200" s="22"/>
      <c r="I200" s="22"/>
      <c r="J200" s="22"/>
      <c r="K200" s="22"/>
      <c r="L200" s="22"/>
      <c r="M200" s="22"/>
      <c r="N200" s="22"/>
      <c r="P200" s="22"/>
      <c r="Q200" s="22"/>
      <c r="R200" s="22"/>
      <c r="S200" s="22"/>
      <c r="T200" s="22"/>
      <c r="U200" s="22"/>
      <c r="V200" s="22"/>
      <c r="W200" s="22"/>
      <c r="X200" s="22"/>
      <c r="Y200" s="22"/>
      <c r="Z200" s="22"/>
      <c r="AA200" s="22"/>
      <c r="AB200" s="22"/>
      <c r="AC200" s="22"/>
      <c r="AD200" s="22"/>
      <c r="AE200" s="22"/>
      <c r="AF200" s="22"/>
      <c r="AG200" s="22"/>
      <c r="AH200" s="22"/>
      <c r="AI200" s="22"/>
      <c r="AJ200" s="22"/>
      <c r="AK200" s="22"/>
    </row>
    <row r="201" spans="6:37" x14ac:dyDescent="0.25">
      <c r="H201" s="22"/>
      <c r="I201" s="22"/>
      <c r="J201" s="22"/>
      <c r="K201" s="22"/>
      <c r="L201" s="22"/>
      <c r="M201" s="22"/>
      <c r="N201" s="22"/>
      <c r="P201" s="22"/>
      <c r="Q201" s="22"/>
      <c r="R201" s="22"/>
      <c r="S201" s="22"/>
      <c r="T201" s="22"/>
      <c r="U201" s="22"/>
      <c r="V201" s="22"/>
      <c r="W201" s="22"/>
      <c r="X201" s="22"/>
      <c r="Y201" s="22"/>
      <c r="Z201" s="22"/>
      <c r="AA201" s="22"/>
      <c r="AB201" s="22"/>
      <c r="AC201" s="22"/>
      <c r="AD201" s="22"/>
      <c r="AE201" s="22"/>
      <c r="AF201" s="22"/>
      <c r="AG201" s="22"/>
      <c r="AH201" s="22"/>
      <c r="AI201" s="22"/>
      <c r="AJ201" s="22"/>
      <c r="AK201" s="22"/>
    </row>
    <row r="202" spans="6:37" x14ac:dyDescent="0.25">
      <c r="H202" s="22"/>
      <c r="I202" s="22"/>
      <c r="J202" s="22"/>
      <c r="K202" s="22"/>
      <c r="L202" s="22"/>
      <c r="M202" s="22"/>
      <c r="N202" s="22"/>
      <c r="P202" s="22"/>
      <c r="Q202" s="22"/>
      <c r="R202" s="22"/>
      <c r="S202" s="22"/>
      <c r="T202" s="22"/>
      <c r="U202" s="22"/>
      <c r="V202" s="22"/>
      <c r="W202" s="22"/>
      <c r="X202" s="22"/>
      <c r="Y202" s="22"/>
      <c r="Z202" s="22"/>
      <c r="AA202" s="22"/>
      <c r="AB202" s="22"/>
      <c r="AC202" s="22"/>
      <c r="AD202" s="22"/>
      <c r="AE202" s="22"/>
      <c r="AF202" s="22"/>
      <c r="AG202" s="22"/>
      <c r="AH202" s="22"/>
      <c r="AI202" s="22"/>
      <c r="AJ202" s="22"/>
      <c r="AK202" s="22"/>
    </row>
    <row r="203" spans="6:37" x14ac:dyDescent="0.25">
      <c r="H203" s="22"/>
      <c r="I203" s="22"/>
      <c r="J203" s="22"/>
      <c r="K203" s="22"/>
      <c r="L203" s="22"/>
      <c r="M203" s="22"/>
      <c r="N203" s="22"/>
      <c r="P203" s="22"/>
      <c r="Q203" s="22"/>
      <c r="R203" s="22"/>
      <c r="S203" s="22"/>
      <c r="T203" s="22"/>
      <c r="U203" s="22"/>
      <c r="V203" s="22"/>
      <c r="W203" s="22"/>
      <c r="X203" s="22"/>
      <c r="Y203" s="22"/>
      <c r="Z203" s="22"/>
      <c r="AA203" s="22"/>
      <c r="AB203" s="22"/>
      <c r="AC203" s="22"/>
      <c r="AD203" s="22"/>
      <c r="AE203" s="22"/>
      <c r="AF203" s="22"/>
      <c r="AG203" s="22"/>
      <c r="AH203" s="22"/>
      <c r="AI203" s="22"/>
      <c r="AJ203" s="22"/>
      <c r="AK203" s="22"/>
    </row>
    <row r="204" spans="6:37" x14ac:dyDescent="0.25">
      <c r="H204" s="22"/>
      <c r="I204" s="22"/>
      <c r="J204" s="22"/>
      <c r="K204" s="22"/>
      <c r="L204" s="22"/>
      <c r="M204" s="22"/>
      <c r="N204" s="22"/>
      <c r="P204" s="22"/>
      <c r="Q204" s="22"/>
      <c r="R204" s="22"/>
      <c r="S204" s="22"/>
      <c r="T204" s="22"/>
      <c r="U204" s="22"/>
      <c r="V204" s="22"/>
      <c r="W204" s="22"/>
      <c r="X204" s="22"/>
      <c r="Y204" s="22"/>
      <c r="Z204" s="22"/>
      <c r="AA204" s="22"/>
      <c r="AB204" s="22"/>
      <c r="AC204" s="22"/>
      <c r="AD204" s="22"/>
      <c r="AE204" s="22"/>
      <c r="AF204" s="22"/>
      <c r="AG204" s="22"/>
      <c r="AH204" s="22"/>
      <c r="AI204" s="22"/>
      <c r="AJ204" s="22"/>
      <c r="AK204" s="22"/>
    </row>
    <row r="205" spans="6:37" x14ac:dyDescent="0.25">
      <c r="H205" s="22"/>
      <c r="I205" s="22"/>
      <c r="J205" s="22"/>
      <c r="K205" s="22"/>
      <c r="L205" s="22"/>
      <c r="M205" s="22"/>
      <c r="N205" s="22"/>
      <c r="P205" s="22"/>
      <c r="Q205" s="22"/>
      <c r="R205" s="22"/>
      <c r="S205" s="22"/>
      <c r="T205" s="22"/>
      <c r="U205" s="22"/>
      <c r="V205" s="22"/>
      <c r="W205" s="22"/>
      <c r="X205" s="22"/>
      <c r="Y205" s="22"/>
      <c r="Z205" s="22"/>
      <c r="AA205" s="22"/>
      <c r="AB205" s="22"/>
      <c r="AC205" s="22"/>
      <c r="AD205" s="22"/>
      <c r="AE205" s="22"/>
      <c r="AF205" s="22"/>
      <c r="AG205" s="22"/>
      <c r="AH205" s="22"/>
      <c r="AI205" s="22"/>
      <c r="AJ205" s="22"/>
      <c r="AK205" s="22"/>
    </row>
    <row r="207" spans="6:37" x14ac:dyDescent="0.25">
      <c r="F207" s="28"/>
    </row>
  </sheetData>
  <sheetProtection algorithmName="SHA-512" hashValue="T3L80M8gEVAtgcGSHNfNc4esIpdF6Cm+rg283uX22/nQyUyZzlTnD1W/gTcaaCQSEVPcNOPPSB28rwKey646Zg==" saltValue="hcJYRZfPp9nwawFb3Gi8IQ==" spinCount="100000" sheet="1" objects="1" scenarios="1"/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EB9E3D-ECAB-4C0A-ACA1-3981E25A85EA}">
  <dimension ref="A1:AP155"/>
  <sheetViews>
    <sheetView tabSelected="1" topLeftCell="A72" workbookViewId="0">
      <pane xSplit="7" topLeftCell="AA1" activePane="topRight" state="frozen"/>
      <selection pane="topRight" activeCell="AC84" sqref="AC84"/>
    </sheetView>
  </sheetViews>
  <sheetFormatPr defaultRowHeight="15.75" x14ac:dyDescent="0.25"/>
  <cols>
    <col min="1" max="1" width="17.28515625" customWidth="1"/>
    <col min="2" max="2" width="40" customWidth="1"/>
    <col min="3" max="3" width="20.42578125" customWidth="1"/>
    <col min="4" max="4" width="12.7109375" customWidth="1"/>
    <col min="5" max="5" width="17.28515625" customWidth="1"/>
    <col min="6" max="6" width="16.140625" customWidth="1"/>
    <col min="7" max="7" width="15.85546875" customWidth="1"/>
    <col min="8" max="14" width="17.7109375" customWidth="1"/>
    <col min="15" max="15" width="17.7109375" style="22" customWidth="1"/>
    <col min="16" max="42" width="17.7109375" customWidth="1"/>
  </cols>
  <sheetData>
    <row r="1" spans="1:42" ht="21" x14ac:dyDescent="0.35">
      <c r="A1" s="1" t="s">
        <v>0</v>
      </c>
      <c r="B1" s="2"/>
      <c r="C1" s="1" t="s">
        <v>397</v>
      </c>
      <c r="D1" s="3"/>
      <c r="E1" s="1"/>
      <c r="F1" s="4"/>
      <c r="G1" s="4"/>
    </row>
    <row r="2" spans="1:42" x14ac:dyDescent="0.25">
      <c r="A2" s="5" t="s">
        <v>1</v>
      </c>
      <c r="B2" s="2"/>
      <c r="C2" s="6" t="s">
        <v>2</v>
      </c>
      <c r="D2" s="7"/>
      <c r="E2" s="6"/>
      <c r="F2" s="8"/>
      <c r="G2" s="8"/>
    </row>
    <row r="3" spans="1:42" x14ac:dyDescent="0.25">
      <c r="A3" s="5" t="s">
        <v>3</v>
      </c>
      <c r="B3" s="2"/>
      <c r="C3" s="5">
        <v>4419</v>
      </c>
      <c r="D3" s="9"/>
      <c r="E3" s="5"/>
      <c r="F3" s="8"/>
      <c r="G3" s="8"/>
    </row>
    <row r="4" spans="1:42" x14ac:dyDescent="0.25">
      <c r="A4" s="5" t="s">
        <v>4</v>
      </c>
      <c r="B4" s="2"/>
      <c r="C4" s="8" t="s">
        <v>5</v>
      </c>
      <c r="D4" s="10"/>
      <c r="E4" s="8"/>
      <c r="F4" s="8"/>
      <c r="G4" s="11"/>
    </row>
    <row r="5" spans="1:42" x14ac:dyDescent="0.25">
      <c r="A5" s="5" t="s">
        <v>6</v>
      </c>
      <c r="B5" s="2"/>
      <c r="C5" s="8" t="s">
        <v>7</v>
      </c>
      <c r="D5" s="10"/>
      <c r="E5" s="8"/>
      <c r="F5" s="8"/>
      <c r="G5" s="11"/>
      <c r="H5" s="32"/>
    </row>
    <row r="6" spans="1:42" x14ac:dyDescent="0.25">
      <c r="A6" s="5"/>
      <c r="B6" s="2"/>
      <c r="C6" s="8" t="s">
        <v>8</v>
      </c>
      <c r="D6" s="10"/>
      <c r="E6" s="8"/>
      <c r="F6" s="8"/>
      <c r="G6" s="11"/>
    </row>
    <row r="7" spans="1:42" x14ac:dyDescent="0.25">
      <c r="A7" s="5" t="s">
        <v>9</v>
      </c>
      <c r="B7" s="2"/>
      <c r="C7" s="8" t="s">
        <v>396</v>
      </c>
      <c r="D7" s="10"/>
      <c r="E7" s="8"/>
      <c r="F7" s="8"/>
      <c r="G7" s="11"/>
    </row>
    <row r="8" spans="1:42" x14ac:dyDescent="0.25">
      <c r="A8" s="5" t="s">
        <v>10</v>
      </c>
      <c r="B8" s="2"/>
      <c r="C8" s="8" t="s">
        <v>395</v>
      </c>
      <c r="D8" s="10"/>
      <c r="E8" s="8"/>
      <c r="F8" s="8"/>
      <c r="G8" s="11"/>
    </row>
    <row r="9" spans="1:42" ht="16.5" thickBot="1" x14ac:dyDescent="0.3">
      <c r="A9" s="5" t="s">
        <v>11</v>
      </c>
      <c r="B9" s="2"/>
      <c r="C9" s="8" t="s">
        <v>393</v>
      </c>
      <c r="D9" s="10"/>
      <c r="E9" s="8"/>
      <c r="F9" s="8"/>
      <c r="G9" s="11"/>
    </row>
    <row r="10" spans="1:42" ht="45.75" thickBot="1" x14ac:dyDescent="0.3">
      <c r="A10" s="12" t="s">
        <v>12</v>
      </c>
      <c r="B10" s="13" t="s">
        <v>13</v>
      </c>
      <c r="C10" s="13" t="s">
        <v>14</v>
      </c>
      <c r="D10" s="14" t="s">
        <v>15</v>
      </c>
      <c r="E10" s="15" t="s">
        <v>16</v>
      </c>
      <c r="F10" s="16" t="s">
        <v>17</v>
      </c>
      <c r="G10" s="17" t="s">
        <v>18</v>
      </c>
      <c r="H10" s="21" t="s">
        <v>380</v>
      </c>
      <c r="I10" s="21" t="s">
        <v>381</v>
      </c>
      <c r="J10" s="21" t="s">
        <v>382</v>
      </c>
      <c r="K10" s="21" t="s">
        <v>383</v>
      </c>
      <c r="L10" s="21" t="s">
        <v>607</v>
      </c>
      <c r="M10" s="21" t="s">
        <v>608</v>
      </c>
      <c r="N10" s="21" t="s">
        <v>609</v>
      </c>
      <c r="O10" s="21" t="s">
        <v>610</v>
      </c>
      <c r="P10" s="21" t="s">
        <v>611</v>
      </c>
      <c r="Q10" s="21" t="s">
        <v>612</v>
      </c>
      <c r="R10" s="21" t="s">
        <v>613</v>
      </c>
      <c r="S10" s="21" t="s">
        <v>614</v>
      </c>
      <c r="T10" s="21" t="s">
        <v>384</v>
      </c>
      <c r="U10" s="21" t="s">
        <v>385</v>
      </c>
      <c r="V10" s="21" t="s">
        <v>386</v>
      </c>
      <c r="W10" s="21" t="s">
        <v>387</v>
      </c>
      <c r="X10" s="21" t="s">
        <v>388</v>
      </c>
      <c r="Y10" s="21" t="s">
        <v>389</v>
      </c>
      <c r="Z10" s="21" t="s">
        <v>390</v>
      </c>
      <c r="AA10" s="21" t="s">
        <v>391</v>
      </c>
      <c r="AB10" s="21" t="s">
        <v>392</v>
      </c>
      <c r="AC10" s="21" t="s">
        <v>615</v>
      </c>
      <c r="AD10" s="21" t="s">
        <v>616</v>
      </c>
      <c r="AE10" s="21" t="s">
        <v>617</v>
      </c>
      <c r="AF10" s="21" t="s">
        <v>618</v>
      </c>
      <c r="AG10" s="21" t="s">
        <v>619</v>
      </c>
      <c r="AH10" s="21" t="s">
        <v>620</v>
      </c>
      <c r="AI10" s="21" t="s">
        <v>621</v>
      </c>
      <c r="AJ10" s="21" t="s">
        <v>622</v>
      </c>
      <c r="AK10" s="21" t="s">
        <v>623</v>
      </c>
      <c r="AL10" s="21" t="s">
        <v>624</v>
      </c>
      <c r="AM10" s="21" t="s">
        <v>625</v>
      </c>
      <c r="AN10" s="21" t="s">
        <v>626</v>
      </c>
      <c r="AO10" s="21" t="s">
        <v>627</v>
      </c>
      <c r="AP10" s="21" t="s">
        <v>628</v>
      </c>
    </row>
    <row r="11" spans="1:42" ht="16.5" thickBot="1" x14ac:dyDescent="0.3">
      <c r="A11" s="30" t="s">
        <v>19</v>
      </c>
      <c r="B11" s="31" t="s">
        <v>398</v>
      </c>
      <c r="C11" s="27">
        <v>856919</v>
      </c>
      <c r="D11" s="18"/>
      <c r="E11" s="19">
        <f>C11</f>
        <v>856919</v>
      </c>
      <c r="F11" s="19">
        <f>SUM(H11:AK11)</f>
        <v>856462.62999999989</v>
      </c>
      <c r="G11" s="19">
        <f>E11-(F11+AO11+AP11)</f>
        <v>456.37000000011176</v>
      </c>
      <c r="H11" s="23"/>
      <c r="I11" s="23"/>
      <c r="J11" s="23"/>
      <c r="K11" s="24"/>
      <c r="L11" s="23"/>
      <c r="M11" s="23"/>
      <c r="N11" s="23"/>
      <c r="O11" s="23"/>
      <c r="P11" s="23">
        <v>41784.730000000003</v>
      </c>
      <c r="Q11" s="23">
        <v>193152.33</v>
      </c>
      <c r="R11" s="23">
        <v>107607.03</v>
      </c>
      <c r="S11" s="23">
        <v>70338.960000000006</v>
      </c>
      <c r="T11" s="23"/>
      <c r="U11" s="23">
        <f>77995.31+62990.86</f>
        <v>140986.16999999998</v>
      </c>
      <c r="V11" s="23">
        <v>62989.65</v>
      </c>
      <c r="W11" s="23">
        <v>73918.83</v>
      </c>
      <c r="X11" s="23">
        <v>66187.69</v>
      </c>
      <c r="Y11" s="23">
        <v>53674.55</v>
      </c>
      <c r="Z11" s="23"/>
      <c r="AA11" s="23"/>
      <c r="AB11" s="23">
        <v>45822.69</v>
      </c>
      <c r="AC11" s="23"/>
      <c r="AD11" s="23"/>
      <c r="AE11" s="23"/>
      <c r="AF11" s="23"/>
      <c r="AG11" s="23"/>
      <c r="AH11" s="23"/>
    </row>
    <row r="12" spans="1:42" ht="16.5" thickBot="1" x14ac:dyDescent="0.3">
      <c r="A12" s="30" t="s">
        <v>21</v>
      </c>
      <c r="B12" s="31" t="s">
        <v>399</v>
      </c>
      <c r="C12" s="27">
        <v>72800</v>
      </c>
      <c r="D12" s="18"/>
      <c r="E12" s="19">
        <f t="shared" ref="E12:E73" si="0">C12</f>
        <v>72800</v>
      </c>
      <c r="F12" s="19">
        <f t="shared" ref="F12:F73" si="1">SUM(H12:AK12)</f>
        <v>0</v>
      </c>
      <c r="G12" s="19">
        <f t="shared" ref="G12:G56" si="2">E12-(F12+AO12+AP12)</f>
        <v>72800</v>
      </c>
      <c r="H12" s="23"/>
      <c r="I12" s="23"/>
      <c r="J12" s="23"/>
      <c r="K12" s="24"/>
      <c r="L12" s="23"/>
      <c r="M12" s="23"/>
      <c r="N12" s="23"/>
      <c r="O12" s="23"/>
      <c r="P12" s="23"/>
      <c r="Q12" s="23"/>
      <c r="R12" s="23"/>
      <c r="S12" s="23">
        <v>20981.97</v>
      </c>
      <c r="T12" s="23">
        <v>10388.73</v>
      </c>
      <c r="U12" s="23"/>
      <c r="V12" s="23">
        <v>16623.009999999998</v>
      </c>
      <c r="W12" s="23">
        <v>16438.2</v>
      </c>
      <c r="X12" s="23">
        <f>8368.09-72800</f>
        <v>-64431.91</v>
      </c>
      <c r="Y12" s="23"/>
      <c r="Z12" s="23"/>
      <c r="AA12" s="23"/>
      <c r="AB12" s="23"/>
      <c r="AC12" s="23"/>
      <c r="AD12" s="23"/>
      <c r="AE12" s="23"/>
      <c r="AF12" s="23"/>
      <c r="AG12" s="23"/>
      <c r="AH12" s="23"/>
    </row>
    <row r="13" spans="1:42" ht="16.5" thickBot="1" x14ac:dyDescent="0.3">
      <c r="A13" s="30" t="s">
        <v>41</v>
      </c>
      <c r="B13" s="31" t="s">
        <v>400</v>
      </c>
      <c r="C13" s="27">
        <v>4000</v>
      </c>
      <c r="D13" s="18"/>
      <c r="E13" s="19">
        <f t="shared" si="0"/>
        <v>4000</v>
      </c>
      <c r="F13" s="19">
        <f t="shared" si="1"/>
        <v>0</v>
      </c>
      <c r="G13" s="19">
        <f t="shared" si="2"/>
        <v>4000</v>
      </c>
      <c r="H13" s="23"/>
      <c r="I13" s="23"/>
      <c r="J13" s="23"/>
      <c r="K13" s="24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</row>
    <row r="14" spans="1:42" ht="16.5" thickBot="1" x14ac:dyDescent="0.3">
      <c r="A14" s="30" t="s">
        <v>45</v>
      </c>
      <c r="B14" s="31" t="s">
        <v>401</v>
      </c>
      <c r="C14" s="27">
        <v>55282</v>
      </c>
      <c r="D14" s="18"/>
      <c r="E14" s="19">
        <f t="shared" si="0"/>
        <v>55282</v>
      </c>
      <c r="F14" s="19">
        <f t="shared" si="1"/>
        <v>41055.56</v>
      </c>
      <c r="G14" s="19">
        <f t="shared" si="2"/>
        <v>14226.440000000002</v>
      </c>
      <c r="H14" s="23"/>
      <c r="I14" s="33"/>
      <c r="J14" s="23"/>
      <c r="K14" s="24"/>
      <c r="L14" s="23"/>
      <c r="M14" s="23"/>
      <c r="N14" s="23"/>
      <c r="O14" s="23"/>
      <c r="P14" s="23"/>
      <c r="Q14" s="23"/>
      <c r="R14" s="23"/>
      <c r="S14" s="23"/>
      <c r="T14" s="23">
        <v>33564.720000000001</v>
      </c>
      <c r="U14" s="23"/>
      <c r="V14" s="23"/>
      <c r="W14" s="23"/>
      <c r="X14" s="23"/>
      <c r="Y14" s="23"/>
      <c r="Z14" s="23">
        <v>7490.84</v>
      </c>
      <c r="AA14" s="23"/>
      <c r="AB14" s="23"/>
      <c r="AC14" s="23"/>
      <c r="AD14" s="23"/>
      <c r="AE14" s="23"/>
      <c r="AF14" s="23"/>
      <c r="AG14" s="23"/>
      <c r="AH14" s="23"/>
    </row>
    <row r="15" spans="1:42" ht="16.5" thickBot="1" x14ac:dyDescent="0.3">
      <c r="A15" s="30" t="s">
        <v>47</v>
      </c>
      <c r="B15" s="31" t="s">
        <v>402</v>
      </c>
      <c r="C15" s="27">
        <v>26400</v>
      </c>
      <c r="D15" s="18"/>
      <c r="E15" s="19">
        <f t="shared" si="0"/>
        <v>26400</v>
      </c>
      <c r="F15" s="19">
        <f t="shared" si="1"/>
        <v>0</v>
      </c>
      <c r="G15" s="19">
        <f t="shared" si="2"/>
        <v>26400</v>
      </c>
      <c r="H15" s="23"/>
      <c r="I15" s="23"/>
      <c r="J15" s="23"/>
      <c r="K15" s="24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</row>
    <row r="16" spans="1:42" ht="16.5" thickBot="1" x14ac:dyDescent="0.3">
      <c r="A16" s="30" t="s">
        <v>55</v>
      </c>
      <c r="B16" s="31" t="s">
        <v>403</v>
      </c>
      <c r="C16" s="27">
        <v>54821</v>
      </c>
      <c r="D16" s="18"/>
      <c r="E16" s="19">
        <f t="shared" si="0"/>
        <v>54821</v>
      </c>
      <c r="F16" s="19">
        <f t="shared" si="1"/>
        <v>0</v>
      </c>
      <c r="G16" s="19">
        <f t="shared" si="2"/>
        <v>54821</v>
      </c>
      <c r="H16" s="23"/>
      <c r="I16" s="23"/>
      <c r="J16" s="23"/>
      <c r="K16" s="24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</row>
    <row r="17" spans="1:34" ht="16.5" thickBot="1" x14ac:dyDescent="0.3">
      <c r="A17" s="30" t="s">
        <v>59</v>
      </c>
      <c r="B17" s="31" t="s">
        <v>404</v>
      </c>
      <c r="C17" s="27">
        <v>43901</v>
      </c>
      <c r="D17" s="18"/>
      <c r="E17" s="19">
        <f t="shared" si="0"/>
        <v>43901</v>
      </c>
      <c r="F17" s="19">
        <f t="shared" si="1"/>
        <v>43901</v>
      </c>
      <c r="G17" s="19">
        <f t="shared" si="2"/>
        <v>0</v>
      </c>
      <c r="H17" s="23"/>
      <c r="I17" s="23"/>
      <c r="J17" s="23"/>
      <c r="K17" s="29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>
        <v>43901</v>
      </c>
      <c r="Z17" s="23"/>
      <c r="AA17" s="23"/>
      <c r="AB17" s="23"/>
      <c r="AC17" s="23"/>
      <c r="AD17" s="23"/>
      <c r="AE17" s="23"/>
      <c r="AF17" s="23"/>
      <c r="AG17" s="23"/>
      <c r="AH17" s="23"/>
    </row>
    <row r="18" spans="1:34" ht="16.5" thickBot="1" x14ac:dyDescent="0.3">
      <c r="A18" s="30" t="s">
        <v>61</v>
      </c>
      <c r="B18" s="31" t="s">
        <v>405</v>
      </c>
      <c r="C18" s="27">
        <v>58948</v>
      </c>
      <c r="D18" s="18"/>
      <c r="E18" s="19">
        <f t="shared" si="0"/>
        <v>58948</v>
      </c>
      <c r="F18" s="19">
        <f t="shared" si="1"/>
        <v>58948</v>
      </c>
      <c r="G18" s="19">
        <f t="shared" si="2"/>
        <v>0</v>
      </c>
      <c r="H18" s="23"/>
      <c r="I18" s="23"/>
      <c r="J18" s="23"/>
      <c r="K18" s="24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>
        <v>24492.73</v>
      </c>
      <c r="X18" s="23"/>
      <c r="Y18" s="23">
        <v>12245.39</v>
      </c>
      <c r="Z18" s="23"/>
      <c r="AA18" s="23">
        <v>22209.88</v>
      </c>
      <c r="AB18" s="23"/>
      <c r="AC18" s="23"/>
      <c r="AD18" s="23"/>
      <c r="AE18" s="23"/>
      <c r="AF18" s="23"/>
      <c r="AG18" s="23"/>
      <c r="AH18" s="23"/>
    </row>
    <row r="19" spans="1:34" ht="16.5" thickBot="1" x14ac:dyDescent="0.3">
      <c r="A19" s="30" t="s">
        <v>69</v>
      </c>
      <c r="B19" s="31" t="s">
        <v>406</v>
      </c>
      <c r="C19" s="27">
        <v>34400</v>
      </c>
      <c r="D19" s="18"/>
      <c r="E19" s="19">
        <f t="shared" si="0"/>
        <v>34400</v>
      </c>
      <c r="F19" s="19">
        <f t="shared" si="1"/>
        <v>7954.2099999999991</v>
      </c>
      <c r="G19" s="19">
        <f t="shared" si="2"/>
        <v>26445.79</v>
      </c>
      <c r="H19" s="23"/>
      <c r="I19" s="23"/>
      <c r="J19" s="23"/>
      <c r="K19" s="24"/>
      <c r="L19" s="23"/>
      <c r="M19" s="23"/>
      <c r="N19" s="23"/>
      <c r="O19" s="23"/>
      <c r="P19" s="23"/>
      <c r="Q19" s="23"/>
      <c r="R19" s="23"/>
      <c r="S19" s="23">
        <v>1267.53</v>
      </c>
      <c r="T19" s="23"/>
      <c r="U19" s="23">
        <v>2100.37</v>
      </c>
      <c r="V19" s="23"/>
      <c r="W19" s="23">
        <f>1480.04+1069.27</f>
        <v>2549.31</v>
      </c>
      <c r="X19" s="23"/>
      <c r="Y19" s="23">
        <f>1018+1019</f>
        <v>2037</v>
      </c>
      <c r="Z19" s="23"/>
      <c r="AA19" s="23"/>
      <c r="AB19" s="23"/>
      <c r="AC19" s="23"/>
      <c r="AD19" s="23"/>
      <c r="AE19" s="23"/>
      <c r="AF19" s="23"/>
      <c r="AG19" s="23"/>
      <c r="AH19" s="23"/>
    </row>
    <row r="20" spans="1:34" ht="16.5" thickBot="1" x14ac:dyDescent="0.3">
      <c r="A20" s="30" t="s">
        <v>97</v>
      </c>
      <c r="B20" s="31" t="s">
        <v>407</v>
      </c>
      <c r="C20" s="27">
        <v>361200</v>
      </c>
      <c r="D20" s="18"/>
      <c r="E20" s="19">
        <f t="shared" si="0"/>
        <v>361200</v>
      </c>
      <c r="F20" s="19">
        <f t="shared" si="1"/>
        <v>252034.64999999997</v>
      </c>
      <c r="G20" s="19">
        <f t="shared" si="2"/>
        <v>109165.35000000003</v>
      </c>
      <c r="H20" s="23"/>
      <c r="I20" s="23"/>
      <c r="J20" s="23"/>
      <c r="K20" s="24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>
        <v>76015.3</v>
      </c>
      <c r="W20" s="23"/>
      <c r="X20" s="23"/>
      <c r="Y20" s="23">
        <f>84647.83+51429.72</f>
        <v>136077.54999999999</v>
      </c>
      <c r="Z20" s="23"/>
      <c r="AA20" s="23"/>
      <c r="AB20" s="23">
        <v>39941.800000000003</v>
      </c>
      <c r="AC20" s="23"/>
      <c r="AD20" s="23"/>
      <c r="AE20" s="23"/>
      <c r="AF20" s="23"/>
      <c r="AG20" s="23"/>
      <c r="AH20" s="23"/>
    </row>
    <row r="21" spans="1:34" ht="16.5" thickBot="1" x14ac:dyDescent="0.3">
      <c r="A21" s="30" t="s">
        <v>109</v>
      </c>
      <c r="B21" s="31" t="s">
        <v>408</v>
      </c>
      <c r="C21" s="27">
        <v>45015</v>
      </c>
      <c r="D21" s="18"/>
      <c r="E21" s="19">
        <f t="shared" si="0"/>
        <v>45015</v>
      </c>
      <c r="F21" s="19">
        <f t="shared" si="1"/>
        <v>45015</v>
      </c>
      <c r="G21" s="19">
        <f t="shared" si="2"/>
        <v>0</v>
      </c>
      <c r="H21" s="23"/>
      <c r="I21" s="23"/>
      <c r="J21" s="23"/>
      <c r="K21" s="24"/>
      <c r="L21" s="23"/>
      <c r="M21" s="23"/>
      <c r="N21" s="23"/>
      <c r="O21" s="23">
        <v>45015</v>
      </c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</row>
    <row r="22" spans="1:34" ht="16.5" thickBot="1" x14ac:dyDescent="0.3">
      <c r="A22" s="30" t="s">
        <v>113</v>
      </c>
      <c r="B22" s="31" t="s">
        <v>409</v>
      </c>
      <c r="C22" s="27">
        <v>55651</v>
      </c>
      <c r="D22" s="18"/>
      <c r="E22" s="19">
        <f t="shared" si="0"/>
        <v>55651</v>
      </c>
      <c r="F22" s="19">
        <f t="shared" si="1"/>
        <v>55651</v>
      </c>
      <c r="G22" s="19">
        <f t="shared" si="2"/>
        <v>0</v>
      </c>
      <c r="H22" s="23"/>
      <c r="I22" s="23"/>
      <c r="J22" s="23"/>
      <c r="K22" s="24"/>
      <c r="L22" s="23"/>
      <c r="M22" s="23"/>
      <c r="N22" s="23"/>
      <c r="O22" s="23">
        <v>37580</v>
      </c>
      <c r="P22" s="23">
        <v>18071</v>
      </c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</row>
    <row r="23" spans="1:34" ht="16.5" thickBot="1" x14ac:dyDescent="0.3">
      <c r="A23" s="30" t="s">
        <v>121</v>
      </c>
      <c r="B23" s="31" t="s">
        <v>410</v>
      </c>
      <c r="C23" s="27">
        <v>17600</v>
      </c>
      <c r="D23" s="18"/>
      <c r="E23" s="19">
        <f t="shared" si="0"/>
        <v>17600</v>
      </c>
      <c r="F23" s="19">
        <f t="shared" si="1"/>
        <v>8228</v>
      </c>
      <c r="G23" s="19">
        <f t="shared" si="2"/>
        <v>9372</v>
      </c>
      <c r="H23" s="23"/>
      <c r="I23" s="23"/>
      <c r="J23" s="23"/>
      <c r="K23" s="24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>
        <v>1500</v>
      </c>
      <c r="X23" s="23"/>
      <c r="Y23" s="23"/>
      <c r="Z23" s="23">
        <v>6728</v>
      </c>
      <c r="AA23" s="23"/>
      <c r="AB23" s="23"/>
      <c r="AC23" s="23"/>
      <c r="AD23" s="23"/>
      <c r="AE23" s="23"/>
      <c r="AF23" s="23"/>
      <c r="AG23" s="23"/>
      <c r="AH23" s="23"/>
    </row>
    <row r="24" spans="1:34" ht="16.5" thickBot="1" x14ac:dyDescent="0.3">
      <c r="A24" s="30" t="s">
        <v>123</v>
      </c>
      <c r="B24" s="31" t="s">
        <v>411</v>
      </c>
      <c r="C24" s="27">
        <v>62800</v>
      </c>
      <c r="D24" s="18"/>
      <c r="E24" s="19">
        <f t="shared" si="0"/>
        <v>62800</v>
      </c>
      <c r="F24" s="19">
        <f t="shared" si="1"/>
        <v>10327.43</v>
      </c>
      <c r="G24" s="19">
        <f t="shared" si="2"/>
        <v>52472.57</v>
      </c>
      <c r="H24" s="23"/>
      <c r="I24" s="23"/>
      <c r="J24" s="23"/>
      <c r="K24" s="24"/>
      <c r="L24" s="23"/>
      <c r="M24" s="23"/>
      <c r="N24" s="23"/>
      <c r="O24" s="23"/>
      <c r="P24" s="23"/>
      <c r="Q24" s="23"/>
      <c r="R24" s="23"/>
      <c r="S24" s="23">
        <v>248.15</v>
      </c>
      <c r="T24" s="23"/>
      <c r="U24" s="23">
        <f>764.38+75.53</f>
        <v>839.91</v>
      </c>
      <c r="V24" s="23"/>
      <c r="W24" s="23">
        <v>1490</v>
      </c>
      <c r="X24" s="23">
        <v>111.16</v>
      </c>
      <c r="Y24" s="23"/>
      <c r="Z24" s="23"/>
      <c r="AA24" s="23"/>
      <c r="AB24" s="23">
        <v>7638.21</v>
      </c>
      <c r="AC24" s="23"/>
      <c r="AD24" s="23"/>
      <c r="AE24" s="23"/>
      <c r="AF24" s="23"/>
      <c r="AG24" s="23"/>
      <c r="AH24" s="23"/>
    </row>
    <row r="25" spans="1:34" ht="16.5" thickBot="1" x14ac:dyDescent="0.3">
      <c r="A25" s="30" t="s">
        <v>131</v>
      </c>
      <c r="B25" s="31" t="s">
        <v>412</v>
      </c>
      <c r="C25" s="27">
        <v>463</v>
      </c>
      <c r="D25" s="18"/>
      <c r="E25" s="19">
        <f t="shared" si="0"/>
        <v>463</v>
      </c>
      <c r="F25" s="19">
        <f t="shared" si="1"/>
        <v>0</v>
      </c>
      <c r="G25" s="19">
        <f t="shared" si="2"/>
        <v>463</v>
      </c>
      <c r="H25" s="23"/>
      <c r="I25" s="23"/>
      <c r="J25" s="23"/>
      <c r="K25" s="24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</row>
    <row r="26" spans="1:34" ht="16.5" thickBot="1" x14ac:dyDescent="0.3">
      <c r="A26" s="30" t="s">
        <v>151</v>
      </c>
      <c r="B26" s="31" t="s">
        <v>413</v>
      </c>
      <c r="C26" s="27">
        <v>1008155</v>
      </c>
      <c r="D26" s="18"/>
      <c r="E26" s="19">
        <f t="shared" si="0"/>
        <v>1008155</v>
      </c>
      <c r="F26" s="19">
        <f t="shared" si="1"/>
        <v>0</v>
      </c>
      <c r="G26" s="19">
        <f t="shared" si="2"/>
        <v>1008155</v>
      </c>
      <c r="H26" s="23"/>
      <c r="I26" s="23"/>
      <c r="J26" s="23"/>
      <c r="K26" s="24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</row>
    <row r="27" spans="1:34" ht="16.5" thickBot="1" x14ac:dyDescent="0.3">
      <c r="A27" s="30" t="s">
        <v>153</v>
      </c>
      <c r="B27" s="31" t="s">
        <v>414</v>
      </c>
      <c r="C27" s="27">
        <v>456330</v>
      </c>
      <c r="D27" s="18"/>
      <c r="E27" s="19">
        <f t="shared" si="0"/>
        <v>456330</v>
      </c>
      <c r="F27" s="19">
        <f t="shared" si="1"/>
        <v>151649.35</v>
      </c>
      <c r="G27" s="19">
        <f t="shared" si="2"/>
        <v>304680.65000000002</v>
      </c>
      <c r="H27" s="23"/>
      <c r="I27" s="23"/>
      <c r="J27" s="23"/>
      <c r="K27" s="24"/>
      <c r="L27" s="23"/>
      <c r="M27" s="23"/>
      <c r="N27" s="23"/>
      <c r="O27" s="23"/>
      <c r="P27" s="23"/>
      <c r="Q27" s="23"/>
      <c r="R27" s="23"/>
      <c r="S27" s="23"/>
      <c r="T27" s="23">
        <v>151649.35</v>
      </c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</row>
    <row r="28" spans="1:34" ht="16.5" thickBot="1" x14ac:dyDescent="0.3">
      <c r="A28" s="30" t="s">
        <v>155</v>
      </c>
      <c r="B28" s="31" t="s">
        <v>415</v>
      </c>
      <c r="C28" s="27">
        <v>198088</v>
      </c>
      <c r="D28" s="18"/>
      <c r="E28" s="19">
        <f t="shared" si="0"/>
        <v>198088</v>
      </c>
      <c r="F28" s="19">
        <f t="shared" si="1"/>
        <v>67456.3</v>
      </c>
      <c r="G28" s="19">
        <f t="shared" si="2"/>
        <v>130631.7</v>
      </c>
      <c r="H28" s="23"/>
      <c r="I28" s="23"/>
      <c r="J28" s="23"/>
      <c r="K28" s="24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>
        <v>67456.3</v>
      </c>
      <c r="Z28" s="23"/>
      <c r="AA28" s="23"/>
      <c r="AB28" s="23"/>
      <c r="AC28" s="23"/>
      <c r="AD28" s="23"/>
      <c r="AE28" s="23"/>
      <c r="AF28" s="23"/>
      <c r="AG28" s="23"/>
      <c r="AH28" s="23"/>
    </row>
    <row r="29" spans="1:34" ht="16.5" thickBot="1" x14ac:dyDescent="0.3">
      <c r="A29" s="30" t="s">
        <v>173</v>
      </c>
      <c r="B29" s="31" t="s">
        <v>416</v>
      </c>
      <c r="C29" s="27">
        <v>151200</v>
      </c>
      <c r="D29" s="18"/>
      <c r="E29" s="19">
        <f t="shared" si="0"/>
        <v>151200</v>
      </c>
      <c r="F29" s="19">
        <f t="shared" si="1"/>
        <v>0</v>
      </c>
      <c r="G29" s="19">
        <f t="shared" si="2"/>
        <v>151200</v>
      </c>
      <c r="H29" s="23"/>
      <c r="I29" s="23"/>
      <c r="J29" s="23"/>
      <c r="K29" s="24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</row>
    <row r="30" spans="1:34" ht="16.5" thickBot="1" x14ac:dyDescent="0.3">
      <c r="A30" s="30" t="s">
        <v>177</v>
      </c>
      <c r="B30" s="31" t="s">
        <v>417</v>
      </c>
      <c r="C30" s="27">
        <v>40312</v>
      </c>
      <c r="D30" s="18"/>
      <c r="E30" s="19">
        <f t="shared" si="0"/>
        <v>40312</v>
      </c>
      <c r="F30" s="19">
        <f t="shared" si="1"/>
        <v>31009.24</v>
      </c>
      <c r="G30" s="19">
        <f t="shared" si="2"/>
        <v>9302.7599999999984</v>
      </c>
      <c r="H30" s="23"/>
      <c r="I30" s="23"/>
      <c r="J30" s="23"/>
      <c r="K30" s="24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>
        <v>31009.24</v>
      </c>
      <c r="AA30" s="23"/>
      <c r="AB30" s="23"/>
      <c r="AC30" s="23"/>
      <c r="AD30" s="23"/>
      <c r="AE30" s="23"/>
      <c r="AF30" s="23"/>
      <c r="AG30" s="23"/>
      <c r="AH30" s="23"/>
    </row>
    <row r="31" spans="1:34" ht="16.5" thickBot="1" x14ac:dyDescent="0.3">
      <c r="A31" s="30" t="s">
        <v>183</v>
      </c>
      <c r="B31" s="31" t="s">
        <v>418</v>
      </c>
      <c r="C31" s="27">
        <v>9839</v>
      </c>
      <c r="D31" s="18"/>
      <c r="E31" s="19">
        <f t="shared" si="0"/>
        <v>9839</v>
      </c>
      <c r="F31" s="19">
        <f t="shared" si="1"/>
        <v>9839</v>
      </c>
      <c r="G31" s="19">
        <f t="shared" si="2"/>
        <v>0</v>
      </c>
      <c r="H31" s="23"/>
      <c r="I31" s="23"/>
      <c r="J31" s="23"/>
      <c r="K31" s="24"/>
      <c r="L31" s="23"/>
      <c r="M31" s="23"/>
      <c r="N31" s="23">
        <v>9839</v>
      </c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</row>
    <row r="32" spans="1:34" ht="16.5" thickBot="1" x14ac:dyDescent="0.3">
      <c r="A32" s="30" t="s">
        <v>185</v>
      </c>
      <c r="B32" s="31" t="s">
        <v>419</v>
      </c>
      <c r="C32" s="27">
        <v>48211</v>
      </c>
      <c r="D32" s="18"/>
      <c r="E32" s="19">
        <f t="shared" si="0"/>
        <v>48211</v>
      </c>
      <c r="F32" s="19">
        <f t="shared" si="1"/>
        <v>48211</v>
      </c>
      <c r="G32" s="19">
        <f t="shared" si="2"/>
        <v>0</v>
      </c>
      <c r="H32" s="23"/>
      <c r="I32" s="23"/>
      <c r="J32" s="23"/>
      <c r="K32" s="24"/>
      <c r="L32" s="23"/>
      <c r="M32" s="23"/>
      <c r="N32" s="23"/>
      <c r="O32" s="23"/>
      <c r="P32" s="23">
        <v>5234.9399999999996</v>
      </c>
      <c r="Q32" s="23">
        <v>8541.7000000000007</v>
      </c>
      <c r="R32" s="23"/>
      <c r="S32" s="23"/>
      <c r="T32" s="23"/>
      <c r="U32" s="23"/>
      <c r="V32" s="23">
        <v>23280.53</v>
      </c>
      <c r="W32" s="23"/>
      <c r="X32" s="23"/>
      <c r="Y32" s="23">
        <v>11153.83</v>
      </c>
      <c r="Z32" s="23"/>
      <c r="AA32" s="23"/>
      <c r="AB32" s="23"/>
      <c r="AC32" s="23"/>
      <c r="AD32" s="23"/>
      <c r="AE32" s="23"/>
      <c r="AF32" s="23"/>
      <c r="AG32" s="23"/>
      <c r="AH32" s="23"/>
    </row>
    <row r="33" spans="1:34" ht="16.5" thickBot="1" x14ac:dyDescent="0.3">
      <c r="A33" s="30" t="s">
        <v>191</v>
      </c>
      <c r="B33" s="31" t="s">
        <v>420</v>
      </c>
      <c r="C33" s="27">
        <v>72800</v>
      </c>
      <c r="D33" s="18"/>
      <c r="E33" s="19">
        <f t="shared" si="0"/>
        <v>72800</v>
      </c>
      <c r="F33" s="19">
        <f t="shared" si="1"/>
        <v>0</v>
      </c>
      <c r="G33" s="19">
        <f t="shared" si="2"/>
        <v>72800</v>
      </c>
      <c r="H33" s="23"/>
      <c r="I33" s="23"/>
      <c r="J33" s="23"/>
      <c r="K33" s="24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</row>
    <row r="34" spans="1:34" ht="16.5" thickBot="1" x14ac:dyDescent="0.3">
      <c r="A34" s="30" t="s">
        <v>193</v>
      </c>
      <c r="B34" s="31" t="s">
        <v>421</v>
      </c>
      <c r="C34" s="27">
        <v>27200</v>
      </c>
      <c r="D34" s="18"/>
      <c r="E34" s="19">
        <f t="shared" si="0"/>
        <v>27200</v>
      </c>
      <c r="F34" s="19">
        <f t="shared" si="1"/>
        <v>0</v>
      </c>
      <c r="G34" s="19">
        <f t="shared" si="2"/>
        <v>27200</v>
      </c>
      <c r="H34" s="23"/>
      <c r="I34" s="23"/>
      <c r="J34" s="23"/>
      <c r="K34" s="24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</row>
    <row r="35" spans="1:34" ht="16.5" thickBot="1" x14ac:dyDescent="0.3">
      <c r="A35" s="30" t="s">
        <v>195</v>
      </c>
      <c r="B35" s="31" t="s">
        <v>422</v>
      </c>
      <c r="C35" s="27">
        <v>130000</v>
      </c>
      <c r="D35" s="18"/>
      <c r="E35" s="19">
        <f t="shared" si="0"/>
        <v>130000</v>
      </c>
      <c r="F35" s="19">
        <f t="shared" si="1"/>
        <v>73441.850000000006</v>
      </c>
      <c r="G35" s="19">
        <f t="shared" si="2"/>
        <v>56558.149999999994</v>
      </c>
      <c r="H35" s="23"/>
      <c r="I35" s="23"/>
      <c r="J35" s="23"/>
      <c r="K35" s="24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>
        <v>73441.850000000006</v>
      </c>
      <c r="Z35" s="23"/>
      <c r="AA35" s="23"/>
      <c r="AB35" s="23"/>
      <c r="AC35" s="23"/>
      <c r="AD35" s="23"/>
      <c r="AE35" s="23"/>
      <c r="AF35" s="23"/>
      <c r="AG35" s="23"/>
      <c r="AH35" s="23"/>
    </row>
    <row r="36" spans="1:34" ht="16.5" thickBot="1" x14ac:dyDescent="0.3">
      <c r="A36" s="30" t="s">
        <v>213</v>
      </c>
      <c r="B36" s="31" t="s">
        <v>423</v>
      </c>
      <c r="C36" s="27">
        <v>95513</v>
      </c>
      <c r="D36" s="18"/>
      <c r="E36" s="19">
        <f t="shared" si="0"/>
        <v>95513</v>
      </c>
      <c r="F36" s="19">
        <f t="shared" si="1"/>
        <v>0</v>
      </c>
      <c r="G36" s="19">
        <f t="shared" si="2"/>
        <v>95513</v>
      </c>
      <c r="H36" s="23"/>
      <c r="I36" s="23"/>
      <c r="J36" s="23"/>
      <c r="K36" s="24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</row>
    <row r="37" spans="1:34" ht="16.5" thickBot="1" x14ac:dyDescent="0.3">
      <c r="A37" s="30" t="s">
        <v>219</v>
      </c>
      <c r="B37" s="31" t="s">
        <v>424</v>
      </c>
      <c r="C37" s="27">
        <v>20851</v>
      </c>
      <c r="D37" s="18"/>
      <c r="E37" s="19">
        <f t="shared" si="0"/>
        <v>20851</v>
      </c>
      <c r="F37" s="19">
        <f t="shared" si="1"/>
        <v>0</v>
      </c>
      <c r="G37" s="19">
        <f t="shared" si="2"/>
        <v>20851</v>
      </c>
      <c r="H37" s="23"/>
      <c r="I37" s="23"/>
      <c r="J37" s="23"/>
      <c r="K37" s="24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</row>
    <row r="38" spans="1:34" ht="16.5" thickBot="1" x14ac:dyDescent="0.3">
      <c r="A38" s="30" t="s">
        <v>229</v>
      </c>
      <c r="B38" s="31" t="s">
        <v>425</v>
      </c>
      <c r="C38" s="27">
        <v>3631</v>
      </c>
      <c r="D38" s="18"/>
      <c r="E38" s="19">
        <f t="shared" si="0"/>
        <v>3631</v>
      </c>
      <c r="F38" s="19">
        <f t="shared" si="1"/>
        <v>3631</v>
      </c>
      <c r="G38" s="19">
        <f t="shared" si="2"/>
        <v>0</v>
      </c>
      <c r="H38" s="23"/>
      <c r="I38" s="23"/>
      <c r="J38" s="23"/>
      <c r="K38" s="24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>
        <v>3631</v>
      </c>
      <c r="Z38" s="23"/>
      <c r="AA38" s="23"/>
      <c r="AB38" s="23"/>
      <c r="AC38" s="23"/>
      <c r="AD38" s="23"/>
      <c r="AE38" s="23"/>
      <c r="AF38" s="23"/>
      <c r="AG38" s="23"/>
      <c r="AH38" s="23"/>
    </row>
    <row r="39" spans="1:34" ht="16.5" thickBot="1" x14ac:dyDescent="0.3">
      <c r="A39" s="30" t="s">
        <v>235</v>
      </c>
      <c r="B39" s="31" t="s">
        <v>426</v>
      </c>
      <c r="C39" s="27">
        <v>57627</v>
      </c>
      <c r="D39" s="18"/>
      <c r="E39" s="19">
        <f t="shared" si="0"/>
        <v>57627</v>
      </c>
      <c r="F39" s="19">
        <f t="shared" si="1"/>
        <v>57627</v>
      </c>
      <c r="G39" s="19">
        <f t="shared" si="2"/>
        <v>0</v>
      </c>
      <c r="H39" s="23"/>
      <c r="I39" s="23"/>
      <c r="J39" s="23"/>
      <c r="K39" s="24"/>
      <c r="L39" s="23"/>
      <c r="M39" s="23"/>
      <c r="N39" s="23"/>
      <c r="O39" s="23"/>
      <c r="P39" s="23"/>
      <c r="Q39" s="23"/>
      <c r="R39" s="23"/>
      <c r="S39" s="23"/>
      <c r="T39" s="23">
        <f>38525.86+2426.5</f>
        <v>40952.36</v>
      </c>
      <c r="U39" s="23"/>
      <c r="V39" s="23"/>
      <c r="W39" s="23"/>
      <c r="X39" s="23">
        <v>16674.64</v>
      </c>
      <c r="Y39" s="23"/>
      <c r="Z39" s="23"/>
      <c r="AA39" s="23"/>
      <c r="AB39" s="23"/>
      <c r="AC39" s="23"/>
      <c r="AD39" s="23"/>
      <c r="AE39" s="23"/>
      <c r="AF39" s="23"/>
      <c r="AG39" s="23"/>
      <c r="AH39" s="23"/>
    </row>
    <row r="40" spans="1:34" ht="16.5" thickBot="1" x14ac:dyDescent="0.3">
      <c r="A40" s="30" t="s">
        <v>239</v>
      </c>
      <c r="B40" s="31" t="s">
        <v>427</v>
      </c>
      <c r="C40" s="27">
        <v>326400</v>
      </c>
      <c r="D40" s="18"/>
      <c r="E40" s="19">
        <f t="shared" si="0"/>
        <v>326400</v>
      </c>
      <c r="F40" s="19">
        <f t="shared" si="1"/>
        <v>86763.32</v>
      </c>
      <c r="G40" s="19">
        <f t="shared" si="2"/>
        <v>239636.68</v>
      </c>
      <c r="H40" s="23"/>
      <c r="I40" s="23"/>
      <c r="J40" s="23"/>
      <c r="K40" s="24"/>
      <c r="L40" s="23"/>
      <c r="M40" s="23"/>
      <c r="N40" s="23"/>
      <c r="O40" s="23"/>
      <c r="P40" s="23"/>
      <c r="Q40" s="23">
        <v>6144.81</v>
      </c>
      <c r="R40" s="23">
        <v>6134.07</v>
      </c>
      <c r="S40" s="23">
        <v>6105.43</v>
      </c>
      <c r="T40" s="23">
        <v>6053.57</v>
      </c>
      <c r="U40" s="23">
        <v>6316.63</v>
      </c>
      <c r="V40" s="23">
        <v>6053.57</v>
      </c>
      <c r="W40" s="23">
        <v>8726.93</v>
      </c>
      <c r="X40" s="23"/>
      <c r="Y40" s="23"/>
      <c r="Z40" s="23">
        <v>41228.31</v>
      </c>
      <c r="AA40" s="23"/>
      <c r="AB40" s="23"/>
      <c r="AC40" s="23"/>
      <c r="AD40" s="23"/>
      <c r="AE40" s="23"/>
      <c r="AF40" s="23"/>
      <c r="AG40" s="23"/>
      <c r="AH40" s="23"/>
    </row>
    <row r="41" spans="1:34" ht="16.5" thickBot="1" x14ac:dyDescent="0.3">
      <c r="A41" s="30" t="s">
        <v>249</v>
      </c>
      <c r="B41" s="31" t="s">
        <v>428</v>
      </c>
      <c r="C41" s="27">
        <v>19554</v>
      </c>
      <c r="D41" s="18"/>
      <c r="E41" s="19">
        <f t="shared" si="0"/>
        <v>19554</v>
      </c>
      <c r="F41" s="19">
        <f t="shared" si="1"/>
        <v>19554</v>
      </c>
      <c r="G41" s="19">
        <f t="shared" si="2"/>
        <v>0</v>
      </c>
      <c r="H41" s="23"/>
      <c r="I41" s="23"/>
      <c r="J41" s="23"/>
      <c r="K41" s="24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>
        <v>19554</v>
      </c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</row>
    <row r="42" spans="1:34" ht="16.5" thickBot="1" x14ac:dyDescent="0.3">
      <c r="A42" s="30" t="s">
        <v>251</v>
      </c>
      <c r="B42" s="31" t="s">
        <v>429</v>
      </c>
      <c r="C42" s="27">
        <v>146042</v>
      </c>
      <c r="D42" s="18"/>
      <c r="E42" s="19">
        <f t="shared" si="0"/>
        <v>146042</v>
      </c>
      <c r="F42" s="19">
        <f t="shared" si="1"/>
        <v>0</v>
      </c>
      <c r="G42" s="19">
        <f t="shared" si="2"/>
        <v>146042</v>
      </c>
      <c r="H42" s="23"/>
      <c r="I42" s="23"/>
      <c r="J42" s="23"/>
      <c r="K42" s="24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</row>
    <row r="43" spans="1:34" ht="16.5" thickBot="1" x14ac:dyDescent="0.3">
      <c r="A43" s="30" t="s">
        <v>277</v>
      </c>
      <c r="B43" s="31" t="s">
        <v>430</v>
      </c>
      <c r="C43" s="27">
        <v>15433</v>
      </c>
      <c r="D43" s="18"/>
      <c r="E43" s="19">
        <f t="shared" si="0"/>
        <v>15433</v>
      </c>
      <c r="F43" s="19">
        <f t="shared" si="1"/>
        <v>11936.74</v>
      </c>
      <c r="G43" s="19">
        <f t="shared" si="2"/>
        <v>3496.26</v>
      </c>
      <c r="H43" s="23"/>
      <c r="I43" s="23"/>
      <c r="J43" s="23"/>
      <c r="K43" s="24"/>
      <c r="L43" s="23"/>
      <c r="M43" s="23">
        <v>11936.74</v>
      </c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</row>
    <row r="44" spans="1:34" ht="16.5" thickBot="1" x14ac:dyDescent="0.3">
      <c r="A44" s="30" t="s">
        <v>293</v>
      </c>
      <c r="B44" s="31" t="s">
        <v>431</v>
      </c>
      <c r="C44" s="27">
        <v>1982471</v>
      </c>
      <c r="D44" s="18"/>
      <c r="E44" s="19">
        <f t="shared" si="0"/>
        <v>1982471</v>
      </c>
      <c r="F44" s="19">
        <f t="shared" si="1"/>
        <v>1282321.3799999999</v>
      </c>
      <c r="G44" s="19">
        <f t="shared" si="2"/>
        <v>700149.62000000011</v>
      </c>
      <c r="H44" s="23"/>
      <c r="I44" s="23"/>
      <c r="J44" s="23"/>
      <c r="K44" s="24"/>
      <c r="L44" s="23"/>
      <c r="M44" s="23"/>
      <c r="N44" s="23"/>
      <c r="O44" s="23"/>
      <c r="P44" s="23"/>
      <c r="Q44" s="23"/>
      <c r="R44" s="23"/>
      <c r="S44" s="23">
        <v>440003.82</v>
      </c>
      <c r="T44" s="23">
        <v>56750.95</v>
      </c>
      <c r="U44" s="23">
        <v>44035.96</v>
      </c>
      <c r="V44" s="23"/>
      <c r="W44" s="23">
        <v>169753.03</v>
      </c>
      <c r="X44" s="23">
        <v>220324.71</v>
      </c>
      <c r="Y44" s="23">
        <v>31210.99</v>
      </c>
      <c r="Z44" s="23">
        <v>177676.9</v>
      </c>
      <c r="AA44" s="23">
        <v>142565.01999999999</v>
      </c>
      <c r="AB44" s="23"/>
      <c r="AC44" s="23"/>
      <c r="AD44" s="23"/>
      <c r="AE44" s="23"/>
      <c r="AF44" s="23"/>
      <c r="AG44" s="23"/>
      <c r="AH44" s="23"/>
    </row>
    <row r="45" spans="1:34" ht="16.5" thickBot="1" x14ac:dyDescent="0.3">
      <c r="A45" s="30" t="s">
        <v>305</v>
      </c>
      <c r="B45" s="31" t="s">
        <v>432</v>
      </c>
      <c r="C45" s="27">
        <v>60000</v>
      </c>
      <c r="D45" s="18"/>
      <c r="E45" s="19">
        <f t="shared" si="0"/>
        <v>60000</v>
      </c>
      <c r="F45" s="19">
        <f t="shared" si="1"/>
        <v>0</v>
      </c>
      <c r="G45" s="19">
        <f t="shared" si="2"/>
        <v>60000</v>
      </c>
      <c r="H45" s="23"/>
      <c r="I45" s="23"/>
      <c r="J45" s="23"/>
      <c r="K45" s="24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</row>
    <row r="46" spans="1:34" ht="16.5" thickBot="1" x14ac:dyDescent="0.3">
      <c r="A46" s="30" t="s">
        <v>317</v>
      </c>
      <c r="B46" s="31" t="s">
        <v>433</v>
      </c>
      <c r="C46" s="27">
        <v>32604</v>
      </c>
      <c r="D46" s="18"/>
      <c r="E46" s="19">
        <f t="shared" si="0"/>
        <v>32604</v>
      </c>
      <c r="F46" s="19">
        <f t="shared" si="1"/>
        <v>32604</v>
      </c>
      <c r="G46" s="19">
        <f t="shared" si="2"/>
        <v>0</v>
      </c>
      <c r="H46" s="23"/>
      <c r="I46" s="23"/>
      <c r="J46" s="23"/>
      <c r="K46" s="24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>
        <v>32604</v>
      </c>
      <c r="Z46" s="23"/>
      <c r="AA46" s="23"/>
      <c r="AB46" s="23"/>
      <c r="AC46" s="23"/>
      <c r="AD46" s="23"/>
      <c r="AE46" s="23"/>
      <c r="AF46" s="23"/>
      <c r="AG46" s="23"/>
      <c r="AH46" s="23"/>
    </row>
    <row r="47" spans="1:34" ht="16.5" thickBot="1" x14ac:dyDescent="0.3">
      <c r="A47" s="30" t="s">
        <v>335</v>
      </c>
      <c r="B47" s="31" t="s">
        <v>434</v>
      </c>
      <c r="C47" s="27">
        <v>39953</v>
      </c>
      <c r="D47" s="18"/>
      <c r="E47" s="19">
        <f t="shared" si="0"/>
        <v>39953</v>
      </c>
      <c r="F47" s="19">
        <f t="shared" si="1"/>
        <v>0</v>
      </c>
      <c r="G47" s="19">
        <f t="shared" si="2"/>
        <v>39953</v>
      </c>
      <c r="H47" s="23"/>
      <c r="I47" s="23"/>
      <c r="J47" s="23"/>
      <c r="K47" s="24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</row>
    <row r="48" spans="1:34" ht="16.5" thickBot="1" x14ac:dyDescent="0.3">
      <c r="A48" s="30" t="s">
        <v>337</v>
      </c>
      <c r="B48" s="31" t="s">
        <v>435</v>
      </c>
      <c r="C48" s="27">
        <v>20131</v>
      </c>
      <c r="D48" s="18"/>
      <c r="E48" s="19">
        <f t="shared" si="0"/>
        <v>20131</v>
      </c>
      <c r="F48" s="19">
        <f t="shared" si="1"/>
        <v>0</v>
      </c>
      <c r="G48" s="19">
        <f t="shared" si="2"/>
        <v>20131</v>
      </c>
      <c r="H48" s="23"/>
      <c r="I48" s="23"/>
      <c r="J48" s="23"/>
      <c r="K48" s="24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</row>
    <row r="49" spans="1:34" ht="16.5" thickBot="1" x14ac:dyDescent="0.3">
      <c r="A49" s="30" t="s">
        <v>339</v>
      </c>
      <c r="B49" s="31" t="s">
        <v>436</v>
      </c>
      <c r="C49" s="27">
        <v>43593</v>
      </c>
      <c r="D49" s="18"/>
      <c r="E49" s="19">
        <f t="shared" si="0"/>
        <v>43593</v>
      </c>
      <c r="F49" s="19">
        <f t="shared" si="1"/>
        <v>43593</v>
      </c>
      <c r="G49" s="19">
        <f t="shared" si="2"/>
        <v>0</v>
      </c>
      <c r="H49" s="23"/>
      <c r="I49" s="23"/>
      <c r="J49" s="23"/>
      <c r="K49" s="24"/>
      <c r="L49" s="23"/>
      <c r="M49" s="23"/>
      <c r="N49" s="23"/>
      <c r="O49" s="23"/>
      <c r="P49" s="23"/>
      <c r="Q49" s="23"/>
      <c r="R49" s="23">
        <v>43593</v>
      </c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</row>
    <row r="50" spans="1:34" ht="16.5" thickBot="1" x14ac:dyDescent="0.3">
      <c r="A50" s="30" t="s">
        <v>341</v>
      </c>
      <c r="B50" s="31" t="s">
        <v>437</v>
      </c>
      <c r="C50" s="27">
        <v>13638</v>
      </c>
      <c r="D50" s="18"/>
      <c r="E50" s="19">
        <f t="shared" si="0"/>
        <v>13638</v>
      </c>
      <c r="F50" s="19">
        <f t="shared" si="1"/>
        <v>13638</v>
      </c>
      <c r="G50" s="19">
        <f t="shared" si="2"/>
        <v>0</v>
      </c>
      <c r="H50" s="23"/>
      <c r="I50" s="23"/>
      <c r="J50" s="23"/>
      <c r="K50" s="24"/>
      <c r="L50" s="23"/>
      <c r="M50" s="23">
        <v>13638</v>
      </c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</row>
    <row r="51" spans="1:34" ht="16.5" thickBot="1" x14ac:dyDescent="0.3">
      <c r="A51" s="30" t="s">
        <v>343</v>
      </c>
      <c r="B51" s="31" t="s">
        <v>438</v>
      </c>
      <c r="C51" s="27">
        <v>52484</v>
      </c>
      <c r="D51" s="18"/>
      <c r="E51" s="19">
        <f t="shared" si="0"/>
        <v>52484</v>
      </c>
      <c r="F51" s="19">
        <f t="shared" si="1"/>
        <v>41469.379999999997</v>
      </c>
      <c r="G51" s="19">
        <f t="shared" si="2"/>
        <v>11014.620000000003</v>
      </c>
      <c r="H51" s="23"/>
      <c r="I51" s="23"/>
      <c r="J51" s="23"/>
      <c r="K51" s="24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>
        <v>41469.379999999997</v>
      </c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</row>
    <row r="52" spans="1:34" ht="16.5" thickBot="1" x14ac:dyDescent="0.3">
      <c r="A52" s="30" t="s">
        <v>359</v>
      </c>
      <c r="B52" s="31" t="s">
        <v>439</v>
      </c>
      <c r="C52" s="27">
        <v>20251</v>
      </c>
      <c r="D52" s="18"/>
      <c r="E52" s="19">
        <f t="shared" si="0"/>
        <v>20251</v>
      </c>
      <c r="F52" s="19">
        <f t="shared" si="1"/>
        <v>20251</v>
      </c>
      <c r="G52" s="19">
        <f t="shared" si="2"/>
        <v>0</v>
      </c>
      <c r="H52" s="23"/>
      <c r="I52" s="23"/>
      <c r="J52" s="23"/>
      <c r="K52" s="24"/>
      <c r="L52" s="23"/>
      <c r="M52" s="23">
        <v>20251</v>
      </c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</row>
    <row r="53" spans="1:34" ht="16.5" thickBot="1" x14ac:dyDescent="0.3">
      <c r="A53" s="30" t="s">
        <v>363</v>
      </c>
      <c r="B53" s="31" t="s">
        <v>440</v>
      </c>
      <c r="C53" s="27">
        <v>60000</v>
      </c>
      <c r="D53" s="18"/>
      <c r="E53" s="19">
        <f t="shared" si="0"/>
        <v>60000</v>
      </c>
      <c r="F53" s="19">
        <f t="shared" si="1"/>
        <v>19065.649999999998</v>
      </c>
      <c r="G53" s="19">
        <f t="shared" si="2"/>
        <v>40934.350000000006</v>
      </c>
      <c r="H53" s="23"/>
      <c r="I53" s="23"/>
      <c r="J53" s="23"/>
      <c r="K53" s="24"/>
      <c r="L53" s="23"/>
      <c r="M53" s="23"/>
      <c r="N53" s="23"/>
      <c r="O53" s="23"/>
      <c r="P53" s="23"/>
      <c r="Q53" s="23"/>
      <c r="R53" s="23"/>
      <c r="S53" s="23">
        <v>11343.8</v>
      </c>
      <c r="T53" s="23"/>
      <c r="U53" s="23"/>
      <c r="V53" s="23">
        <v>5791.78</v>
      </c>
      <c r="W53" s="23"/>
      <c r="X53" s="23"/>
      <c r="Y53" s="23"/>
      <c r="Z53" s="23"/>
      <c r="AA53" s="23">
        <v>1930.07</v>
      </c>
      <c r="AB53" s="23"/>
      <c r="AC53" s="23"/>
      <c r="AD53" s="23"/>
      <c r="AE53" s="23"/>
      <c r="AF53" s="23"/>
      <c r="AG53" s="23"/>
      <c r="AH53" s="23"/>
    </row>
    <row r="54" spans="1:34" ht="16.5" thickBot="1" x14ac:dyDescent="0.3">
      <c r="A54" s="30" t="s">
        <v>369</v>
      </c>
      <c r="B54" s="31" t="s">
        <v>441</v>
      </c>
      <c r="C54" s="27">
        <v>3831</v>
      </c>
      <c r="D54" s="18"/>
      <c r="E54" s="19">
        <f t="shared" si="0"/>
        <v>3831</v>
      </c>
      <c r="F54" s="19">
        <f t="shared" si="1"/>
        <v>0</v>
      </c>
      <c r="G54" s="19">
        <f t="shared" si="2"/>
        <v>3831</v>
      </c>
      <c r="H54" s="23"/>
      <c r="I54" s="23"/>
      <c r="J54" s="23"/>
      <c r="K54" s="24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</row>
    <row r="55" spans="1:34" ht="16.5" thickBot="1" x14ac:dyDescent="0.3">
      <c r="A55" s="30" t="s">
        <v>371</v>
      </c>
      <c r="B55" s="31" t="s">
        <v>442</v>
      </c>
      <c r="C55" s="27">
        <v>6719</v>
      </c>
      <c r="D55" s="18"/>
      <c r="E55" s="19">
        <f t="shared" si="0"/>
        <v>6719</v>
      </c>
      <c r="F55" s="19">
        <f t="shared" si="1"/>
        <v>6719</v>
      </c>
      <c r="G55" s="19">
        <f t="shared" si="2"/>
        <v>0</v>
      </c>
      <c r="H55" s="23"/>
      <c r="I55" s="23"/>
      <c r="J55" s="23"/>
      <c r="K55" s="24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>
        <v>6719</v>
      </c>
      <c r="Z55" s="23"/>
      <c r="AA55" s="23"/>
      <c r="AB55" s="23"/>
      <c r="AC55" s="23"/>
      <c r="AD55" s="23"/>
      <c r="AE55" s="23"/>
      <c r="AF55" s="23"/>
      <c r="AG55" s="23"/>
      <c r="AH55" s="23"/>
    </row>
    <row r="56" spans="1:34" ht="16.5" thickBot="1" x14ac:dyDescent="0.3">
      <c r="A56" s="30" t="s">
        <v>373</v>
      </c>
      <c r="B56" s="31" t="s">
        <v>443</v>
      </c>
      <c r="C56" s="27">
        <v>97280</v>
      </c>
      <c r="D56" s="18"/>
      <c r="E56" s="19">
        <f t="shared" si="0"/>
        <v>97280</v>
      </c>
      <c r="F56" s="19">
        <f t="shared" si="1"/>
        <v>43463.360000000001</v>
      </c>
      <c r="G56" s="19">
        <f t="shared" si="2"/>
        <v>53816.639999999999</v>
      </c>
      <c r="H56" s="23"/>
      <c r="I56" s="23"/>
      <c r="J56" s="23"/>
      <c r="K56" s="24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>
        <v>43463.360000000001</v>
      </c>
      <c r="AC56" s="23"/>
      <c r="AD56" s="23"/>
      <c r="AE56" s="23"/>
      <c r="AF56" s="23"/>
      <c r="AG56" s="23"/>
      <c r="AH56" s="23"/>
    </row>
    <row r="57" spans="1:34" ht="16.5" thickBot="1" x14ac:dyDescent="0.3">
      <c r="A57" s="34"/>
      <c r="B57" s="35" t="s">
        <v>606</v>
      </c>
      <c r="C57" s="36">
        <f t="shared" ref="C57:AB57" si="3">SUM(C11:C56)</f>
        <v>7010341</v>
      </c>
      <c r="D57" s="20">
        <f t="shared" si="3"/>
        <v>0</v>
      </c>
      <c r="E57" s="39">
        <f t="shared" si="3"/>
        <v>7010341</v>
      </c>
      <c r="F57" s="39">
        <f t="shared" si="3"/>
        <v>3443821.05</v>
      </c>
      <c r="G57" s="39">
        <f t="shared" si="3"/>
        <v>3566519.9500000007</v>
      </c>
      <c r="H57" s="20">
        <f t="shared" si="3"/>
        <v>0</v>
      </c>
      <c r="I57" s="20">
        <f t="shared" si="3"/>
        <v>0</v>
      </c>
      <c r="J57" s="20">
        <f t="shared" si="3"/>
        <v>0</v>
      </c>
      <c r="K57" s="20">
        <f t="shared" si="3"/>
        <v>0</v>
      </c>
      <c r="L57" s="20">
        <f t="shared" si="3"/>
        <v>0</v>
      </c>
      <c r="M57" s="20">
        <f t="shared" si="3"/>
        <v>45825.74</v>
      </c>
      <c r="N57" s="20">
        <f t="shared" si="3"/>
        <v>9839</v>
      </c>
      <c r="O57" s="45">
        <f t="shared" si="3"/>
        <v>82595</v>
      </c>
      <c r="P57" s="45">
        <f t="shared" si="3"/>
        <v>65090.670000000006</v>
      </c>
      <c r="Q57" s="45">
        <f t="shared" si="3"/>
        <v>207838.84</v>
      </c>
      <c r="R57" s="45">
        <f t="shared" si="3"/>
        <v>157334.1</v>
      </c>
      <c r="S57" s="45">
        <f t="shared" si="3"/>
        <v>550289.66</v>
      </c>
      <c r="T57" s="45">
        <f t="shared" si="3"/>
        <v>299359.68</v>
      </c>
      <c r="U57" s="45">
        <f t="shared" si="3"/>
        <v>194279.03999999998</v>
      </c>
      <c r="V57" s="45">
        <f t="shared" si="3"/>
        <v>251777.22000000003</v>
      </c>
      <c r="W57" s="45">
        <f t="shared" si="3"/>
        <v>298869.03000000003</v>
      </c>
      <c r="X57" s="45">
        <f t="shared" si="3"/>
        <v>238866.28999999998</v>
      </c>
      <c r="Y57" s="45">
        <f t="shared" si="3"/>
        <v>474152.45999999996</v>
      </c>
      <c r="Z57" s="45">
        <f t="shared" si="3"/>
        <v>264133.28999999998</v>
      </c>
      <c r="AA57" s="45">
        <f t="shared" si="3"/>
        <v>166704.97</v>
      </c>
      <c r="AB57" s="45">
        <f t="shared" si="3"/>
        <v>136866.06</v>
      </c>
      <c r="AC57" s="23"/>
      <c r="AD57" s="23"/>
      <c r="AE57" s="23"/>
      <c r="AF57" s="23"/>
      <c r="AG57" s="23"/>
      <c r="AH57" s="23"/>
    </row>
    <row r="58" spans="1:34" ht="16.5" thickBot="1" x14ac:dyDescent="0.3">
      <c r="E58" s="38"/>
      <c r="F58" s="38"/>
      <c r="G58" s="38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</row>
    <row r="59" spans="1:34" ht="16.5" thickBot="1" x14ac:dyDescent="0.3">
      <c r="E59" s="38"/>
      <c r="F59" s="38"/>
      <c r="G59" s="38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</row>
    <row r="60" spans="1:34" ht="16.5" thickBot="1" x14ac:dyDescent="0.3">
      <c r="A60" s="30" t="s">
        <v>465</v>
      </c>
      <c r="B60" s="30" t="s">
        <v>444</v>
      </c>
      <c r="C60" s="27">
        <v>99524</v>
      </c>
      <c r="D60" s="18"/>
      <c r="E60" s="19">
        <f t="shared" si="0"/>
        <v>99524</v>
      </c>
      <c r="F60" s="19">
        <f t="shared" si="1"/>
        <v>99524</v>
      </c>
      <c r="G60" s="19">
        <f>E60-(F60+AO60+AP60)</f>
        <v>0</v>
      </c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>
        <v>99524</v>
      </c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</row>
    <row r="61" spans="1:34" ht="16.5" thickBot="1" x14ac:dyDescent="0.3">
      <c r="A61" s="30" t="s">
        <v>466</v>
      </c>
      <c r="B61" s="30" t="s">
        <v>445</v>
      </c>
      <c r="C61" s="27">
        <v>51933</v>
      </c>
      <c r="D61" s="18"/>
      <c r="E61" s="19">
        <f t="shared" si="0"/>
        <v>51933</v>
      </c>
      <c r="F61" s="19">
        <f t="shared" si="1"/>
        <v>0</v>
      </c>
      <c r="G61" s="19">
        <f t="shared" ref="G61:G80" si="4">E61-(F61+AO61+AP61)</f>
        <v>51933</v>
      </c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</row>
    <row r="62" spans="1:34" ht="16.5" thickBot="1" x14ac:dyDescent="0.3">
      <c r="A62" s="30" t="s">
        <v>467</v>
      </c>
      <c r="B62" s="30" t="s">
        <v>446</v>
      </c>
      <c r="C62" s="27">
        <f>83400+121749</f>
        <v>205149</v>
      </c>
      <c r="D62" s="18"/>
      <c r="E62" s="19">
        <f t="shared" si="0"/>
        <v>205149</v>
      </c>
      <c r="F62" s="19">
        <f t="shared" si="1"/>
        <v>193304.01</v>
      </c>
      <c r="G62" s="19">
        <f t="shared" si="4"/>
        <v>11844.989999999991</v>
      </c>
      <c r="H62" s="23"/>
      <c r="I62" s="23"/>
      <c r="J62" s="23"/>
      <c r="K62" s="23"/>
      <c r="L62" s="23"/>
      <c r="M62" s="23"/>
      <c r="N62" s="23">
        <v>149746.01</v>
      </c>
      <c r="O62" s="23">
        <v>7115</v>
      </c>
      <c r="P62" s="23">
        <v>7715</v>
      </c>
      <c r="Q62" s="23">
        <v>3972</v>
      </c>
      <c r="R62" s="23">
        <v>3971</v>
      </c>
      <c r="S62" s="23">
        <v>4175</v>
      </c>
      <c r="T62" s="23">
        <v>3698</v>
      </c>
      <c r="U62" s="23">
        <v>4504</v>
      </c>
      <c r="V62" s="23">
        <v>246</v>
      </c>
      <c r="W62" s="23">
        <v>264</v>
      </c>
      <c r="X62" s="23">
        <v>7898</v>
      </c>
      <c r="Y62" s="23"/>
      <c r="Z62" s="23"/>
      <c r="AA62" s="23"/>
      <c r="AB62" s="23"/>
      <c r="AC62" s="23"/>
      <c r="AD62" s="23"/>
      <c r="AE62" s="23"/>
      <c r="AF62" s="23"/>
      <c r="AG62" s="23"/>
      <c r="AH62" s="23"/>
    </row>
    <row r="63" spans="1:34" ht="16.5" thickBot="1" x14ac:dyDescent="0.3">
      <c r="A63" s="30" t="s">
        <v>468</v>
      </c>
      <c r="B63" s="30" t="s">
        <v>447</v>
      </c>
      <c r="C63" s="27">
        <v>71332</v>
      </c>
      <c r="D63" s="30"/>
      <c r="E63" s="19">
        <f t="shared" si="0"/>
        <v>71332</v>
      </c>
      <c r="F63" s="19">
        <f t="shared" si="1"/>
        <v>32337.489999999998</v>
      </c>
      <c r="G63" s="19">
        <f t="shared" si="4"/>
        <v>38994.51</v>
      </c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>
        <v>23167.18</v>
      </c>
      <c r="S63" s="23">
        <v>1969.1</v>
      </c>
      <c r="T63" s="23">
        <v>1930.25</v>
      </c>
      <c r="U63" s="23"/>
      <c r="V63" s="23"/>
      <c r="W63" s="23"/>
      <c r="X63" s="23"/>
      <c r="Y63" s="23">
        <v>2109.38</v>
      </c>
      <c r="Z63" s="23">
        <v>3161.58</v>
      </c>
      <c r="AA63" s="23"/>
      <c r="AB63" s="23"/>
      <c r="AC63" s="23"/>
      <c r="AD63" s="23"/>
      <c r="AE63" s="23"/>
      <c r="AF63" s="23"/>
      <c r="AG63" s="23"/>
      <c r="AH63" s="23"/>
    </row>
    <row r="64" spans="1:34" ht="16.5" thickBot="1" x14ac:dyDescent="0.3">
      <c r="A64" s="30" t="s">
        <v>469</v>
      </c>
      <c r="B64" s="30" t="s">
        <v>448</v>
      </c>
      <c r="C64" s="27">
        <v>105655</v>
      </c>
      <c r="D64" s="18"/>
      <c r="E64" s="19">
        <f t="shared" si="0"/>
        <v>105655</v>
      </c>
      <c r="F64" s="19">
        <f t="shared" si="1"/>
        <v>30349</v>
      </c>
      <c r="G64" s="19">
        <f t="shared" si="4"/>
        <v>75306</v>
      </c>
      <c r="H64" s="22"/>
      <c r="I64" s="22"/>
      <c r="J64" s="22"/>
      <c r="K64" s="22"/>
      <c r="L64" s="22"/>
      <c r="M64" s="22"/>
      <c r="N64" s="22"/>
      <c r="O64" s="23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3">
        <v>30349</v>
      </c>
      <c r="AA64" s="22"/>
      <c r="AB64" s="22"/>
      <c r="AC64" s="22"/>
      <c r="AD64" s="22"/>
      <c r="AE64" s="22"/>
      <c r="AF64" s="22"/>
      <c r="AG64" s="22"/>
      <c r="AH64" s="22"/>
    </row>
    <row r="65" spans="1:34" ht="16.5" thickBot="1" x14ac:dyDescent="0.3">
      <c r="A65" s="30" t="s">
        <v>470</v>
      </c>
      <c r="B65" s="30" t="s">
        <v>449</v>
      </c>
      <c r="C65" s="27">
        <v>57959</v>
      </c>
      <c r="D65" s="18"/>
      <c r="E65" s="19">
        <f t="shared" si="0"/>
        <v>57959</v>
      </c>
      <c r="F65" s="19">
        <f t="shared" si="1"/>
        <v>57959</v>
      </c>
      <c r="G65" s="19">
        <f t="shared" si="4"/>
        <v>0</v>
      </c>
      <c r="H65" s="22"/>
      <c r="I65" s="22"/>
      <c r="J65" s="22"/>
      <c r="K65" s="22"/>
      <c r="L65" s="22"/>
      <c r="M65" s="22"/>
      <c r="N65" s="22"/>
      <c r="O65" s="23"/>
      <c r="P65" s="22"/>
      <c r="Q65" s="22"/>
      <c r="R65" s="57">
        <v>57959</v>
      </c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</row>
    <row r="66" spans="1:34" ht="16.5" thickBot="1" x14ac:dyDescent="0.3">
      <c r="A66" s="30" t="s">
        <v>471</v>
      </c>
      <c r="B66" s="30" t="s">
        <v>450</v>
      </c>
      <c r="C66" s="27">
        <v>82227</v>
      </c>
      <c r="D66" s="18"/>
      <c r="E66" s="19">
        <f t="shared" si="0"/>
        <v>82227</v>
      </c>
      <c r="F66" s="19">
        <f t="shared" si="1"/>
        <v>45728.759999999995</v>
      </c>
      <c r="G66" s="19">
        <f t="shared" si="4"/>
        <v>36498.240000000005</v>
      </c>
      <c r="H66" s="22"/>
      <c r="I66" s="22"/>
      <c r="J66" s="22"/>
      <c r="K66" s="22"/>
      <c r="L66" s="22"/>
      <c r="M66" s="22"/>
      <c r="N66" s="22"/>
      <c r="O66" s="23"/>
      <c r="P66" s="22"/>
      <c r="Q66" s="22"/>
      <c r="R66" s="22"/>
      <c r="S66" s="22">
        <v>16874.37</v>
      </c>
      <c r="T66" s="22"/>
      <c r="U66" s="22"/>
      <c r="V66" s="22"/>
      <c r="W66" s="22"/>
      <c r="X66" s="22">
        <v>20019.97</v>
      </c>
      <c r="Y66" s="22"/>
      <c r="Z66" s="22">
        <v>2433.08</v>
      </c>
      <c r="AA66" s="22">
        <f>4858.14+1543.2</f>
        <v>6401.34</v>
      </c>
      <c r="AB66" s="22"/>
      <c r="AC66" s="22"/>
      <c r="AD66" s="22"/>
      <c r="AE66" s="22"/>
      <c r="AF66" s="22"/>
      <c r="AG66" s="22"/>
      <c r="AH66" s="22"/>
    </row>
    <row r="67" spans="1:34" ht="16.5" thickBot="1" x14ac:dyDescent="0.3">
      <c r="A67" s="30" t="s">
        <v>472</v>
      </c>
      <c r="B67" s="30" t="s">
        <v>451</v>
      </c>
      <c r="C67" s="27">
        <v>86358</v>
      </c>
      <c r="D67" s="18"/>
      <c r="E67" s="19">
        <f t="shared" si="0"/>
        <v>86358</v>
      </c>
      <c r="F67" s="19">
        <f t="shared" si="1"/>
        <v>52702</v>
      </c>
      <c r="G67" s="19">
        <f t="shared" si="4"/>
        <v>33656</v>
      </c>
      <c r="H67" s="22"/>
      <c r="I67" s="22"/>
      <c r="J67" s="22"/>
      <c r="K67" s="22"/>
      <c r="L67" s="22"/>
      <c r="M67" s="22"/>
      <c r="N67" s="22"/>
      <c r="O67" s="23"/>
      <c r="P67" s="22"/>
      <c r="Q67" s="22"/>
      <c r="R67" s="22"/>
      <c r="S67" s="22"/>
      <c r="T67" s="22"/>
      <c r="U67" s="22"/>
      <c r="V67" s="22"/>
      <c r="W67" s="22"/>
      <c r="X67" s="22"/>
      <c r="Y67" s="23">
        <v>52702</v>
      </c>
      <c r="Z67" s="22"/>
      <c r="AA67" s="22"/>
      <c r="AB67" s="22"/>
      <c r="AC67" s="22"/>
      <c r="AD67" s="22"/>
      <c r="AE67" s="22"/>
      <c r="AF67" s="22"/>
      <c r="AG67" s="22"/>
      <c r="AH67" s="22"/>
    </row>
    <row r="68" spans="1:34" ht="16.5" thickBot="1" x14ac:dyDescent="0.3">
      <c r="A68" s="30" t="s">
        <v>473</v>
      </c>
      <c r="B68" s="30" t="s">
        <v>452</v>
      </c>
      <c r="C68" s="27">
        <v>71071</v>
      </c>
      <c r="D68" s="18"/>
      <c r="E68" s="19">
        <f t="shared" si="0"/>
        <v>71071</v>
      </c>
      <c r="F68" s="19">
        <f t="shared" si="1"/>
        <v>0</v>
      </c>
      <c r="G68" s="19">
        <f t="shared" si="4"/>
        <v>71071</v>
      </c>
      <c r="H68" s="22"/>
      <c r="I68" s="22"/>
      <c r="J68" s="22"/>
      <c r="K68" s="22"/>
      <c r="L68" s="22"/>
      <c r="M68" s="22"/>
      <c r="N68" s="22"/>
      <c r="O68" s="23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</row>
    <row r="69" spans="1:34" ht="16.5" thickBot="1" x14ac:dyDescent="0.3">
      <c r="A69" s="30" t="s">
        <v>474</v>
      </c>
      <c r="B69" s="30" t="s">
        <v>453</v>
      </c>
      <c r="C69" s="27">
        <v>54371</v>
      </c>
      <c r="D69" s="18"/>
      <c r="E69" s="19">
        <f t="shared" si="0"/>
        <v>54371</v>
      </c>
      <c r="F69" s="19">
        <f t="shared" si="1"/>
        <v>54371</v>
      </c>
      <c r="G69" s="19">
        <f t="shared" si="4"/>
        <v>0</v>
      </c>
      <c r="H69" s="22"/>
      <c r="I69" s="22"/>
      <c r="J69" s="22"/>
      <c r="K69" s="22"/>
      <c r="L69" s="22"/>
      <c r="M69" s="22"/>
      <c r="N69" s="22"/>
      <c r="O69" s="23"/>
      <c r="P69" s="22"/>
      <c r="Q69" s="22"/>
      <c r="R69" s="57">
        <v>54371</v>
      </c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</row>
    <row r="70" spans="1:34" ht="16.5" thickBot="1" x14ac:dyDescent="0.3">
      <c r="A70" s="30" t="s">
        <v>475</v>
      </c>
      <c r="B70" s="30" t="s">
        <v>454</v>
      </c>
      <c r="C70" s="27">
        <v>58735</v>
      </c>
      <c r="D70" s="18"/>
      <c r="E70" s="19">
        <f t="shared" si="0"/>
        <v>58735</v>
      </c>
      <c r="F70" s="19">
        <f t="shared" si="1"/>
        <v>0</v>
      </c>
      <c r="G70" s="19">
        <f t="shared" si="4"/>
        <v>58735</v>
      </c>
      <c r="H70" s="22"/>
      <c r="I70" s="22"/>
      <c r="J70" s="22"/>
      <c r="K70" s="22"/>
      <c r="L70" s="22"/>
      <c r="M70" s="22"/>
      <c r="N70" s="22"/>
      <c r="O70" s="23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</row>
    <row r="71" spans="1:34" ht="16.5" thickBot="1" x14ac:dyDescent="0.3">
      <c r="A71" s="30" t="s">
        <v>476</v>
      </c>
      <c r="B71" s="30" t="s">
        <v>455</v>
      </c>
      <c r="C71" s="27">
        <v>36056</v>
      </c>
      <c r="D71" s="18"/>
      <c r="E71" s="19">
        <f t="shared" si="0"/>
        <v>36056</v>
      </c>
      <c r="F71" s="19">
        <f t="shared" si="1"/>
        <v>36056</v>
      </c>
      <c r="G71" s="19">
        <f t="shared" si="4"/>
        <v>0</v>
      </c>
      <c r="O71" s="23"/>
      <c r="V71" s="22"/>
      <c r="X71" s="22"/>
      <c r="Y71" s="23">
        <v>36056</v>
      </c>
    </row>
    <row r="72" spans="1:34" ht="16.5" thickBot="1" x14ac:dyDescent="0.3">
      <c r="A72" s="30" t="s">
        <v>477</v>
      </c>
      <c r="B72" s="30" t="s">
        <v>456</v>
      </c>
      <c r="C72" s="27">
        <f>86776+232800</f>
        <v>319576</v>
      </c>
      <c r="D72" s="18"/>
      <c r="E72" s="19">
        <f t="shared" si="0"/>
        <v>319576</v>
      </c>
      <c r="F72" s="19">
        <f t="shared" si="1"/>
        <v>319576</v>
      </c>
      <c r="G72" s="19">
        <f t="shared" si="4"/>
        <v>0</v>
      </c>
      <c r="O72" s="23"/>
      <c r="V72" s="22"/>
      <c r="W72" s="22">
        <v>319576</v>
      </c>
      <c r="X72" s="22"/>
      <c r="Y72" s="22"/>
    </row>
    <row r="73" spans="1:34" ht="16.5" thickBot="1" x14ac:dyDescent="0.3">
      <c r="A73" s="30" t="s">
        <v>478</v>
      </c>
      <c r="B73" s="30" t="s">
        <v>457</v>
      </c>
      <c r="C73" s="27">
        <v>48045</v>
      </c>
      <c r="D73" s="18"/>
      <c r="E73" s="19">
        <f t="shared" si="0"/>
        <v>48045</v>
      </c>
      <c r="F73" s="19">
        <f t="shared" si="1"/>
        <v>0</v>
      </c>
      <c r="G73" s="19">
        <f t="shared" si="4"/>
        <v>48045</v>
      </c>
      <c r="O73" s="23"/>
      <c r="V73" s="22"/>
      <c r="X73" s="22"/>
      <c r="Y73" s="22"/>
    </row>
    <row r="74" spans="1:34" ht="16.5" thickBot="1" x14ac:dyDescent="0.3">
      <c r="A74" s="30" t="s">
        <v>479</v>
      </c>
      <c r="B74" s="30" t="s">
        <v>458</v>
      </c>
      <c r="C74" s="27">
        <v>39665</v>
      </c>
      <c r="D74" s="18"/>
      <c r="E74" s="19">
        <f t="shared" ref="E74:E136" si="5">C74</f>
        <v>39665</v>
      </c>
      <c r="F74" s="19">
        <f t="shared" ref="F74:F136" si="6">SUM(H74:AK74)</f>
        <v>32647.88</v>
      </c>
      <c r="G74" s="19">
        <f t="shared" si="4"/>
        <v>7017.119999999999</v>
      </c>
      <c r="O74" s="23"/>
      <c r="V74" s="22"/>
      <c r="X74" s="22"/>
      <c r="Y74" s="22"/>
      <c r="Z74" s="22">
        <v>28300.240000000002</v>
      </c>
      <c r="AB74" s="22">
        <v>4347.6400000000003</v>
      </c>
    </row>
    <row r="75" spans="1:34" ht="16.5" thickBot="1" x14ac:dyDescent="0.3">
      <c r="A75" s="30" t="s">
        <v>480</v>
      </c>
      <c r="B75" s="30" t="s">
        <v>459</v>
      </c>
      <c r="C75" s="27">
        <v>46577</v>
      </c>
      <c r="D75" s="18"/>
      <c r="E75" s="19">
        <f t="shared" si="5"/>
        <v>46577</v>
      </c>
      <c r="F75" s="19">
        <f t="shared" si="6"/>
        <v>44357.799999999996</v>
      </c>
      <c r="G75" s="19">
        <f t="shared" si="4"/>
        <v>2219.2000000000044</v>
      </c>
      <c r="O75" s="23"/>
      <c r="V75" s="22">
        <v>44059.63</v>
      </c>
      <c r="X75" s="22"/>
      <c r="Y75" s="22">
        <v>158.81</v>
      </c>
      <c r="Z75" s="22">
        <v>139.36000000000001</v>
      </c>
    </row>
    <row r="76" spans="1:34" ht="16.5" thickBot="1" x14ac:dyDescent="0.3">
      <c r="A76" s="30" t="s">
        <v>481</v>
      </c>
      <c r="B76" s="30" t="s">
        <v>460</v>
      </c>
      <c r="C76" s="27">
        <v>50590</v>
      </c>
      <c r="D76" s="18"/>
      <c r="E76" s="19">
        <f t="shared" si="5"/>
        <v>50590</v>
      </c>
      <c r="F76" s="19">
        <f t="shared" si="6"/>
        <v>0</v>
      </c>
      <c r="G76" s="19">
        <f t="shared" si="4"/>
        <v>50590</v>
      </c>
      <c r="O76" s="23"/>
      <c r="V76" s="22"/>
      <c r="X76" s="22"/>
      <c r="Y76" s="22"/>
    </row>
    <row r="77" spans="1:34" ht="16.5" thickBot="1" x14ac:dyDescent="0.3">
      <c r="A77" s="30" t="s">
        <v>482</v>
      </c>
      <c r="B77" s="30" t="s">
        <v>461</v>
      </c>
      <c r="C77" s="27">
        <v>56901</v>
      </c>
      <c r="D77" s="58" t="s">
        <v>629</v>
      </c>
      <c r="E77" s="19">
        <v>0</v>
      </c>
      <c r="F77" s="19">
        <f t="shared" si="6"/>
        <v>0</v>
      </c>
      <c r="G77" s="19">
        <f t="shared" si="4"/>
        <v>0</v>
      </c>
      <c r="O77" s="23"/>
      <c r="V77" s="22"/>
      <c r="X77" s="22"/>
      <c r="Y77" s="22"/>
    </row>
    <row r="78" spans="1:34" ht="16.5" thickBot="1" x14ac:dyDescent="0.3">
      <c r="A78" s="30" t="s">
        <v>483</v>
      </c>
      <c r="B78" s="30" t="s">
        <v>462</v>
      </c>
      <c r="C78" s="27">
        <v>39969</v>
      </c>
      <c r="D78" s="18"/>
      <c r="E78" s="19">
        <f t="shared" si="5"/>
        <v>39969</v>
      </c>
      <c r="F78" s="19">
        <f t="shared" si="6"/>
        <v>39806.9</v>
      </c>
      <c r="G78" s="19">
        <f t="shared" si="4"/>
        <v>162.09999999999854</v>
      </c>
      <c r="O78" s="23"/>
      <c r="V78" s="22"/>
      <c r="X78" s="22"/>
      <c r="Y78" s="22"/>
      <c r="Z78" s="23">
        <v>39806.9</v>
      </c>
    </row>
    <row r="79" spans="1:34" ht="16.5" thickBot="1" x14ac:dyDescent="0.3">
      <c r="A79" s="30" t="s">
        <v>484</v>
      </c>
      <c r="B79" s="30" t="s">
        <v>463</v>
      </c>
      <c r="C79" s="27">
        <v>36336</v>
      </c>
      <c r="D79" s="18"/>
      <c r="E79" s="19">
        <f t="shared" si="5"/>
        <v>36336</v>
      </c>
      <c r="F79" s="19">
        <f t="shared" si="6"/>
        <v>36336</v>
      </c>
      <c r="G79" s="19">
        <f t="shared" si="4"/>
        <v>0</v>
      </c>
      <c r="O79" s="23"/>
      <c r="V79" s="22"/>
      <c r="X79" s="22">
        <v>9380</v>
      </c>
      <c r="Y79" s="22"/>
      <c r="AA79" s="23">
        <v>26956</v>
      </c>
    </row>
    <row r="80" spans="1:34" ht="16.5" thickBot="1" x14ac:dyDescent="0.3">
      <c r="A80" s="30" t="s">
        <v>485</v>
      </c>
      <c r="B80" s="30" t="s">
        <v>464</v>
      </c>
      <c r="C80" s="27">
        <f>100800+48170</f>
        <v>148970</v>
      </c>
      <c r="D80" s="18"/>
      <c r="E80" s="19">
        <f t="shared" si="5"/>
        <v>148970</v>
      </c>
      <c r="F80" s="19">
        <f t="shared" si="6"/>
        <v>90309.31</v>
      </c>
      <c r="G80" s="19">
        <f t="shared" si="4"/>
        <v>58660.69</v>
      </c>
      <c r="O80" s="23"/>
      <c r="V80" s="22"/>
      <c r="X80" s="22"/>
      <c r="Y80" s="22">
        <v>86001.91</v>
      </c>
      <c r="AB80" s="23">
        <v>4307.3999999999996</v>
      </c>
    </row>
    <row r="81" spans="1:28" ht="16.5" thickBot="1" x14ac:dyDescent="0.3">
      <c r="A81" s="18"/>
      <c r="B81" s="43" t="s">
        <v>605</v>
      </c>
      <c r="C81" s="37">
        <f>SUM(C60:C80)</f>
        <v>1766999</v>
      </c>
      <c r="D81" s="18"/>
      <c r="E81" s="39">
        <f>SUM(E60:E80)</f>
        <v>1710098</v>
      </c>
      <c r="F81" s="39">
        <f>SUM(F60:F80)</f>
        <v>1165365.1500000001</v>
      </c>
      <c r="G81" s="39">
        <f>SUM(G60:G80)</f>
        <v>544732.85</v>
      </c>
      <c r="H81" s="39">
        <f t="shared" ref="H81:AB81" si="7">SUM(H60:H80)</f>
        <v>0</v>
      </c>
      <c r="I81" s="39">
        <f t="shared" si="7"/>
        <v>0</v>
      </c>
      <c r="J81" s="39">
        <f t="shared" si="7"/>
        <v>0</v>
      </c>
      <c r="K81" s="39">
        <f t="shared" si="7"/>
        <v>0</v>
      </c>
      <c r="L81" s="39">
        <f t="shared" si="7"/>
        <v>0</v>
      </c>
      <c r="M81" s="39">
        <f t="shared" si="7"/>
        <v>0</v>
      </c>
      <c r="N81" s="39">
        <f t="shared" si="7"/>
        <v>149746.01</v>
      </c>
      <c r="O81" s="46">
        <f t="shared" si="7"/>
        <v>7115</v>
      </c>
      <c r="P81" s="39">
        <f t="shared" si="7"/>
        <v>7715</v>
      </c>
      <c r="Q81" s="39">
        <f t="shared" si="7"/>
        <v>3972</v>
      </c>
      <c r="R81" s="39">
        <f t="shared" si="7"/>
        <v>139468.18</v>
      </c>
      <c r="S81" s="39">
        <f t="shared" si="7"/>
        <v>23018.47</v>
      </c>
      <c r="T81" s="39">
        <f t="shared" si="7"/>
        <v>5628.25</v>
      </c>
      <c r="U81" s="39">
        <f t="shared" si="7"/>
        <v>104028</v>
      </c>
      <c r="V81" s="39">
        <f t="shared" si="7"/>
        <v>44305.63</v>
      </c>
      <c r="W81" s="39">
        <f t="shared" si="7"/>
        <v>319840</v>
      </c>
      <c r="X81" s="39">
        <f t="shared" si="7"/>
        <v>37297.97</v>
      </c>
      <c r="Y81" s="39">
        <f t="shared" si="7"/>
        <v>177028.1</v>
      </c>
      <c r="Z81" s="39">
        <f t="shared" si="7"/>
        <v>104190.16</v>
      </c>
      <c r="AA81" s="39">
        <f t="shared" si="7"/>
        <v>33357.339999999997</v>
      </c>
      <c r="AB81" s="39">
        <f t="shared" si="7"/>
        <v>8655.0400000000009</v>
      </c>
    </row>
    <row r="82" spans="1:28" s="42" customFormat="1" ht="16.5" thickBot="1" x14ac:dyDescent="0.3">
      <c r="A82" s="41"/>
      <c r="B82" s="41"/>
      <c r="C82" s="41"/>
      <c r="D82" s="41"/>
      <c r="E82" s="38"/>
      <c r="F82" s="38"/>
      <c r="G82" s="38"/>
      <c r="O82" s="47"/>
      <c r="X82" s="59"/>
      <c r="Y82" s="59"/>
    </row>
    <row r="83" spans="1:28" s="42" customFormat="1" ht="16.5" thickBot="1" x14ac:dyDescent="0.3">
      <c r="A83" s="41"/>
      <c r="B83" s="41"/>
      <c r="C83" s="41"/>
      <c r="D83" s="41"/>
      <c r="E83" s="38"/>
      <c r="F83" s="38"/>
      <c r="G83" s="38"/>
      <c r="O83" s="47"/>
      <c r="X83" s="59"/>
      <c r="Y83" s="59"/>
    </row>
    <row r="84" spans="1:28" ht="16.5" thickBot="1" x14ac:dyDescent="0.3">
      <c r="A84" s="30" t="s">
        <v>486</v>
      </c>
      <c r="B84" s="30" t="s">
        <v>536</v>
      </c>
      <c r="C84" s="27">
        <v>68969</v>
      </c>
      <c r="D84" s="18"/>
      <c r="E84" s="19">
        <f t="shared" si="5"/>
        <v>68969</v>
      </c>
      <c r="F84" s="19">
        <f t="shared" si="6"/>
        <v>0</v>
      </c>
      <c r="G84" s="19">
        <f>E84-(F84+AO84+AP84)</f>
        <v>68969</v>
      </c>
      <c r="H84" s="44"/>
      <c r="O84" s="23"/>
      <c r="U84" s="22"/>
      <c r="V84" s="22"/>
      <c r="W84" s="22"/>
      <c r="X84" s="22"/>
      <c r="Y84" s="22"/>
      <c r="AA84" s="22"/>
    </row>
    <row r="85" spans="1:28" ht="16.5" thickBot="1" x14ac:dyDescent="0.3">
      <c r="A85" s="30" t="s">
        <v>487</v>
      </c>
      <c r="B85" s="30" t="s">
        <v>537</v>
      </c>
      <c r="C85" s="27">
        <v>333436</v>
      </c>
      <c r="D85" s="18"/>
      <c r="E85" s="19">
        <f t="shared" si="5"/>
        <v>333436</v>
      </c>
      <c r="F85" s="19">
        <f t="shared" si="6"/>
        <v>149800.34</v>
      </c>
      <c r="G85" s="19">
        <f t="shared" ref="G85:G147" si="8">E85-(F85+AO85+AP85)</f>
        <v>183635.66</v>
      </c>
      <c r="H85" s="44"/>
      <c r="O85" s="23"/>
      <c r="S85" s="22"/>
      <c r="U85" s="23">
        <v>15292.48</v>
      </c>
      <c r="V85" s="23"/>
      <c r="W85" s="23"/>
      <c r="X85" s="23">
        <v>72800</v>
      </c>
      <c r="Y85" s="23">
        <f>28064.79+16905.95</f>
        <v>44970.740000000005</v>
      </c>
      <c r="Z85" s="23"/>
      <c r="AA85" s="22">
        <v>16737.12</v>
      </c>
      <c r="AB85" s="22"/>
    </row>
    <row r="86" spans="1:28" ht="16.5" thickBot="1" x14ac:dyDescent="0.3">
      <c r="A86" s="30" t="s">
        <v>488</v>
      </c>
      <c r="B86" s="30" t="s">
        <v>538</v>
      </c>
      <c r="C86" s="27">
        <v>59865</v>
      </c>
      <c r="D86" s="18"/>
      <c r="E86" s="19">
        <f t="shared" si="5"/>
        <v>59865</v>
      </c>
      <c r="F86" s="19">
        <f t="shared" si="6"/>
        <v>0</v>
      </c>
      <c r="G86" s="19">
        <f t="shared" si="8"/>
        <v>59865</v>
      </c>
      <c r="H86" s="44"/>
      <c r="O86" s="23"/>
      <c r="S86" s="22"/>
      <c r="U86" s="23"/>
      <c r="V86" s="23"/>
      <c r="W86" s="23"/>
      <c r="X86" s="23"/>
      <c r="Y86" s="23"/>
      <c r="Z86" s="23"/>
      <c r="AA86" s="22"/>
      <c r="AB86" s="22"/>
    </row>
    <row r="87" spans="1:28" ht="16.5" thickBot="1" x14ac:dyDescent="0.3">
      <c r="A87" s="30" t="s">
        <v>489</v>
      </c>
      <c r="B87" s="30" t="s">
        <v>539</v>
      </c>
      <c r="C87" s="27">
        <v>150747</v>
      </c>
      <c r="D87" s="18"/>
      <c r="E87" s="19">
        <f t="shared" si="5"/>
        <v>150747</v>
      </c>
      <c r="F87" s="19">
        <f t="shared" si="6"/>
        <v>0</v>
      </c>
      <c r="G87" s="19">
        <f t="shared" si="8"/>
        <v>150747</v>
      </c>
      <c r="H87" s="44"/>
      <c r="O87" s="23"/>
      <c r="S87" s="22"/>
      <c r="U87" s="23"/>
      <c r="V87" s="23"/>
      <c r="W87" s="23"/>
      <c r="X87" s="23"/>
      <c r="Y87" s="23"/>
      <c r="Z87" s="23"/>
      <c r="AA87" s="22"/>
      <c r="AB87" s="22"/>
    </row>
    <row r="88" spans="1:28" ht="16.5" thickBot="1" x14ac:dyDescent="0.3">
      <c r="A88" s="30" t="s">
        <v>490</v>
      </c>
      <c r="B88" s="30" t="s">
        <v>540</v>
      </c>
      <c r="C88" s="27">
        <v>84196</v>
      </c>
      <c r="D88" s="18"/>
      <c r="E88" s="19">
        <f t="shared" si="5"/>
        <v>84196</v>
      </c>
      <c r="F88" s="19">
        <f t="shared" si="6"/>
        <v>84196</v>
      </c>
      <c r="G88" s="19">
        <f t="shared" si="8"/>
        <v>0</v>
      </c>
      <c r="H88" s="44"/>
      <c r="O88" s="23"/>
      <c r="P88" s="55">
        <v>84196</v>
      </c>
      <c r="S88" s="22"/>
      <c r="U88" s="23"/>
      <c r="V88" s="23"/>
      <c r="W88" s="23"/>
      <c r="X88" s="23"/>
      <c r="Y88" s="23"/>
      <c r="Z88" s="23"/>
      <c r="AA88" s="22"/>
      <c r="AB88" s="22"/>
    </row>
    <row r="89" spans="1:28" ht="16.5" thickBot="1" x14ac:dyDescent="0.3">
      <c r="A89" s="30" t="s">
        <v>491</v>
      </c>
      <c r="B89" s="30" t="s">
        <v>541</v>
      </c>
      <c r="C89" s="27">
        <v>29757</v>
      </c>
      <c r="D89" s="18"/>
      <c r="E89" s="19">
        <f t="shared" si="5"/>
        <v>29757</v>
      </c>
      <c r="F89" s="19">
        <f t="shared" si="6"/>
        <v>29757</v>
      </c>
      <c r="G89" s="19">
        <f t="shared" si="8"/>
        <v>0</v>
      </c>
      <c r="H89" s="44"/>
      <c r="O89" s="23"/>
      <c r="S89" s="22"/>
      <c r="U89" s="23"/>
      <c r="V89" s="23"/>
      <c r="W89" s="23"/>
      <c r="X89" s="23"/>
      <c r="Y89" s="23"/>
      <c r="Z89" s="23"/>
      <c r="AA89" s="23">
        <v>29757</v>
      </c>
      <c r="AB89" s="22"/>
    </row>
    <row r="90" spans="1:28" ht="16.5" thickBot="1" x14ac:dyDescent="0.3">
      <c r="A90" s="30" t="s">
        <v>492</v>
      </c>
      <c r="B90" s="30" t="s">
        <v>542</v>
      </c>
      <c r="C90" s="27">
        <v>11548</v>
      </c>
      <c r="D90" s="18"/>
      <c r="E90" s="19">
        <f t="shared" si="5"/>
        <v>11548</v>
      </c>
      <c r="F90" s="19">
        <f t="shared" si="6"/>
        <v>4988.28</v>
      </c>
      <c r="G90" s="19">
        <f t="shared" si="8"/>
        <v>6559.72</v>
      </c>
      <c r="H90" s="44"/>
      <c r="O90" s="23"/>
      <c r="S90" s="22"/>
      <c r="U90" s="23"/>
      <c r="V90" s="23"/>
      <c r="W90" s="23"/>
      <c r="X90" s="23"/>
      <c r="Y90" s="23">
        <v>2413.6999999999998</v>
      </c>
      <c r="Z90" s="23"/>
      <c r="AA90" s="22"/>
      <c r="AB90" s="22">
        <v>2574.58</v>
      </c>
    </row>
    <row r="91" spans="1:28" ht="16.5" thickBot="1" x14ac:dyDescent="0.3">
      <c r="A91" s="30" t="s">
        <v>493</v>
      </c>
      <c r="B91" s="30" t="s">
        <v>543</v>
      </c>
      <c r="C91" s="27">
        <v>548200</v>
      </c>
      <c r="D91" s="18"/>
      <c r="E91" s="19">
        <f t="shared" si="5"/>
        <v>548200</v>
      </c>
      <c r="F91" s="19">
        <f t="shared" si="6"/>
        <v>0</v>
      </c>
      <c r="G91" s="19">
        <f t="shared" si="8"/>
        <v>548200</v>
      </c>
      <c r="H91" s="44"/>
      <c r="O91" s="23"/>
      <c r="S91" s="22"/>
      <c r="U91" s="23"/>
      <c r="V91" s="23"/>
      <c r="W91" s="23"/>
      <c r="X91" s="23"/>
      <c r="Y91" s="23"/>
      <c r="Z91" s="23"/>
      <c r="AA91" s="22"/>
      <c r="AB91" s="22"/>
    </row>
    <row r="92" spans="1:28" ht="16.5" thickBot="1" x14ac:dyDescent="0.3">
      <c r="A92" s="30" t="s">
        <v>494</v>
      </c>
      <c r="B92" s="30" t="s">
        <v>544</v>
      </c>
      <c r="C92" s="27">
        <v>129130</v>
      </c>
      <c r="D92" s="18"/>
      <c r="E92" s="19">
        <f t="shared" si="5"/>
        <v>129130</v>
      </c>
      <c r="F92" s="19">
        <f t="shared" si="6"/>
        <v>70845.899999999994</v>
      </c>
      <c r="G92" s="19">
        <f t="shared" si="8"/>
        <v>58284.100000000006</v>
      </c>
      <c r="H92" s="44"/>
      <c r="O92" s="23"/>
      <c r="S92" s="22"/>
      <c r="U92" s="23"/>
      <c r="V92" s="23"/>
      <c r="W92" s="23"/>
      <c r="X92" s="23">
        <v>43071.17</v>
      </c>
      <c r="Y92" s="23"/>
      <c r="Z92" s="23">
        <v>2450.6</v>
      </c>
      <c r="AA92" s="22"/>
      <c r="AB92" s="22">
        <f>23032.05+2292.08</f>
        <v>25324.129999999997</v>
      </c>
    </row>
    <row r="93" spans="1:28" ht="16.5" thickBot="1" x14ac:dyDescent="0.3">
      <c r="A93" s="30" t="s">
        <v>495</v>
      </c>
      <c r="B93" s="30" t="s">
        <v>545</v>
      </c>
      <c r="C93" s="27">
        <v>369547</v>
      </c>
      <c r="D93" s="18"/>
      <c r="E93" s="19">
        <f t="shared" si="5"/>
        <v>369547</v>
      </c>
      <c r="F93" s="19">
        <f t="shared" si="6"/>
        <v>0</v>
      </c>
      <c r="G93" s="19">
        <f t="shared" si="8"/>
        <v>369547</v>
      </c>
      <c r="H93" s="44"/>
      <c r="O93" s="23"/>
      <c r="S93" s="22"/>
      <c r="U93" s="23"/>
      <c r="V93" s="23"/>
      <c r="W93" s="23"/>
      <c r="X93" s="23"/>
      <c r="Y93" s="23"/>
      <c r="Z93" s="23"/>
      <c r="AA93" s="22"/>
      <c r="AB93" s="22"/>
    </row>
    <row r="94" spans="1:28" ht="16.5" thickBot="1" x14ac:dyDescent="0.3">
      <c r="A94" s="30" t="s">
        <v>496</v>
      </c>
      <c r="B94" s="30" t="s">
        <v>546</v>
      </c>
      <c r="C94" s="27">
        <v>306281</v>
      </c>
      <c r="D94" s="18"/>
      <c r="E94" s="19">
        <f t="shared" si="5"/>
        <v>306281</v>
      </c>
      <c r="F94" s="19">
        <f t="shared" si="6"/>
        <v>123030.96</v>
      </c>
      <c r="G94" s="19">
        <f t="shared" si="8"/>
        <v>183250.03999999998</v>
      </c>
      <c r="H94" s="44"/>
      <c r="O94" s="23"/>
      <c r="S94" s="22"/>
      <c r="T94" s="22">
        <v>10369.879999999999</v>
      </c>
      <c r="U94" s="23"/>
      <c r="V94" s="23">
        <v>112661.08</v>
      </c>
      <c r="W94" s="23"/>
      <c r="X94" s="23"/>
      <c r="Y94" s="23"/>
      <c r="Z94" s="23"/>
      <c r="AA94" s="22"/>
      <c r="AB94" s="22"/>
    </row>
    <row r="95" spans="1:28" ht="16.5" thickBot="1" x14ac:dyDescent="0.3">
      <c r="A95" s="30" t="s">
        <v>497</v>
      </c>
      <c r="B95" s="30" t="s">
        <v>547</v>
      </c>
      <c r="C95" s="27">
        <v>277768</v>
      </c>
      <c r="D95" s="18"/>
      <c r="E95" s="19">
        <f t="shared" si="5"/>
        <v>277768</v>
      </c>
      <c r="F95" s="19">
        <f t="shared" si="6"/>
        <v>147428.76</v>
      </c>
      <c r="G95" s="19">
        <f t="shared" si="8"/>
        <v>130339.23999999999</v>
      </c>
      <c r="H95" s="44"/>
      <c r="O95" s="23"/>
      <c r="S95" s="22">
        <v>28355.13</v>
      </c>
      <c r="T95" s="22">
        <v>18487.62</v>
      </c>
      <c r="U95" s="23">
        <f>18805.18+10534.59</f>
        <v>29339.77</v>
      </c>
      <c r="V95" s="23">
        <v>16362.47</v>
      </c>
      <c r="W95" s="23">
        <v>20760.77</v>
      </c>
      <c r="X95" s="23"/>
      <c r="Y95" s="23">
        <f>18613+15510</f>
        <v>34123</v>
      </c>
      <c r="Z95" s="23"/>
      <c r="AA95" s="22"/>
      <c r="AB95" s="22"/>
    </row>
    <row r="96" spans="1:28" ht="16.5" thickBot="1" x14ac:dyDescent="0.3">
      <c r="A96" s="30" t="s">
        <v>498</v>
      </c>
      <c r="B96" s="30" t="s">
        <v>548</v>
      </c>
      <c r="C96" s="27">
        <v>51046</v>
      </c>
      <c r="D96" s="18"/>
      <c r="E96" s="19">
        <f t="shared" si="5"/>
        <v>51046</v>
      </c>
      <c r="F96" s="19">
        <f t="shared" si="6"/>
        <v>38549.31</v>
      </c>
      <c r="G96" s="19">
        <f t="shared" si="8"/>
        <v>12496.690000000002</v>
      </c>
      <c r="H96" s="44"/>
      <c r="O96" s="23"/>
      <c r="S96" s="22"/>
      <c r="U96" s="23"/>
      <c r="V96" s="23"/>
      <c r="W96" s="23">
        <v>3517.31</v>
      </c>
      <c r="X96" s="23"/>
      <c r="Y96" s="23">
        <v>2651</v>
      </c>
      <c r="Z96" s="23"/>
      <c r="AA96" s="22"/>
      <c r="AB96" s="23">
        <v>32381</v>
      </c>
    </row>
    <row r="97" spans="1:28" ht="16.5" thickBot="1" x14ac:dyDescent="0.3">
      <c r="A97" s="30" t="s">
        <v>499</v>
      </c>
      <c r="B97" s="30" t="s">
        <v>549</v>
      </c>
      <c r="C97" s="27">
        <v>749790</v>
      </c>
      <c r="D97" s="18"/>
      <c r="E97" s="19">
        <f t="shared" si="5"/>
        <v>749790</v>
      </c>
      <c r="F97" s="19">
        <f t="shared" si="6"/>
        <v>0</v>
      </c>
      <c r="G97" s="19">
        <f t="shared" si="8"/>
        <v>749790</v>
      </c>
      <c r="H97" s="44"/>
      <c r="O97" s="23"/>
      <c r="S97" s="22"/>
      <c r="U97" s="23"/>
      <c r="V97" s="23"/>
      <c r="W97" s="23"/>
      <c r="X97" s="23"/>
      <c r="Y97" s="23"/>
      <c r="Z97" s="23"/>
      <c r="AA97" s="22"/>
      <c r="AB97" s="22"/>
    </row>
    <row r="98" spans="1:28" ht="16.5" thickBot="1" x14ac:dyDescent="0.3">
      <c r="A98" s="30" t="s">
        <v>500</v>
      </c>
      <c r="B98" s="30" t="s">
        <v>550</v>
      </c>
      <c r="C98" s="27">
        <v>557648</v>
      </c>
      <c r="D98" s="18"/>
      <c r="E98" s="19">
        <f t="shared" si="5"/>
        <v>557648</v>
      </c>
      <c r="F98" s="19">
        <f t="shared" si="6"/>
        <v>343011.56</v>
      </c>
      <c r="G98" s="19">
        <f t="shared" si="8"/>
        <v>214636.44</v>
      </c>
      <c r="H98" s="44"/>
      <c r="O98" s="23"/>
      <c r="S98" s="22"/>
      <c r="U98" s="23"/>
      <c r="V98" s="23">
        <f>36112.07+31648.96</f>
        <v>67761.03</v>
      </c>
      <c r="W98" s="23">
        <v>40180.199999999997</v>
      </c>
      <c r="X98" s="23"/>
      <c r="Y98" s="23">
        <v>63884.9</v>
      </c>
      <c r="Z98" s="23">
        <v>36861.410000000003</v>
      </c>
      <c r="AA98" s="22">
        <v>112348.66</v>
      </c>
      <c r="AB98" s="22">
        <v>21975.360000000001</v>
      </c>
    </row>
    <row r="99" spans="1:28" ht="16.5" thickBot="1" x14ac:dyDescent="0.3">
      <c r="A99" s="30" t="s">
        <v>501</v>
      </c>
      <c r="B99" s="30" t="s">
        <v>551</v>
      </c>
      <c r="C99" s="27">
        <v>56180</v>
      </c>
      <c r="D99" s="18"/>
      <c r="E99" s="19">
        <f t="shared" si="5"/>
        <v>56180</v>
      </c>
      <c r="F99" s="19">
        <f t="shared" si="6"/>
        <v>31649.74</v>
      </c>
      <c r="G99" s="19">
        <f t="shared" si="8"/>
        <v>24530.26</v>
      </c>
      <c r="H99" s="44"/>
      <c r="O99" s="23"/>
      <c r="S99" s="22"/>
      <c r="U99" s="23"/>
      <c r="V99" s="23"/>
      <c r="W99" s="23">
        <v>31649.74</v>
      </c>
      <c r="X99" s="23"/>
      <c r="Y99" s="23"/>
      <c r="Z99" s="23"/>
      <c r="AA99" s="22"/>
      <c r="AB99" s="22"/>
    </row>
    <row r="100" spans="1:28" ht="16.5" thickBot="1" x14ac:dyDescent="0.3">
      <c r="A100" s="30" t="s">
        <v>502</v>
      </c>
      <c r="B100" s="30" t="s">
        <v>552</v>
      </c>
      <c r="C100" s="27">
        <v>19995</v>
      </c>
      <c r="D100" s="18"/>
      <c r="E100" s="19">
        <f t="shared" si="5"/>
        <v>19995</v>
      </c>
      <c r="F100" s="19">
        <f t="shared" si="6"/>
        <v>19995</v>
      </c>
      <c r="G100" s="19">
        <f t="shared" si="8"/>
        <v>0</v>
      </c>
      <c r="H100" s="44"/>
      <c r="O100" s="23"/>
      <c r="S100" s="22"/>
      <c r="U100" s="23"/>
      <c r="V100" s="23">
        <v>10842</v>
      </c>
      <c r="W100" s="23"/>
      <c r="X100" s="23">
        <v>9153</v>
      </c>
      <c r="Y100" s="23"/>
      <c r="Z100" s="23"/>
      <c r="AA100" s="22"/>
      <c r="AB100" s="22"/>
    </row>
    <row r="101" spans="1:28" ht="16.5" thickBot="1" x14ac:dyDescent="0.3">
      <c r="A101" s="30" t="s">
        <v>503</v>
      </c>
      <c r="B101" s="30" t="s">
        <v>553</v>
      </c>
      <c r="C101" s="27">
        <v>112665</v>
      </c>
      <c r="D101" s="18"/>
      <c r="E101" s="19">
        <f t="shared" si="5"/>
        <v>112665</v>
      </c>
      <c r="F101" s="19">
        <f t="shared" si="6"/>
        <v>0</v>
      </c>
      <c r="G101" s="19">
        <f t="shared" si="8"/>
        <v>112665</v>
      </c>
      <c r="H101" s="44"/>
      <c r="O101" s="23"/>
      <c r="S101" s="22"/>
      <c r="U101" s="23"/>
      <c r="V101" s="23"/>
      <c r="W101" s="23"/>
      <c r="X101" s="23"/>
      <c r="Y101" s="23"/>
      <c r="Z101" s="23"/>
      <c r="AA101" s="22"/>
      <c r="AB101" s="22"/>
    </row>
    <row r="102" spans="1:28" ht="16.5" thickBot="1" x14ac:dyDescent="0.3">
      <c r="A102" s="30" t="s">
        <v>504</v>
      </c>
      <c r="B102" s="30" t="s">
        <v>554</v>
      </c>
      <c r="C102" s="27">
        <v>86389</v>
      </c>
      <c r="D102" s="18"/>
      <c r="E102" s="19">
        <f t="shared" si="5"/>
        <v>86389</v>
      </c>
      <c r="F102" s="19">
        <f t="shared" si="6"/>
        <v>76908.66</v>
      </c>
      <c r="G102" s="19">
        <f t="shared" si="8"/>
        <v>9480.3399999999965</v>
      </c>
      <c r="H102" s="44"/>
      <c r="O102" s="23"/>
      <c r="S102" s="22"/>
      <c r="U102" s="23"/>
      <c r="V102" s="23"/>
      <c r="W102" s="23"/>
      <c r="X102" s="23"/>
      <c r="Y102" s="23"/>
      <c r="Z102" s="23"/>
      <c r="AA102" s="22"/>
      <c r="AB102" s="22">
        <f>1895.46+75013.2</f>
        <v>76908.66</v>
      </c>
    </row>
    <row r="103" spans="1:28" ht="16.5" thickBot="1" x14ac:dyDescent="0.3">
      <c r="A103" s="30" t="s">
        <v>505</v>
      </c>
      <c r="B103" s="30" t="s">
        <v>555</v>
      </c>
      <c r="C103" s="27">
        <v>116219</v>
      </c>
      <c r="D103" s="18"/>
      <c r="E103" s="19">
        <f t="shared" si="5"/>
        <v>116219</v>
      </c>
      <c r="F103" s="19">
        <f t="shared" si="6"/>
        <v>62808</v>
      </c>
      <c r="G103" s="19">
        <f t="shared" si="8"/>
        <v>53411</v>
      </c>
      <c r="H103" s="44"/>
      <c r="O103" s="23"/>
      <c r="Q103" s="23">
        <v>7803</v>
      </c>
      <c r="R103" s="23">
        <v>4215</v>
      </c>
      <c r="S103" s="23">
        <v>4216</v>
      </c>
      <c r="T103" s="23">
        <v>1366</v>
      </c>
      <c r="U103" s="23"/>
      <c r="V103" s="23"/>
      <c r="W103" s="23">
        <f>2841+7880+4740+4741</f>
        <v>20202</v>
      </c>
      <c r="X103" s="23">
        <v>4740</v>
      </c>
      <c r="Y103" s="23"/>
      <c r="Z103" s="23">
        <v>4739</v>
      </c>
      <c r="AA103" s="23">
        <v>4844</v>
      </c>
      <c r="AB103" s="23">
        <f>4843+5840</f>
        <v>10683</v>
      </c>
    </row>
    <row r="104" spans="1:28" ht="16.5" thickBot="1" x14ac:dyDescent="0.3">
      <c r="A104" s="30" t="s">
        <v>506</v>
      </c>
      <c r="B104" s="30" t="s">
        <v>556</v>
      </c>
      <c r="C104" s="27">
        <v>197785</v>
      </c>
      <c r="D104" s="18"/>
      <c r="E104" s="19">
        <f t="shared" si="5"/>
        <v>197785</v>
      </c>
      <c r="F104" s="19">
        <f t="shared" si="6"/>
        <v>0</v>
      </c>
      <c r="G104" s="19">
        <f t="shared" si="8"/>
        <v>197785</v>
      </c>
      <c r="H104" s="44"/>
      <c r="O104" s="23"/>
      <c r="S104" s="22"/>
      <c r="U104" s="23"/>
      <c r="V104" s="23"/>
      <c r="W104" s="23"/>
      <c r="X104" s="23"/>
      <c r="Y104" s="23"/>
      <c r="Z104" s="23"/>
      <c r="AA104" s="22"/>
      <c r="AB104" s="22"/>
    </row>
    <row r="105" spans="1:28" ht="16.5" thickBot="1" x14ac:dyDescent="0.3">
      <c r="A105" s="30" t="s">
        <v>507</v>
      </c>
      <c r="B105" s="30" t="s">
        <v>557</v>
      </c>
      <c r="C105" s="27">
        <v>34682</v>
      </c>
      <c r="D105" s="18"/>
      <c r="E105" s="19">
        <f t="shared" si="5"/>
        <v>34682</v>
      </c>
      <c r="F105" s="19">
        <f t="shared" si="6"/>
        <v>0</v>
      </c>
      <c r="G105" s="19">
        <f t="shared" si="8"/>
        <v>34682</v>
      </c>
      <c r="H105" s="44"/>
      <c r="O105" s="23"/>
      <c r="S105" s="22"/>
      <c r="U105" s="23"/>
      <c r="V105" s="23"/>
      <c r="W105" s="23"/>
      <c r="X105" s="23"/>
      <c r="Y105" s="23"/>
      <c r="Z105" s="23"/>
      <c r="AA105" s="22"/>
      <c r="AB105" s="22"/>
    </row>
    <row r="106" spans="1:28" ht="16.5" thickBot="1" x14ac:dyDescent="0.3">
      <c r="A106" s="30" t="s">
        <v>508</v>
      </c>
      <c r="B106" s="30" t="s">
        <v>558</v>
      </c>
      <c r="C106" s="27">
        <v>170265</v>
      </c>
      <c r="D106" s="18"/>
      <c r="E106" s="19">
        <f t="shared" si="5"/>
        <v>170265</v>
      </c>
      <c r="F106" s="19">
        <f t="shared" si="6"/>
        <v>89972.29</v>
      </c>
      <c r="G106" s="19">
        <f t="shared" si="8"/>
        <v>80292.710000000006</v>
      </c>
      <c r="H106" s="44"/>
      <c r="O106" s="23"/>
      <c r="S106" s="22"/>
      <c r="U106" s="23"/>
      <c r="V106" s="23">
        <v>53668.13</v>
      </c>
      <c r="W106" s="23"/>
      <c r="X106" s="23">
        <v>1735</v>
      </c>
      <c r="Y106" s="23">
        <v>27317.24</v>
      </c>
      <c r="Z106" s="23">
        <v>5201.0600000000004</v>
      </c>
      <c r="AA106" s="23">
        <v>2050.86</v>
      </c>
      <c r="AB106" s="22"/>
    </row>
    <row r="107" spans="1:28" ht="16.5" thickBot="1" x14ac:dyDescent="0.3">
      <c r="A107" s="30" t="s">
        <v>509</v>
      </c>
      <c r="B107" s="30" t="s">
        <v>559</v>
      </c>
      <c r="C107" s="27">
        <v>48772</v>
      </c>
      <c r="D107" s="18"/>
      <c r="E107" s="19">
        <f t="shared" si="5"/>
        <v>48772</v>
      </c>
      <c r="F107" s="19">
        <f t="shared" si="6"/>
        <v>0</v>
      </c>
      <c r="G107" s="19">
        <f t="shared" si="8"/>
        <v>48772</v>
      </c>
      <c r="H107" s="44"/>
      <c r="O107" s="23"/>
      <c r="S107" s="22"/>
      <c r="U107" s="23"/>
      <c r="V107" s="23"/>
      <c r="W107" s="23"/>
      <c r="X107" s="23"/>
      <c r="Y107" s="23"/>
      <c r="Z107" s="23"/>
      <c r="AA107" s="22"/>
      <c r="AB107" s="22"/>
    </row>
    <row r="108" spans="1:28" ht="16.5" thickBot="1" x14ac:dyDescent="0.3">
      <c r="A108" s="30" t="s">
        <v>510</v>
      </c>
      <c r="B108" s="30" t="s">
        <v>560</v>
      </c>
      <c r="C108" s="27">
        <v>169552</v>
      </c>
      <c r="D108" s="18"/>
      <c r="E108" s="19">
        <f t="shared" si="5"/>
        <v>169552</v>
      </c>
      <c r="F108" s="19">
        <f t="shared" si="6"/>
        <v>51439</v>
      </c>
      <c r="G108" s="19">
        <f t="shared" si="8"/>
        <v>118113</v>
      </c>
      <c r="H108" s="44"/>
      <c r="O108" s="23"/>
      <c r="S108" s="22">
        <v>2790</v>
      </c>
      <c r="U108" s="23"/>
      <c r="V108" s="23">
        <v>1040</v>
      </c>
      <c r="W108" s="23">
        <v>18432</v>
      </c>
      <c r="X108" s="23"/>
      <c r="Y108" s="23">
        <v>21374</v>
      </c>
      <c r="Z108" s="23">
        <v>7803</v>
      </c>
      <c r="AA108" s="22"/>
      <c r="AB108" s="22"/>
    </row>
    <row r="109" spans="1:28" ht="16.5" thickBot="1" x14ac:dyDescent="0.3">
      <c r="A109" s="30" t="s">
        <v>511</v>
      </c>
      <c r="B109" s="30" t="s">
        <v>561</v>
      </c>
      <c r="C109" s="27">
        <v>39542</v>
      </c>
      <c r="D109" s="18"/>
      <c r="E109" s="19">
        <f t="shared" si="5"/>
        <v>39542</v>
      </c>
      <c r="F109" s="19">
        <f t="shared" si="6"/>
        <v>28232.85</v>
      </c>
      <c r="G109" s="19">
        <f t="shared" si="8"/>
        <v>11309.150000000001</v>
      </c>
      <c r="H109" s="44"/>
      <c r="O109" s="23"/>
      <c r="S109" s="22"/>
      <c r="U109" s="23"/>
      <c r="V109" s="23"/>
      <c r="W109" s="23"/>
      <c r="X109" s="23"/>
      <c r="Y109" s="23"/>
      <c r="Z109" s="23"/>
      <c r="AA109" s="22"/>
      <c r="AB109" s="22">
        <f>23476.18+4756.67</f>
        <v>28232.85</v>
      </c>
    </row>
    <row r="110" spans="1:28" ht="16.5" thickBot="1" x14ac:dyDescent="0.3">
      <c r="A110" s="30" t="s">
        <v>512</v>
      </c>
      <c r="B110" s="30" t="s">
        <v>562</v>
      </c>
      <c r="C110" s="27">
        <v>41851</v>
      </c>
      <c r="D110" s="18"/>
      <c r="E110" s="19">
        <f t="shared" si="5"/>
        <v>41851</v>
      </c>
      <c r="F110" s="19">
        <f t="shared" si="6"/>
        <v>0</v>
      </c>
      <c r="G110" s="19">
        <f t="shared" si="8"/>
        <v>41851</v>
      </c>
      <c r="H110" s="44"/>
      <c r="O110" s="23"/>
      <c r="S110" s="22"/>
      <c r="U110" s="23"/>
      <c r="V110" s="23"/>
      <c r="W110" s="23"/>
      <c r="X110" s="23"/>
      <c r="Y110" s="23"/>
      <c r="Z110" s="23"/>
      <c r="AA110" s="22"/>
      <c r="AB110" s="22"/>
    </row>
    <row r="111" spans="1:28" ht="16.5" thickBot="1" x14ac:dyDescent="0.3">
      <c r="A111" s="30" t="s">
        <v>513</v>
      </c>
      <c r="B111" s="30" t="s">
        <v>563</v>
      </c>
      <c r="C111" s="27">
        <v>13786</v>
      </c>
      <c r="D111" s="18"/>
      <c r="E111" s="19">
        <f t="shared" si="5"/>
        <v>13786</v>
      </c>
      <c r="F111" s="19">
        <f t="shared" si="6"/>
        <v>13786</v>
      </c>
      <c r="G111" s="19">
        <f t="shared" si="8"/>
        <v>0</v>
      </c>
      <c r="H111" s="44"/>
      <c r="O111" s="23"/>
      <c r="S111" s="22"/>
      <c r="U111" s="23"/>
      <c r="V111" s="23"/>
      <c r="W111" s="23"/>
      <c r="X111" s="23">
        <v>2975</v>
      </c>
      <c r="Y111" s="23"/>
      <c r="Z111" s="23"/>
      <c r="AA111" s="23">
        <v>10811</v>
      </c>
      <c r="AB111" s="22"/>
    </row>
    <row r="112" spans="1:28" ht="16.5" thickBot="1" x14ac:dyDescent="0.3">
      <c r="A112" s="30" t="s">
        <v>514</v>
      </c>
      <c r="B112" s="30" t="s">
        <v>564</v>
      </c>
      <c r="C112" s="27">
        <v>683792</v>
      </c>
      <c r="D112" s="18"/>
      <c r="E112" s="19">
        <f t="shared" si="5"/>
        <v>683792</v>
      </c>
      <c r="F112" s="19">
        <f t="shared" si="6"/>
        <v>0</v>
      </c>
      <c r="G112" s="19">
        <f t="shared" si="8"/>
        <v>683792</v>
      </c>
      <c r="H112" s="44"/>
      <c r="O112" s="23"/>
      <c r="S112" s="22"/>
      <c r="U112" s="23"/>
      <c r="V112" s="23"/>
      <c r="W112" s="23"/>
      <c r="X112" s="23"/>
      <c r="Y112" s="23"/>
      <c r="Z112" s="23"/>
      <c r="AA112" s="22"/>
      <c r="AB112" s="22"/>
    </row>
    <row r="113" spans="1:28" ht="16.5" thickBot="1" x14ac:dyDescent="0.3">
      <c r="A113" s="30" t="s">
        <v>515</v>
      </c>
      <c r="B113" s="30" t="s">
        <v>565</v>
      </c>
      <c r="C113" s="27">
        <v>43329</v>
      </c>
      <c r="D113" s="18"/>
      <c r="E113" s="19">
        <f t="shared" si="5"/>
        <v>43329</v>
      </c>
      <c r="F113" s="19">
        <f t="shared" si="6"/>
        <v>0</v>
      </c>
      <c r="G113" s="19">
        <f t="shared" si="8"/>
        <v>43329</v>
      </c>
      <c r="H113" s="44"/>
      <c r="O113" s="23"/>
      <c r="S113" s="22"/>
      <c r="U113" s="23"/>
      <c r="V113" s="23"/>
      <c r="W113" s="23"/>
      <c r="X113" s="23"/>
      <c r="Y113" s="23"/>
      <c r="Z113" s="23"/>
      <c r="AA113" s="22"/>
      <c r="AB113" s="22"/>
    </row>
    <row r="114" spans="1:28" ht="16.5" thickBot="1" x14ac:dyDescent="0.3">
      <c r="A114" s="30" t="s">
        <v>516</v>
      </c>
      <c r="B114" s="30" t="s">
        <v>566</v>
      </c>
      <c r="C114" s="27">
        <v>206982</v>
      </c>
      <c r="D114" s="18"/>
      <c r="E114" s="19">
        <f t="shared" si="5"/>
        <v>206982</v>
      </c>
      <c r="F114" s="19">
        <f t="shared" si="6"/>
        <v>206982</v>
      </c>
      <c r="G114" s="19">
        <f t="shared" si="8"/>
        <v>0</v>
      </c>
      <c r="H114" s="44"/>
      <c r="O114" s="23">
        <v>206982</v>
      </c>
      <c r="S114" s="22"/>
      <c r="U114" s="23"/>
      <c r="V114" s="23"/>
      <c r="W114" s="23"/>
      <c r="X114" s="23"/>
      <c r="Y114" s="23"/>
      <c r="Z114" s="23"/>
      <c r="AA114" s="22"/>
      <c r="AB114" s="22"/>
    </row>
    <row r="115" spans="1:28" ht="16.5" thickBot="1" x14ac:dyDescent="0.3">
      <c r="A115" s="30" t="s">
        <v>517</v>
      </c>
      <c r="B115" s="30" t="s">
        <v>567</v>
      </c>
      <c r="C115" s="27">
        <v>138769</v>
      </c>
      <c r="D115" s="18"/>
      <c r="E115" s="19">
        <f t="shared" si="5"/>
        <v>138769</v>
      </c>
      <c r="F115" s="19">
        <f t="shared" si="6"/>
        <v>0</v>
      </c>
      <c r="G115" s="19">
        <f t="shared" si="8"/>
        <v>138769</v>
      </c>
      <c r="H115" s="44"/>
      <c r="O115" s="23"/>
      <c r="S115" s="22"/>
      <c r="U115" s="23"/>
      <c r="V115" s="23"/>
      <c r="W115" s="23"/>
      <c r="X115" s="23"/>
      <c r="Y115" s="23"/>
      <c r="Z115" s="23"/>
      <c r="AA115" s="22"/>
      <c r="AB115" s="22"/>
    </row>
    <row r="116" spans="1:28" ht="16.5" thickBot="1" x14ac:dyDescent="0.3">
      <c r="A116" s="30" t="s">
        <v>518</v>
      </c>
      <c r="B116" s="30" t="s">
        <v>568</v>
      </c>
      <c r="C116" s="27">
        <v>7150</v>
      </c>
      <c r="D116" s="18" t="s">
        <v>630</v>
      </c>
      <c r="E116" s="19">
        <v>0</v>
      </c>
      <c r="F116" s="19">
        <f t="shared" si="6"/>
        <v>0</v>
      </c>
      <c r="G116" s="19">
        <f t="shared" si="8"/>
        <v>0</v>
      </c>
      <c r="H116" s="44"/>
      <c r="O116" s="23"/>
      <c r="S116" s="22"/>
      <c r="U116" s="23"/>
      <c r="V116" s="23"/>
      <c r="W116" s="23"/>
      <c r="X116" s="23"/>
      <c r="Y116" s="23"/>
      <c r="Z116" s="23"/>
      <c r="AA116" s="22"/>
      <c r="AB116" s="22"/>
    </row>
    <row r="117" spans="1:28" ht="16.5" thickBot="1" x14ac:dyDescent="0.3">
      <c r="A117" s="30" t="s">
        <v>519</v>
      </c>
      <c r="B117" s="30" t="s">
        <v>569</v>
      </c>
      <c r="C117" s="27">
        <v>27634</v>
      </c>
      <c r="D117" s="18"/>
      <c r="E117" s="19">
        <f t="shared" si="5"/>
        <v>27634</v>
      </c>
      <c r="F117" s="19">
        <f t="shared" si="6"/>
        <v>0</v>
      </c>
      <c r="G117" s="19">
        <f t="shared" si="8"/>
        <v>27634</v>
      </c>
      <c r="H117" s="44"/>
      <c r="O117" s="23"/>
      <c r="S117" s="22"/>
      <c r="U117" s="23"/>
      <c r="V117" s="23"/>
      <c r="W117" s="23"/>
      <c r="X117" s="23"/>
      <c r="Y117" s="23"/>
      <c r="Z117" s="23"/>
      <c r="AA117" s="22"/>
      <c r="AB117" s="22"/>
    </row>
    <row r="118" spans="1:28" ht="16.5" thickBot="1" x14ac:dyDescent="0.3">
      <c r="A118" s="30" t="s">
        <v>520</v>
      </c>
      <c r="B118" s="30" t="s">
        <v>570</v>
      </c>
      <c r="C118" s="27">
        <v>227374</v>
      </c>
      <c r="D118" s="18"/>
      <c r="E118" s="19">
        <f t="shared" si="5"/>
        <v>227374</v>
      </c>
      <c r="F118" s="19">
        <f t="shared" si="6"/>
        <v>210634.62</v>
      </c>
      <c r="G118" s="19">
        <f t="shared" si="8"/>
        <v>16739.380000000005</v>
      </c>
      <c r="H118" s="44"/>
      <c r="O118" s="23"/>
      <c r="S118" s="22">
        <v>75498.509999999995</v>
      </c>
      <c r="U118" s="23"/>
      <c r="V118" s="23">
        <v>19536.88</v>
      </c>
      <c r="W118" s="23">
        <v>18451.89</v>
      </c>
      <c r="X118" s="23">
        <v>7628.99</v>
      </c>
      <c r="Y118" s="23">
        <v>52554.78</v>
      </c>
      <c r="Z118" s="23"/>
      <c r="AA118" s="22"/>
      <c r="AB118" s="22">
        <v>36963.57</v>
      </c>
    </row>
    <row r="119" spans="1:28" ht="16.5" thickBot="1" x14ac:dyDescent="0.3">
      <c r="A119" s="30" t="s">
        <v>521</v>
      </c>
      <c r="B119" s="30" t="s">
        <v>571</v>
      </c>
      <c r="C119" s="27">
        <v>20871</v>
      </c>
      <c r="D119" s="18"/>
      <c r="E119" s="19">
        <f t="shared" si="5"/>
        <v>20871</v>
      </c>
      <c r="F119" s="19">
        <f t="shared" si="6"/>
        <v>20871</v>
      </c>
      <c r="G119" s="19">
        <f t="shared" si="8"/>
        <v>0</v>
      </c>
      <c r="H119" s="44"/>
      <c r="O119" s="23"/>
      <c r="S119" s="22"/>
      <c r="U119" s="23"/>
      <c r="V119" s="23">
        <v>20871</v>
      </c>
      <c r="W119" s="23"/>
      <c r="X119" s="23"/>
      <c r="Y119" s="23"/>
      <c r="Z119" s="23"/>
      <c r="AA119" s="22"/>
      <c r="AB119" s="22"/>
    </row>
    <row r="120" spans="1:28" ht="16.5" thickBot="1" x14ac:dyDescent="0.3">
      <c r="A120" s="30" t="s">
        <v>522</v>
      </c>
      <c r="B120" s="30" t="s">
        <v>572</v>
      </c>
      <c r="C120" s="27">
        <v>60639</v>
      </c>
      <c r="D120" s="18"/>
      <c r="E120" s="19">
        <f t="shared" si="5"/>
        <v>60639</v>
      </c>
      <c r="F120" s="19">
        <f t="shared" si="6"/>
        <v>13587.28</v>
      </c>
      <c r="G120" s="19">
        <f t="shared" si="8"/>
        <v>47051.72</v>
      </c>
      <c r="H120" s="44"/>
      <c r="O120" s="23"/>
      <c r="S120" s="22"/>
      <c r="U120" s="23"/>
      <c r="V120" s="23"/>
      <c r="W120" s="23"/>
      <c r="X120" s="23"/>
      <c r="Y120" s="23"/>
      <c r="Z120" s="23"/>
      <c r="AA120" s="22"/>
      <c r="AB120" s="22">
        <v>13587.28</v>
      </c>
    </row>
    <row r="121" spans="1:28" ht="16.5" thickBot="1" x14ac:dyDescent="0.3">
      <c r="A121" s="30" t="s">
        <v>523</v>
      </c>
      <c r="B121" s="30" t="s">
        <v>573</v>
      </c>
      <c r="C121" s="27">
        <v>27685</v>
      </c>
      <c r="D121" s="18"/>
      <c r="E121" s="19">
        <f t="shared" si="5"/>
        <v>27685</v>
      </c>
      <c r="F121" s="19">
        <f t="shared" si="6"/>
        <v>0</v>
      </c>
      <c r="G121" s="19">
        <f t="shared" si="8"/>
        <v>27685</v>
      </c>
      <c r="H121" s="44"/>
      <c r="O121" s="23"/>
      <c r="S121" s="22"/>
      <c r="U121" s="23"/>
      <c r="V121" s="23"/>
      <c r="W121" s="23"/>
      <c r="X121" s="23"/>
      <c r="Y121" s="23"/>
      <c r="Z121" s="23"/>
      <c r="AA121" s="22"/>
      <c r="AB121" s="22"/>
    </row>
    <row r="122" spans="1:28" ht="16.5" thickBot="1" x14ac:dyDescent="0.3">
      <c r="A122" s="30" t="s">
        <v>524</v>
      </c>
      <c r="B122" s="30" t="s">
        <v>574</v>
      </c>
      <c r="C122" s="27">
        <v>11726</v>
      </c>
      <c r="D122" s="18"/>
      <c r="E122" s="19">
        <f t="shared" si="5"/>
        <v>11726</v>
      </c>
      <c r="F122" s="19">
        <f t="shared" si="6"/>
        <v>0</v>
      </c>
      <c r="G122" s="19">
        <f t="shared" si="8"/>
        <v>11726</v>
      </c>
      <c r="H122" s="44"/>
      <c r="O122" s="23"/>
      <c r="S122" s="22"/>
      <c r="U122" s="23"/>
      <c r="V122" s="23"/>
      <c r="W122" s="23"/>
      <c r="X122" s="23"/>
      <c r="Y122" s="23"/>
      <c r="Z122" s="23"/>
      <c r="AA122" s="22"/>
      <c r="AB122" s="22"/>
    </row>
    <row r="123" spans="1:28" ht="16.5" thickBot="1" x14ac:dyDescent="0.3">
      <c r="A123" s="30" t="s">
        <v>525</v>
      </c>
      <c r="B123" s="30" t="s">
        <v>575</v>
      </c>
      <c r="C123" s="27">
        <v>166687</v>
      </c>
      <c r="D123" s="18"/>
      <c r="E123" s="19">
        <f t="shared" si="5"/>
        <v>166687</v>
      </c>
      <c r="F123" s="19">
        <f t="shared" si="6"/>
        <v>0</v>
      </c>
      <c r="G123" s="19">
        <f t="shared" si="8"/>
        <v>166687</v>
      </c>
      <c r="H123" s="44"/>
      <c r="O123" s="23"/>
      <c r="S123" s="22"/>
      <c r="U123" s="23"/>
      <c r="V123" s="23"/>
      <c r="W123" s="23"/>
      <c r="X123" s="23"/>
      <c r="Y123" s="23"/>
      <c r="Z123" s="23"/>
      <c r="AA123" s="22"/>
      <c r="AB123" s="22"/>
    </row>
    <row r="124" spans="1:28" ht="16.5" thickBot="1" x14ac:dyDescent="0.3">
      <c r="A124" s="30" t="s">
        <v>526</v>
      </c>
      <c r="B124" s="30" t="s">
        <v>576</v>
      </c>
      <c r="C124" s="27">
        <v>102600</v>
      </c>
      <c r="D124" s="18"/>
      <c r="E124" s="19">
        <f t="shared" si="5"/>
        <v>102600</v>
      </c>
      <c r="F124" s="19">
        <f t="shared" si="6"/>
        <v>0</v>
      </c>
      <c r="G124" s="19">
        <f t="shared" si="8"/>
        <v>102600</v>
      </c>
      <c r="H124" s="44"/>
      <c r="O124" s="23"/>
      <c r="S124" s="22"/>
      <c r="U124" s="23"/>
      <c r="V124" s="23"/>
      <c r="W124" s="23"/>
      <c r="X124" s="23"/>
      <c r="Y124" s="23"/>
      <c r="Z124" s="23"/>
      <c r="AA124" s="22"/>
      <c r="AB124" s="22"/>
    </row>
    <row r="125" spans="1:28" ht="16.5" thickBot="1" x14ac:dyDescent="0.3">
      <c r="A125" s="30" t="s">
        <v>527</v>
      </c>
      <c r="B125" s="30" t="s">
        <v>152</v>
      </c>
      <c r="C125" s="27">
        <v>39843</v>
      </c>
      <c r="D125" s="18"/>
      <c r="E125" s="19">
        <f t="shared" si="5"/>
        <v>39843</v>
      </c>
      <c r="F125" s="19">
        <f t="shared" si="6"/>
        <v>0</v>
      </c>
      <c r="G125" s="19">
        <f t="shared" si="8"/>
        <v>39843</v>
      </c>
      <c r="H125" s="44"/>
      <c r="O125" s="23"/>
      <c r="S125" s="22"/>
      <c r="U125" s="23"/>
      <c r="V125" s="23"/>
      <c r="W125" s="23"/>
      <c r="X125" s="23"/>
      <c r="Y125" s="23"/>
      <c r="Z125" s="23"/>
      <c r="AA125" s="22"/>
      <c r="AB125" s="22"/>
    </row>
    <row r="126" spans="1:28" ht="16.5" thickBot="1" x14ac:dyDescent="0.3">
      <c r="A126" s="30" t="s">
        <v>528</v>
      </c>
      <c r="B126" s="30" t="s">
        <v>577</v>
      </c>
      <c r="C126" s="27">
        <v>23249</v>
      </c>
      <c r="D126" s="18"/>
      <c r="E126" s="19">
        <f t="shared" si="5"/>
        <v>23249</v>
      </c>
      <c r="F126" s="19">
        <f t="shared" si="6"/>
        <v>7717</v>
      </c>
      <c r="G126" s="19">
        <f t="shared" si="8"/>
        <v>15532</v>
      </c>
      <c r="H126" s="44"/>
      <c r="O126" s="23"/>
      <c r="S126" s="22"/>
      <c r="U126" s="23"/>
      <c r="V126" s="23">
        <v>7717</v>
      </c>
      <c r="W126" s="23"/>
      <c r="X126" s="23"/>
      <c r="Y126" s="23"/>
      <c r="Z126" s="23"/>
      <c r="AA126" s="22"/>
      <c r="AB126" s="22"/>
    </row>
    <row r="127" spans="1:28" ht="16.5" thickBot="1" x14ac:dyDescent="0.3">
      <c r="A127" s="30" t="s">
        <v>529</v>
      </c>
      <c r="B127" s="30" t="s">
        <v>578</v>
      </c>
      <c r="C127" s="27">
        <v>50608</v>
      </c>
      <c r="D127" s="18"/>
      <c r="E127" s="19">
        <f t="shared" si="5"/>
        <v>50608</v>
      </c>
      <c r="F127" s="19">
        <f t="shared" si="6"/>
        <v>50608</v>
      </c>
      <c r="G127" s="19">
        <f t="shared" si="8"/>
        <v>0</v>
      </c>
      <c r="H127" s="44"/>
      <c r="O127" s="23"/>
      <c r="P127" s="22">
        <v>14691.87</v>
      </c>
      <c r="Q127">
        <v>14691.87</v>
      </c>
      <c r="S127" s="22"/>
      <c r="U127" s="23"/>
      <c r="V127" s="23"/>
      <c r="W127" s="23">
        <v>8127.85</v>
      </c>
      <c r="X127" s="23">
        <v>3259.96</v>
      </c>
      <c r="Y127" s="23">
        <v>3259.96</v>
      </c>
      <c r="Z127" s="23"/>
      <c r="AA127" s="23">
        <v>6576.49</v>
      </c>
      <c r="AB127" s="22"/>
    </row>
    <row r="128" spans="1:28" ht="16.5" thickBot="1" x14ac:dyDescent="0.3">
      <c r="A128" s="30" t="s">
        <v>530</v>
      </c>
      <c r="B128" s="30" t="s">
        <v>579</v>
      </c>
      <c r="C128" s="27">
        <v>29381</v>
      </c>
      <c r="D128" s="18"/>
      <c r="E128" s="19">
        <f t="shared" si="5"/>
        <v>29381</v>
      </c>
      <c r="F128" s="19">
        <f t="shared" si="6"/>
        <v>14850</v>
      </c>
      <c r="G128" s="19">
        <f t="shared" si="8"/>
        <v>14531</v>
      </c>
      <c r="H128" s="44"/>
      <c r="O128" s="23"/>
      <c r="S128" s="22"/>
      <c r="U128" s="23"/>
      <c r="V128" s="23"/>
      <c r="W128" s="23">
        <v>14850</v>
      </c>
      <c r="X128" s="23"/>
      <c r="Y128" s="23"/>
      <c r="Z128" s="23"/>
      <c r="AA128" s="22"/>
      <c r="AB128" s="22"/>
    </row>
    <row r="129" spans="1:28" ht="16.5" thickBot="1" x14ac:dyDescent="0.3">
      <c r="A129" s="30" t="s">
        <v>531</v>
      </c>
      <c r="B129" s="30" t="s">
        <v>580</v>
      </c>
      <c r="C129" s="27">
        <v>179925</v>
      </c>
      <c r="D129" s="18"/>
      <c r="E129" s="19">
        <f t="shared" si="5"/>
        <v>179925</v>
      </c>
      <c r="F129" s="19">
        <f t="shared" si="6"/>
        <v>70843.75</v>
      </c>
      <c r="G129" s="19">
        <f t="shared" si="8"/>
        <v>109081.25</v>
      </c>
      <c r="H129" s="44"/>
      <c r="O129" s="23"/>
      <c r="S129" s="22"/>
      <c r="U129" s="23"/>
      <c r="V129" s="23"/>
      <c r="W129" s="23">
        <v>70843.75</v>
      </c>
      <c r="X129" s="23"/>
      <c r="Y129" s="23"/>
      <c r="Z129" s="23"/>
      <c r="AA129" s="22"/>
      <c r="AB129" s="22"/>
    </row>
    <row r="130" spans="1:28" ht="16.5" thickBot="1" x14ac:dyDescent="0.3">
      <c r="A130" s="30" t="s">
        <v>532</v>
      </c>
      <c r="B130" s="30" t="s">
        <v>444</v>
      </c>
      <c r="C130" s="27">
        <v>82332</v>
      </c>
      <c r="D130" s="18"/>
      <c r="E130" s="19">
        <f t="shared" si="5"/>
        <v>82332</v>
      </c>
      <c r="F130" s="19">
        <f t="shared" si="6"/>
        <v>82332</v>
      </c>
      <c r="G130" s="19">
        <f t="shared" si="8"/>
        <v>0</v>
      </c>
      <c r="H130" s="44"/>
      <c r="O130" s="23"/>
      <c r="S130" s="22"/>
      <c r="U130" s="23"/>
      <c r="V130" s="23"/>
      <c r="W130" s="23"/>
      <c r="X130" s="23"/>
      <c r="Y130" s="23">
        <v>82332</v>
      </c>
      <c r="Z130" s="23"/>
      <c r="AA130" s="22"/>
      <c r="AB130" s="22"/>
    </row>
    <row r="131" spans="1:28" ht="16.5" thickBot="1" x14ac:dyDescent="0.3">
      <c r="A131" s="30" t="s">
        <v>533</v>
      </c>
      <c r="B131" s="30" t="s">
        <v>581</v>
      </c>
      <c r="C131" s="27">
        <v>27660</v>
      </c>
      <c r="D131" s="18"/>
      <c r="E131" s="19">
        <f t="shared" si="5"/>
        <v>27660</v>
      </c>
      <c r="F131" s="19">
        <f t="shared" si="6"/>
        <v>27660</v>
      </c>
      <c r="G131" s="19">
        <f t="shared" si="8"/>
        <v>0</v>
      </c>
      <c r="H131" s="44"/>
      <c r="O131" s="23"/>
      <c r="S131" s="22"/>
      <c r="U131" s="23">
        <v>17660</v>
      </c>
      <c r="V131" s="23"/>
      <c r="W131" s="23"/>
      <c r="X131" s="23"/>
      <c r="Y131" s="23"/>
      <c r="Z131" s="23"/>
      <c r="AA131" s="23">
        <v>10000</v>
      </c>
      <c r="AB131" s="22"/>
    </row>
    <row r="132" spans="1:28" ht="16.5" thickBot="1" x14ac:dyDescent="0.3">
      <c r="A132" s="30" t="s">
        <v>534</v>
      </c>
      <c r="B132" s="30" t="s">
        <v>458</v>
      </c>
      <c r="C132" s="27">
        <v>18860</v>
      </c>
      <c r="D132" s="18"/>
      <c r="E132" s="19">
        <f t="shared" si="5"/>
        <v>18860</v>
      </c>
      <c r="F132" s="19">
        <f t="shared" si="6"/>
        <v>0</v>
      </c>
      <c r="G132" s="19">
        <f t="shared" si="8"/>
        <v>18860</v>
      </c>
      <c r="H132" s="44"/>
      <c r="O132" s="23"/>
      <c r="S132" s="22"/>
      <c r="U132" s="23"/>
      <c r="V132" s="23"/>
      <c r="W132" s="23"/>
      <c r="X132" s="23"/>
      <c r="Y132" s="23"/>
      <c r="Z132" s="23"/>
      <c r="AA132" s="22"/>
      <c r="AB132" s="22"/>
    </row>
    <row r="133" spans="1:28" ht="16.5" thickBot="1" x14ac:dyDescent="0.3">
      <c r="A133" s="30" t="s">
        <v>535</v>
      </c>
      <c r="B133" s="30" t="s">
        <v>445</v>
      </c>
      <c r="C133" s="27">
        <v>36841</v>
      </c>
      <c r="D133" s="18"/>
      <c r="E133" s="19">
        <f t="shared" si="5"/>
        <v>36841</v>
      </c>
      <c r="F133" s="19">
        <f t="shared" si="6"/>
        <v>34719.07</v>
      </c>
      <c r="G133" s="19">
        <f t="shared" si="8"/>
        <v>2121.9300000000003</v>
      </c>
      <c r="H133" s="44"/>
      <c r="O133" s="23"/>
      <c r="S133" s="22"/>
      <c r="U133" s="23"/>
      <c r="V133" s="23">
        <f>3976.38+10399.76+14226.07</f>
        <v>28602.21</v>
      </c>
      <c r="W133" s="23">
        <f>3669.86+1223.5</f>
        <v>4893.3600000000006</v>
      </c>
      <c r="X133" s="23">
        <v>1223.5</v>
      </c>
      <c r="Y133" s="23"/>
      <c r="Z133" s="23"/>
      <c r="AA133" s="22"/>
      <c r="AB133" s="22"/>
    </row>
    <row r="134" spans="1:28" ht="16.5" thickBot="1" x14ac:dyDescent="0.3">
      <c r="A134" s="30" t="s">
        <v>584</v>
      </c>
      <c r="B134" s="30" t="s">
        <v>582</v>
      </c>
      <c r="C134" s="27">
        <v>57676</v>
      </c>
      <c r="D134" s="18"/>
      <c r="E134" s="19">
        <f t="shared" si="5"/>
        <v>57676</v>
      </c>
      <c r="F134" s="19">
        <f t="shared" si="6"/>
        <v>7046.8899999999994</v>
      </c>
      <c r="G134" s="19">
        <f t="shared" si="8"/>
        <v>50629.11</v>
      </c>
      <c r="H134" s="44"/>
      <c r="O134" s="23"/>
      <c r="S134" s="22"/>
      <c r="U134" s="23">
        <v>1572.75</v>
      </c>
      <c r="V134" s="23">
        <v>1677.25</v>
      </c>
      <c r="W134" s="23">
        <v>1937.23</v>
      </c>
      <c r="X134" s="23">
        <v>1859.66</v>
      </c>
      <c r="Y134" s="23"/>
      <c r="Z134" s="23"/>
      <c r="AA134" s="22"/>
      <c r="AB134" s="22"/>
    </row>
    <row r="135" spans="1:28" ht="16.5" thickBot="1" x14ac:dyDescent="0.3">
      <c r="A135" s="30" t="s">
        <v>585</v>
      </c>
      <c r="B135" s="30" t="s">
        <v>583</v>
      </c>
      <c r="C135" s="27">
        <v>45693</v>
      </c>
      <c r="D135" s="18"/>
      <c r="E135" s="19">
        <f t="shared" si="5"/>
        <v>45693</v>
      </c>
      <c r="F135" s="19">
        <f t="shared" si="6"/>
        <v>45693</v>
      </c>
      <c r="G135" s="19">
        <f t="shared" si="8"/>
        <v>0</v>
      </c>
      <c r="H135" s="44"/>
      <c r="O135" s="23">
        <v>45693</v>
      </c>
      <c r="S135" s="22"/>
      <c r="U135" s="23"/>
      <c r="V135" s="23"/>
      <c r="W135" s="23"/>
      <c r="X135" s="23"/>
      <c r="Y135" s="23"/>
      <c r="Z135" s="23"/>
      <c r="AA135" s="22"/>
      <c r="AB135" s="22"/>
    </row>
    <row r="136" spans="1:28" ht="16.5" thickBot="1" x14ac:dyDescent="0.3">
      <c r="A136" s="30" t="s">
        <v>586</v>
      </c>
      <c r="B136" s="30" t="s">
        <v>448</v>
      </c>
      <c r="C136" s="27">
        <v>41276</v>
      </c>
      <c r="D136" s="18"/>
      <c r="E136" s="19">
        <f t="shared" si="5"/>
        <v>41276</v>
      </c>
      <c r="F136" s="19">
        <f t="shared" si="6"/>
        <v>41276</v>
      </c>
      <c r="G136" s="19">
        <f t="shared" si="8"/>
        <v>0</v>
      </c>
      <c r="H136" s="44"/>
      <c r="O136" s="23"/>
      <c r="S136" s="22"/>
      <c r="U136" s="23"/>
      <c r="V136" s="23"/>
      <c r="W136" s="23"/>
      <c r="X136" s="23"/>
      <c r="Y136" s="23">
        <v>41276</v>
      </c>
      <c r="Z136" s="23"/>
      <c r="AA136" s="22"/>
      <c r="AB136" s="22"/>
    </row>
    <row r="137" spans="1:28" ht="16.5" thickBot="1" x14ac:dyDescent="0.3">
      <c r="A137" s="30" t="s">
        <v>587</v>
      </c>
      <c r="B137" s="30" t="s">
        <v>449</v>
      </c>
      <c r="C137" s="27">
        <v>75063</v>
      </c>
      <c r="D137" s="18"/>
      <c r="E137" s="19">
        <f t="shared" ref="E137:E147" si="9">C137</f>
        <v>75063</v>
      </c>
      <c r="F137" s="19">
        <f t="shared" ref="F137:F147" si="10">SUM(H137:AK137)</f>
        <v>75063</v>
      </c>
      <c r="G137" s="19">
        <f t="shared" si="8"/>
        <v>0</v>
      </c>
      <c r="H137" s="44"/>
      <c r="O137" s="23"/>
      <c r="R137" s="22">
        <v>42556.92</v>
      </c>
      <c r="S137" s="22">
        <v>8990.98</v>
      </c>
      <c r="U137" s="23">
        <v>23515.1</v>
      </c>
      <c r="V137" s="23"/>
      <c r="W137" s="23"/>
      <c r="X137" s="23"/>
      <c r="Y137" s="23"/>
      <c r="Z137" s="23"/>
      <c r="AA137" s="22"/>
      <c r="AB137" s="22"/>
    </row>
    <row r="138" spans="1:28" ht="16.5" thickBot="1" x14ac:dyDescent="0.3">
      <c r="A138" s="30" t="s">
        <v>588</v>
      </c>
      <c r="B138" s="30" t="s">
        <v>450</v>
      </c>
      <c r="C138" s="27">
        <v>51427</v>
      </c>
      <c r="D138" s="18"/>
      <c r="E138" s="19">
        <f t="shared" si="9"/>
        <v>51427</v>
      </c>
      <c r="F138" s="19">
        <f t="shared" si="10"/>
        <v>51427.000000000007</v>
      </c>
      <c r="G138" s="19">
        <f t="shared" si="8"/>
        <v>0</v>
      </c>
      <c r="H138" s="44"/>
      <c r="O138" s="23"/>
      <c r="R138" s="22">
        <f>6178.29+12316.45+20016.64</f>
        <v>38511.380000000005</v>
      </c>
      <c r="S138" s="22"/>
      <c r="U138" s="23">
        <v>12915.62</v>
      </c>
      <c r="V138" s="23"/>
      <c r="W138" s="23"/>
      <c r="X138" s="23"/>
      <c r="Y138" s="23"/>
      <c r="Z138" s="23"/>
      <c r="AA138" s="22"/>
      <c r="AB138" s="22"/>
    </row>
    <row r="139" spans="1:28" ht="16.5" thickBot="1" x14ac:dyDescent="0.3">
      <c r="A139" s="30" t="s">
        <v>589</v>
      </c>
      <c r="B139" s="30" t="s">
        <v>460</v>
      </c>
      <c r="C139" s="27">
        <v>48095</v>
      </c>
      <c r="D139" s="18"/>
      <c r="E139" s="19">
        <f t="shared" si="9"/>
        <v>48095</v>
      </c>
      <c r="F139" s="19">
        <f t="shared" si="10"/>
        <v>0</v>
      </c>
      <c r="G139" s="19">
        <f t="shared" si="8"/>
        <v>48095</v>
      </c>
      <c r="H139" s="44"/>
      <c r="O139" s="23"/>
      <c r="S139" s="22"/>
      <c r="U139" s="23"/>
      <c r="V139" s="23"/>
      <c r="W139" s="23"/>
      <c r="X139" s="23"/>
      <c r="Y139" s="23"/>
      <c r="Z139" s="23"/>
      <c r="AA139" s="22"/>
      <c r="AB139" s="22"/>
    </row>
    <row r="140" spans="1:28" ht="16.5" thickBot="1" x14ac:dyDescent="0.3">
      <c r="A140" s="30" t="s">
        <v>590</v>
      </c>
      <c r="B140" s="30" t="s">
        <v>451</v>
      </c>
      <c r="C140" s="27">
        <v>43980</v>
      </c>
      <c r="D140" s="18"/>
      <c r="E140" s="19">
        <f t="shared" si="9"/>
        <v>43980</v>
      </c>
      <c r="F140" s="19">
        <f t="shared" si="10"/>
        <v>0</v>
      </c>
      <c r="G140" s="19">
        <f t="shared" si="8"/>
        <v>43980</v>
      </c>
      <c r="H140" s="44"/>
      <c r="O140" s="23"/>
      <c r="S140" s="22"/>
      <c r="U140" s="23"/>
      <c r="V140" s="23"/>
      <c r="W140" s="23"/>
      <c r="X140" s="23"/>
      <c r="Y140" s="23"/>
      <c r="Z140" s="23"/>
      <c r="AA140" s="22"/>
      <c r="AB140" s="22"/>
    </row>
    <row r="141" spans="1:28" ht="16.5" thickBot="1" x14ac:dyDescent="0.3">
      <c r="A141" s="30" t="s">
        <v>591</v>
      </c>
      <c r="B141" s="30" t="s">
        <v>452</v>
      </c>
      <c r="C141" s="27">
        <v>25882</v>
      </c>
      <c r="D141" s="18"/>
      <c r="E141" s="19">
        <f t="shared" si="9"/>
        <v>25882</v>
      </c>
      <c r="F141" s="19">
        <f t="shared" si="10"/>
        <v>0</v>
      </c>
      <c r="G141" s="19">
        <f t="shared" si="8"/>
        <v>25882</v>
      </c>
      <c r="H141" s="44"/>
      <c r="O141" s="23"/>
      <c r="S141" s="22"/>
      <c r="U141" s="23"/>
      <c r="V141" s="23"/>
      <c r="W141" s="23"/>
      <c r="X141" s="23"/>
      <c r="Y141" s="23"/>
      <c r="Z141" s="23"/>
      <c r="AA141" s="22"/>
      <c r="AB141" s="22"/>
    </row>
    <row r="142" spans="1:28" ht="16.5" thickBot="1" x14ac:dyDescent="0.3">
      <c r="A142" s="30" t="s">
        <v>592</v>
      </c>
      <c r="B142" s="30" t="s">
        <v>459</v>
      </c>
      <c r="C142" s="27">
        <v>17209</v>
      </c>
      <c r="D142" s="18"/>
      <c r="E142" s="19">
        <f t="shared" si="9"/>
        <v>17209</v>
      </c>
      <c r="F142" s="19">
        <f t="shared" si="10"/>
        <v>17209</v>
      </c>
      <c r="G142" s="19">
        <f t="shared" si="8"/>
        <v>0</v>
      </c>
      <c r="H142" s="44"/>
      <c r="O142" s="23"/>
      <c r="S142" s="22"/>
      <c r="U142" s="23"/>
      <c r="V142" s="23">
        <v>17209</v>
      </c>
      <c r="W142" s="23"/>
      <c r="X142" s="23"/>
      <c r="Y142" s="23"/>
      <c r="Z142" s="23"/>
      <c r="AA142" s="22"/>
      <c r="AB142" s="22"/>
    </row>
    <row r="143" spans="1:28" ht="16.5" thickBot="1" x14ac:dyDescent="0.3">
      <c r="A143" s="30" t="s">
        <v>593</v>
      </c>
      <c r="B143" s="30" t="s">
        <v>446</v>
      </c>
      <c r="C143" s="27">
        <v>73574</v>
      </c>
      <c r="D143" s="18"/>
      <c r="E143" s="19">
        <f t="shared" si="9"/>
        <v>73574</v>
      </c>
      <c r="F143" s="19">
        <f t="shared" si="10"/>
        <v>73574</v>
      </c>
      <c r="G143" s="19">
        <f t="shared" si="8"/>
        <v>0</v>
      </c>
      <c r="H143" s="44"/>
      <c r="N143" s="22">
        <v>40484</v>
      </c>
      <c r="O143" s="23"/>
      <c r="S143" s="22"/>
      <c r="U143" s="23"/>
      <c r="V143" s="23"/>
      <c r="W143" s="23">
        <v>16545</v>
      </c>
      <c r="X143" s="23"/>
      <c r="Y143" s="23">
        <v>14182</v>
      </c>
      <c r="Z143" s="23"/>
      <c r="AA143" s="23">
        <v>2363</v>
      </c>
      <c r="AB143" s="22"/>
    </row>
    <row r="144" spans="1:28" ht="16.5" thickBot="1" x14ac:dyDescent="0.3">
      <c r="A144" s="30" t="s">
        <v>594</v>
      </c>
      <c r="B144" s="30" t="s">
        <v>462</v>
      </c>
      <c r="C144" s="27">
        <v>32430</v>
      </c>
      <c r="D144" s="18"/>
      <c r="E144" s="19">
        <f t="shared" si="9"/>
        <v>32430</v>
      </c>
      <c r="F144" s="19">
        <f t="shared" si="10"/>
        <v>32430</v>
      </c>
      <c r="G144" s="19">
        <f t="shared" si="8"/>
        <v>0</v>
      </c>
      <c r="H144" s="44"/>
      <c r="O144" s="23"/>
      <c r="S144" s="22"/>
      <c r="U144" s="23"/>
      <c r="V144" s="23"/>
      <c r="W144" s="23"/>
      <c r="X144" s="23"/>
      <c r="Y144" s="23">
        <v>32430</v>
      </c>
      <c r="Z144" s="23"/>
      <c r="AA144" s="22"/>
      <c r="AB144" s="22"/>
    </row>
    <row r="145" spans="1:28" ht="16.5" thickBot="1" x14ac:dyDescent="0.3">
      <c r="A145" s="30" t="s">
        <v>595</v>
      </c>
      <c r="B145" s="30" t="s">
        <v>455</v>
      </c>
      <c r="C145" s="27">
        <v>13048</v>
      </c>
      <c r="D145" s="18"/>
      <c r="E145" s="19">
        <f t="shared" si="9"/>
        <v>13048</v>
      </c>
      <c r="F145" s="19">
        <f t="shared" si="10"/>
        <v>0</v>
      </c>
      <c r="G145" s="19">
        <f t="shared" si="8"/>
        <v>13048</v>
      </c>
      <c r="H145" s="44"/>
      <c r="O145" s="23"/>
      <c r="S145" s="22"/>
      <c r="U145" s="23"/>
      <c r="V145" s="23"/>
      <c r="W145" s="23"/>
      <c r="X145" s="23"/>
      <c r="Y145" s="23"/>
      <c r="Z145" s="23"/>
      <c r="AA145" s="22"/>
      <c r="AB145" s="22"/>
    </row>
    <row r="146" spans="1:28" ht="16.5" thickBot="1" x14ac:dyDescent="0.3">
      <c r="A146" s="30" t="s">
        <v>596</v>
      </c>
      <c r="B146" s="30" t="s">
        <v>464</v>
      </c>
      <c r="C146" s="27">
        <v>44392</v>
      </c>
      <c r="D146" s="18"/>
      <c r="E146" s="19">
        <f t="shared" si="9"/>
        <v>44392</v>
      </c>
      <c r="F146" s="19">
        <f t="shared" si="10"/>
        <v>0</v>
      </c>
      <c r="G146" s="19">
        <f t="shared" si="8"/>
        <v>44392</v>
      </c>
      <c r="H146" s="44"/>
      <c r="O146" s="23"/>
      <c r="S146" s="22"/>
      <c r="U146" s="23"/>
      <c r="V146" s="23"/>
      <c r="W146" s="23"/>
      <c r="X146" s="23"/>
      <c r="Y146" s="23"/>
      <c r="Z146" s="23"/>
      <c r="AA146" s="22"/>
      <c r="AB146" s="22"/>
    </row>
    <row r="147" spans="1:28" ht="16.5" thickBot="1" x14ac:dyDescent="0.3">
      <c r="A147" s="30" t="s">
        <v>597</v>
      </c>
      <c r="B147" s="30" t="s">
        <v>376</v>
      </c>
      <c r="C147" s="27">
        <v>78540</v>
      </c>
      <c r="D147" s="18"/>
      <c r="E147" s="19">
        <f t="shared" si="9"/>
        <v>78540</v>
      </c>
      <c r="F147" s="19">
        <f t="shared" si="10"/>
        <v>0</v>
      </c>
      <c r="G147" s="19">
        <f t="shared" si="8"/>
        <v>78540</v>
      </c>
      <c r="H147" s="44"/>
      <c r="O147" s="23"/>
      <c r="S147" s="22"/>
      <c r="U147" s="23"/>
      <c r="V147" s="23"/>
      <c r="W147" s="23"/>
      <c r="X147" s="23"/>
      <c r="Y147" s="23"/>
      <c r="Z147" s="23"/>
      <c r="AA147" s="22"/>
      <c r="AB147" s="22"/>
    </row>
    <row r="148" spans="1:28" ht="16.5" thickBot="1" x14ac:dyDescent="0.3">
      <c r="A148" s="18"/>
      <c r="B148" s="43" t="s">
        <v>604</v>
      </c>
      <c r="C148" s="37">
        <f>SUM(C84:C147)</f>
        <v>7697833</v>
      </c>
      <c r="D148" s="18"/>
      <c r="E148" s="39">
        <f>SUM(E84:E147)</f>
        <v>7690683</v>
      </c>
      <c r="F148" s="39">
        <f t="shared" ref="F148:G148" si="11">SUM(F84:F147)</f>
        <v>2450923.2600000002</v>
      </c>
      <c r="G148" s="39">
        <f t="shared" si="11"/>
        <v>5239759.7399999993</v>
      </c>
      <c r="H148" s="39">
        <f t="shared" ref="H148" si="12">SUM(H84:H147)</f>
        <v>0</v>
      </c>
      <c r="I148" s="39">
        <f t="shared" ref="I148" si="13">SUM(I84:I147)</f>
        <v>0</v>
      </c>
      <c r="J148" s="39">
        <f t="shared" ref="J148" si="14">SUM(J84:J147)</f>
        <v>0</v>
      </c>
      <c r="K148" s="39">
        <f t="shared" ref="K148" si="15">SUM(K84:K147)</f>
        <v>0</v>
      </c>
      <c r="L148" s="39">
        <f t="shared" ref="L148" si="16">SUM(L84:L147)</f>
        <v>0</v>
      </c>
      <c r="M148" s="39">
        <f t="shared" ref="M148" si="17">SUM(M84:M147)</f>
        <v>0</v>
      </c>
      <c r="N148" s="39">
        <f t="shared" ref="N148" si="18">SUM(N84:N147)</f>
        <v>40484</v>
      </c>
      <c r="O148" s="46">
        <f t="shared" ref="O148" si="19">SUM(O84:O147)</f>
        <v>252675</v>
      </c>
      <c r="P148" s="39">
        <f t="shared" ref="P148" si="20">SUM(P84:P147)</f>
        <v>98887.87</v>
      </c>
      <c r="Q148" s="39">
        <f t="shared" ref="Q148" si="21">SUM(Q84:Q147)</f>
        <v>22494.870000000003</v>
      </c>
      <c r="R148" s="39">
        <f t="shared" ref="R148" si="22">SUM(R84:R147)</f>
        <v>85283.3</v>
      </c>
      <c r="S148" s="39">
        <f t="shared" ref="S148" si="23">SUM(S84:S147)</f>
        <v>119850.62</v>
      </c>
      <c r="T148" s="39">
        <f t="shared" ref="T148" si="24">SUM(T84:T147)</f>
        <v>30223.5</v>
      </c>
      <c r="U148" s="39">
        <f t="shared" ref="U148" si="25">SUM(U84:U147)</f>
        <v>100295.72</v>
      </c>
      <c r="V148" s="39">
        <f t="shared" ref="V148" si="26">SUM(V84:V147)</f>
        <v>357948.05000000005</v>
      </c>
      <c r="W148" s="39">
        <f t="shared" ref="W148" si="27">SUM(W84:W147)</f>
        <v>270391.10000000009</v>
      </c>
      <c r="X148" s="39">
        <f t="shared" ref="X148" si="28">SUM(X84:X147)</f>
        <v>148446.27999999997</v>
      </c>
      <c r="Y148" s="39">
        <f t="shared" ref="Y148" si="29">SUM(Y84:Y147)</f>
        <v>422769.31999999995</v>
      </c>
      <c r="Z148" s="39">
        <f t="shared" ref="Z148:AB148" si="30">SUM(Z84:Z147)</f>
        <v>57055.07</v>
      </c>
      <c r="AA148" s="39">
        <f t="shared" si="30"/>
        <v>195488.12999999998</v>
      </c>
      <c r="AB148" s="39">
        <f t="shared" si="30"/>
        <v>248630.43000000002</v>
      </c>
    </row>
    <row r="149" spans="1:28" x14ac:dyDescent="0.25">
      <c r="O149" s="23"/>
      <c r="X149" s="22"/>
    </row>
    <row r="150" spans="1:28" ht="16.5" thickBot="1" x14ac:dyDescent="0.3">
      <c r="O150" s="23"/>
      <c r="X150" s="22"/>
    </row>
    <row r="151" spans="1:28" ht="16.5" thickBot="1" x14ac:dyDescent="0.3">
      <c r="A151" s="30" t="s">
        <v>598</v>
      </c>
      <c r="B151" s="30" t="s">
        <v>599</v>
      </c>
      <c r="C151" s="27">
        <v>140000</v>
      </c>
      <c r="D151" s="18"/>
      <c r="E151" s="19">
        <f t="shared" ref="E151:E152" si="31">C151</f>
        <v>140000</v>
      </c>
      <c r="F151" s="19">
        <f t="shared" ref="F151:F152" si="32">SUM(H151:AK151)</f>
        <v>0</v>
      </c>
      <c r="G151" s="19">
        <f>E151-(F151+AO151+AP151)</f>
        <v>140000</v>
      </c>
      <c r="O151" s="23"/>
      <c r="X151" s="22"/>
    </row>
    <row r="152" spans="1:28" ht="16.5" thickBot="1" x14ac:dyDescent="0.3">
      <c r="A152" s="30" t="s">
        <v>601</v>
      </c>
      <c r="B152" s="30" t="s">
        <v>600</v>
      </c>
      <c r="C152" s="27">
        <v>140000</v>
      </c>
      <c r="D152" s="18"/>
      <c r="E152" s="19">
        <f t="shared" si="31"/>
        <v>140000</v>
      </c>
      <c r="F152" s="19">
        <f t="shared" si="32"/>
        <v>0</v>
      </c>
      <c r="G152" s="19">
        <f>E152-(F152+AO152+AP152)</f>
        <v>140000</v>
      </c>
      <c r="O152" s="23"/>
      <c r="X152" s="22"/>
    </row>
    <row r="153" spans="1:28" ht="16.5" thickBot="1" x14ac:dyDescent="0.3">
      <c r="A153" s="30"/>
      <c r="B153" s="43" t="s">
        <v>603</v>
      </c>
      <c r="C153" s="37">
        <f>SUM(C151:C152)</f>
        <v>280000</v>
      </c>
      <c r="D153" s="18"/>
      <c r="E153" s="39">
        <f>SUM(E151:E152)</f>
        <v>280000</v>
      </c>
      <c r="F153" s="39">
        <f t="shared" ref="F153:AB153" si="33">SUM(F151:F152)</f>
        <v>0</v>
      </c>
      <c r="G153" s="39">
        <f t="shared" si="33"/>
        <v>280000</v>
      </c>
      <c r="H153" s="39">
        <f t="shared" si="33"/>
        <v>0</v>
      </c>
      <c r="I153" s="39">
        <f t="shared" si="33"/>
        <v>0</v>
      </c>
      <c r="J153" s="39">
        <f t="shared" si="33"/>
        <v>0</v>
      </c>
      <c r="K153" s="39">
        <f t="shared" si="33"/>
        <v>0</v>
      </c>
      <c r="L153" s="39">
        <f t="shared" si="33"/>
        <v>0</v>
      </c>
      <c r="M153" s="39">
        <f t="shared" si="33"/>
        <v>0</v>
      </c>
      <c r="N153" s="39">
        <f t="shared" si="33"/>
        <v>0</v>
      </c>
      <c r="O153" s="46">
        <f t="shared" si="33"/>
        <v>0</v>
      </c>
      <c r="P153" s="39">
        <f t="shared" si="33"/>
        <v>0</v>
      </c>
      <c r="Q153" s="39">
        <f t="shared" si="33"/>
        <v>0</v>
      </c>
      <c r="R153" s="39">
        <f t="shared" si="33"/>
        <v>0</v>
      </c>
      <c r="S153" s="39">
        <f t="shared" si="33"/>
        <v>0</v>
      </c>
      <c r="T153" s="39">
        <f t="shared" si="33"/>
        <v>0</v>
      </c>
      <c r="U153" s="39">
        <f t="shared" si="33"/>
        <v>0</v>
      </c>
      <c r="V153" s="39">
        <f t="shared" si="33"/>
        <v>0</v>
      </c>
      <c r="W153" s="39">
        <f t="shared" si="33"/>
        <v>0</v>
      </c>
      <c r="X153" s="39">
        <f t="shared" si="33"/>
        <v>0</v>
      </c>
      <c r="Y153" s="39">
        <f t="shared" si="33"/>
        <v>0</v>
      </c>
      <c r="Z153" s="39">
        <f t="shared" si="33"/>
        <v>0</v>
      </c>
      <c r="AA153" s="39">
        <f t="shared" si="33"/>
        <v>0</v>
      </c>
      <c r="AB153" s="39">
        <f t="shared" si="33"/>
        <v>0</v>
      </c>
    </row>
    <row r="154" spans="1:28" ht="16.5" thickBot="1" x14ac:dyDescent="0.3">
      <c r="O154" s="23"/>
      <c r="X154" s="22"/>
    </row>
    <row r="155" spans="1:28" ht="16.5" thickBot="1" x14ac:dyDescent="0.3">
      <c r="A155" s="30"/>
      <c r="B155" s="43" t="s">
        <v>602</v>
      </c>
      <c r="C155" s="37">
        <f>C153+C148+C81+C57</f>
        <v>16755173</v>
      </c>
      <c r="D155" s="37"/>
      <c r="E155" s="40">
        <f>E153+E148+E81+E57</f>
        <v>16691122</v>
      </c>
      <c r="F155" s="40">
        <f>F153+F148+F81+F57</f>
        <v>7060109.46</v>
      </c>
      <c r="G155" s="40">
        <f>G153+G148+G81+G57</f>
        <v>9631012.5399999991</v>
      </c>
      <c r="H155" s="40">
        <f t="shared" ref="H155:AB155" si="34">H153+H148+H81+H57</f>
        <v>0</v>
      </c>
      <c r="I155" s="40">
        <f t="shared" si="34"/>
        <v>0</v>
      </c>
      <c r="J155" s="40">
        <f t="shared" si="34"/>
        <v>0</v>
      </c>
      <c r="K155" s="40">
        <f t="shared" si="34"/>
        <v>0</v>
      </c>
      <c r="L155" s="40">
        <f t="shared" si="34"/>
        <v>0</v>
      </c>
      <c r="M155" s="40">
        <f t="shared" si="34"/>
        <v>45825.74</v>
      </c>
      <c r="N155" s="40">
        <f t="shared" si="34"/>
        <v>200069.01</v>
      </c>
      <c r="O155" s="48">
        <f t="shared" si="34"/>
        <v>342385</v>
      </c>
      <c r="P155" s="40">
        <f t="shared" si="34"/>
        <v>171693.54</v>
      </c>
      <c r="Q155" s="40">
        <f t="shared" si="34"/>
        <v>234305.71</v>
      </c>
      <c r="R155" s="40">
        <f t="shared" si="34"/>
        <v>382085.57999999996</v>
      </c>
      <c r="S155" s="40">
        <f t="shared" si="34"/>
        <v>693158.75</v>
      </c>
      <c r="T155" s="40">
        <f t="shared" si="34"/>
        <v>335211.43</v>
      </c>
      <c r="U155" s="40">
        <f t="shared" si="34"/>
        <v>398602.76</v>
      </c>
      <c r="V155" s="40">
        <f t="shared" si="34"/>
        <v>654030.90000000014</v>
      </c>
      <c r="W155" s="40">
        <f t="shared" si="34"/>
        <v>889100.13000000012</v>
      </c>
      <c r="X155" s="40">
        <f t="shared" si="34"/>
        <v>424610.53999999992</v>
      </c>
      <c r="Y155" s="40">
        <f t="shared" si="34"/>
        <v>1073949.8799999999</v>
      </c>
      <c r="Z155" s="40">
        <f t="shared" si="34"/>
        <v>425378.52</v>
      </c>
      <c r="AA155" s="40">
        <f t="shared" si="34"/>
        <v>395550.43999999994</v>
      </c>
      <c r="AB155" s="40">
        <f t="shared" si="34"/>
        <v>394151.53</v>
      </c>
    </row>
  </sheetData>
  <sheetProtection algorithmName="SHA-512" hashValue="IanNxxRYDUugMdp5X2C14407eVUu7vICGTPo/I27QUloKu+iwVxP8xupr8FnXKwxk8sJxsM/YgiQwne1BMJ5WA==" saltValue="wtQVHn3RXvvp/EEx76uGHw==" spinCount="100000" sheet="1" objects="1" scenarios="1"/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ESSER II - Grant Code 4420</vt:lpstr>
      <vt:lpstr>Supplemental - Grant Code 4419</vt:lpstr>
    </vt:vector>
  </TitlesOfParts>
  <Company>Colorado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Kaleda, Steven</dc:creator>
  <cp:lastModifiedBy>Kaleda, Steven</cp:lastModifiedBy>
  <dcterms:created xsi:type="dcterms:W3CDTF">2020-05-08T16:44:59Z</dcterms:created>
  <dcterms:modified xsi:type="dcterms:W3CDTF">2022-09-27T15:07:19Z</dcterms:modified>
</cp:coreProperties>
</file>