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A_Payments\Distribution Sheets\ESSA-NCLB-ESSER Distributions\"/>
    </mc:Choice>
  </mc:AlternateContent>
  <xr:revisionPtr revIDLastSave="0" documentId="13_ncr:1_{F64F1391-83E9-4888-9D45-7F360E303E98}" xr6:coauthVersionLast="47" xr6:coauthVersionMax="47" xr10:uidLastSave="{00000000-0000-0000-0000-000000000000}"/>
  <workbookProtection workbookAlgorithmName="SHA-512" workbookHashValue="gEaZM385c0760281gR/M/uYaVIV0a8MunSZLYeBzYnY7OI43w04BgUG8ztYfWXRfQYDk01vClowr/ssE+bZEQQ==" workbookSaltValue="AEyP88dPcJNQTFIO5SzoKQ==" workbookSpinCount="100000" lockStructure="1"/>
  <bookViews>
    <workbookView xWindow="-120" yWindow="-120" windowWidth="29040" windowHeight="15840" activeTab="2" xr2:uid="{00000000-000D-0000-FFFF-FFFF00000000}"/>
  </bookViews>
  <sheets>
    <sheet name="Sheet1" sheetId="4" r:id="rId1"/>
    <sheet name="ESSER I Funding (4425)" sheetId="1" r:id="rId2"/>
    <sheet name="Supplemental ESSER (5425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93" i="3" l="1"/>
  <c r="AH64" i="3"/>
  <c r="AH68" i="3"/>
  <c r="AH87" i="3"/>
  <c r="AH12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70" i="3"/>
  <c r="AH191" i="1"/>
  <c r="AH170" i="1"/>
  <c r="AG191" i="1"/>
  <c r="AF121" i="1"/>
  <c r="AF101" i="1"/>
  <c r="AF191" i="1"/>
  <c r="AE12" i="1"/>
  <c r="AE191" i="1" s="1"/>
  <c r="AE79" i="3"/>
  <c r="AE144" i="1"/>
  <c r="AE71" i="1"/>
  <c r="AC120" i="3"/>
  <c r="AC144" i="1"/>
  <c r="AC60" i="1"/>
  <c r="AA24" i="3"/>
  <c r="AA63" i="1"/>
  <c r="Z120" i="3"/>
  <c r="AA120" i="3"/>
  <c r="AB120" i="3"/>
  <c r="AD120" i="3"/>
  <c r="AE120" i="3"/>
  <c r="AF120" i="3"/>
  <c r="AG120" i="3"/>
  <c r="Z87" i="3"/>
  <c r="AA87" i="3"/>
  <c r="AB87" i="3"/>
  <c r="AC87" i="3"/>
  <c r="AD87" i="3"/>
  <c r="AE87" i="3"/>
  <c r="AF87" i="3"/>
  <c r="AG87" i="3"/>
  <c r="Z68" i="3"/>
  <c r="AA68" i="3"/>
  <c r="AB68" i="3"/>
  <c r="AC68" i="3"/>
  <c r="AD68" i="3"/>
  <c r="AE68" i="3"/>
  <c r="AF68" i="3"/>
  <c r="AG68" i="3"/>
  <c r="Z64" i="3"/>
  <c r="AA64" i="3"/>
  <c r="AB64" i="3"/>
  <c r="AC64" i="3"/>
  <c r="AD64" i="3"/>
  <c r="AE64" i="3"/>
  <c r="AF64" i="3"/>
  <c r="AG64" i="3"/>
  <c r="AG122" i="3" s="1"/>
  <c r="Y120" i="3"/>
  <c r="Y23" i="1"/>
  <c r="X81" i="3"/>
  <c r="X106" i="3"/>
  <c r="X147" i="1"/>
  <c r="X124" i="1"/>
  <c r="X121" i="1"/>
  <c r="X63" i="1"/>
  <c r="X12" i="1"/>
  <c r="X120" i="3"/>
  <c r="W46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73" i="3"/>
  <c r="W124" i="1"/>
  <c r="W121" i="1"/>
  <c r="W68" i="1"/>
  <c r="W21" i="1"/>
  <c r="AH122" i="3" l="1"/>
  <c r="AF122" i="3"/>
  <c r="AE122" i="3"/>
  <c r="AD122" i="3"/>
  <c r="AC122" i="3"/>
  <c r="AB122" i="3"/>
  <c r="AA122" i="3"/>
  <c r="Z122" i="3"/>
  <c r="F117" i="3"/>
  <c r="G117" i="3" s="1"/>
  <c r="G109" i="3"/>
  <c r="F109" i="3"/>
  <c r="F104" i="3"/>
  <c r="F92" i="3"/>
  <c r="F89" i="3"/>
  <c r="V110" i="3"/>
  <c r="V75" i="3"/>
  <c r="V49" i="1"/>
  <c r="V14" i="1"/>
  <c r="U72" i="3"/>
  <c r="U66" i="3"/>
  <c r="F66" i="3" s="1"/>
  <c r="G104" i="3" l="1"/>
  <c r="G92" i="3"/>
  <c r="G89" i="3"/>
  <c r="T81" i="3"/>
  <c r="T189" i="1"/>
  <c r="T167" i="1"/>
  <c r="R32" i="3" l="1"/>
  <c r="R128" i="1"/>
  <c r="R121" i="1"/>
  <c r="R96" i="1"/>
  <c r="R17" i="1"/>
  <c r="R12" i="1"/>
  <c r="F119" i="3" l="1"/>
  <c r="F90" i="3"/>
  <c r="F91" i="3"/>
  <c r="F93" i="3"/>
  <c r="F94" i="3"/>
  <c r="F95" i="3"/>
  <c r="F96" i="3"/>
  <c r="F97" i="3"/>
  <c r="F98" i="3"/>
  <c r="F100" i="3"/>
  <c r="F101" i="3"/>
  <c r="F102" i="3"/>
  <c r="F103" i="3"/>
  <c r="F105" i="3"/>
  <c r="F106" i="3"/>
  <c r="F107" i="3"/>
  <c r="F108" i="3"/>
  <c r="F110" i="3"/>
  <c r="F111" i="3"/>
  <c r="F112" i="3"/>
  <c r="F113" i="3"/>
  <c r="F114" i="3"/>
  <c r="F115" i="3"/>
  <c r="F116" i="3"/>
  <c r="F118" i="3"/>
  <c r="E90" i="3"/>
  <c r="E91" i="3"/>
  <c r="E93" i="3"/>
  <c r="E94" i="3"/>
  <c r="E95" i="3"/>
  <c r="E96" i="3"/>
  <c r="E97" i="3"/>
  <c r="E98" i="3"/>
  <c r="E99" i="3"/>
  <c r="E100" i="3"/>
  <c r="E101" i="3"/>
  <c r="E102" i="3"/>
  <c r="E103" i="3"/>
  <c r="G103" i="3" s="1"/>
  <c r="E105" i="3"/>
  <c r="E106" i="3"/>
  <c r="E107" i="3"/>
  <c r="E108" i="3"/>
  <c r="E110" i="3"/>
  <c r="E111" i="3"/>
  <c r="E112" i="3"/>
  <c r="E113" i="3"/>
  <c r="E114" i="3"/>
  <c r="E115" i="3"/>
  <c r="E116" i="3"/>
  <c r="E118" i="3"/>
  <c r="E119" i="3"/>
  <c r="G119" i="3" s="1"/>
  <c r="C120" i="3"/>
  <c r="G100" i="3" l="1"/>
  <c r="G96" i="3"/>
  <c r="G114" i="3"/>
  <c r="G105" i="3"/>
  <c r="G115" i="3"/>
  <c r="G101" i="3"/>
  <c r="G97" i="3"/>
  <c r="G93" i="3"/>
  <c r="G118" i="3"/>
  <c r="G108" i="3"/>
  <c r="G91" i="3"/>
  <c r="G116" i="3"/>
  <c r="G112" i="3"/>
  <c r="G107" i="3"/>
  <c r="G113" i="3"/>
  <c r="G95" i="3"/>
  <c r="E120" i="3"/>
  <c r="G106" i="3"/>
  <c r="G102" i="3"/>
  <c r="G98" i="3"/>
  <c r="G94" i="3"/>
  <c r="G90" i="3"/>
  <c r="G111" i="3"/>
  <c r="G110" i="3"/>
  <c r="Q17" i="1" l="1"/>
  <c r="Q53" i="1" l="1"/>
  <c r="C19" i="4" l="1"/>
  <c r="C21" i="4"/>
  <c r="C22" i="4"/>
  <c r="C25" i="4"/>
  <c r="C27" i="4"/>
  <c r="C31" i="4"/>
  <c r="C32" i="4"/>
  <c r="C33" i="4"/>
  <c r="C49" i="4"/>
  <c r="C50" i="4"/>
  <c r="C51" i="4"/>
  <c r="C57" i="4"/>
  <c r="C60" i="4"/>
  <c r="C65" i="4"/>
  <c r="C68" i="4"/>
  <c r="C74" i="4"/>
  <c r="C75" i="4"/>
  <c r="C83" i="4"/>
  <c r="C85" i="4"/>
  <c r="C88" i="4"/>
  <c r="C91" i="4"/>
  <c r="C97" i="4"/>
  <c r="C100" i="4"/>
  <c r="C109" i="4"/>
  <c r="C115" i="4"/>
  <c r="C116" i="4"/>
  <c r="C132" i="4"/>
  <c r="C133" i="4"/>
  <c r="C135" i="4"/>
  <c r="C139" i="4"/>
  <c r="C142" i="4"/>
  <c r="C156" i="4"/>
  <c r="C157" i="4"/>
  <c r="C161" i="4"/>
  <c r="C162" i="4"/>
  <c r="C176" i="4"/>
  <c r="C178" i="4"/>
  <c r="Y87" i="3" l="1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C87" i="3"/>
  <c r="E86" i="3"/>
  <c r="E85" i="3"/>
  <c r="E84" i="3"/>
  <c r="E83" i="3"/>
  <c r="G82" i="3"/>
  <c r="D196" i="4" s="1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F68" i="3"/>
  <c r="C68" i="3"/>
  <c r="E67" i="3"/>
  <c r="G67" i="3" s="1"/>
  <c r="D202" i="4" s="1"/>
  <c r="E66" i="3"/>
  <c r="E68" i="3" s="1"/>
  <c r="Y64" i="3"/>
  <c r="Y122" i="3" s="1"/>
  <c r="X64" i="3"/>
  <c r="W64" i="3"/>
  <c r="W122" i="3" s="1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C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G20" i="3" s="1"/>
  <c r="D43" i="4" s="1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G81" i="3" l="1"/>
  <c r="D195" i="4" s="1"/>
  <c r="G73" i="3"/>
  <c r="D187" i="4" s="1"/>
  <c r="X122" i="3"/>
  <c r="C122" i="3"/>
  <c r="G68" i="3"/>
  <c r="G86" i="3"/>
  <c r="D200" i="4" s="1"/>
  <c r="G29" i="3"/>
  <c r="D82" i="4" s="1"/>
  <c r="G37" i="3"/>
  <c r="D101" i="4" s="1"/>
  <c r="G61" i="3"/>
  <c r="D177" i="4" s="1"/>
  <c r="G72" i="3"/>
  <c r="D186" i="4" s="1"/>
  <c r="G74" i="3"/>
  <c r="D188" i="4" s="1"/>
  <c r="G78" i="3"/>
  <c r="D192" i="4" s="1"/>
  <c r="G80" i="3"/>
  <c r="D194" i="4" s="1"/>
  <c r="G40" i="3"/>
  <c r="D108" i="4" s="1"/>
  <c r="G83" i="3"/>
  <c r="D197" i="4" s="1"/>
  <c r="G26" i="3"/>
  <c r="D71" i="4" s="1"/>
  <c r="G28" i="3"/>
  <c r="D81" i="4" s="1"/>
  <c r="G27" i="3"/>
  <c r="D72" i="4" s="1"/>
  <c r="G12" i="3"/>
  <c r="D5" i="4" s="1"/>
  <c r="G14" i="3"/>
  <c r="D18" i="4" s="1"/>
  <c r="G16" i="3"/>
  <c r="D24" i="4" s="1"/>
  <c r="G44" i="3"/>
  <c r="D113" i="4" s="1"/>
  <c r="G48" i="3"/>
  <c r="D120" i="4" s="1"/>
  <c r="G52" i="3"/>
  <c r="D156" i="4" s="1"/>
  <c r="G58" i="3"/>
  <c r="D172" i="4" s="1"/>
  <c r="G60" i="3"/>
  <c r="D176" i="4" s="1"/>
  <c r="G51" i="3"/>
  <c r="D153" i="4" s="1"/>
  <c r="G59" i="3"/>
  <c r="D175" i="4" s="1"/>
  <c r="G17" i="3"/>
  <c r="D25" i="4" s="1"/>
  <c r="G21" i="3"/>
  <c r="D49" i="4" s="1"/>
  <c r="G35" i="3"/>
  <c r="D92" i="4" s="1"/>
  <c r="G43" i="3"/>
  <c r="D112" i="4" s="1"/>
  <c r="G56" i="3"/>
  <c r="D164" i="4" s="1"/>
  <c r="G75" i="3"/>
  <c r="D189" i="4" s="1"/>
  <c r="E87" i="3"/>
  <c r="G24" i="3"/>
  <c r="D56" i="4" s="1"/>
  <c r="G32" i="3"/>
  <c r="D87" i="4" s="1"/>
  <c r="G34" i="3"/>
  <c r="D91" i="4" s="1"/>
  <c r="G36" i="3"/>
  <c r="D100" i="4" s="1"/>
  <c r="G42" i="3"/>
  <c r="D110" i="4" s="1"/>
  <c r="G45" i="3"/>
  <c r="D114" i="4" s="1"/>
  <c r="G53" i="3"/>
  <c r="D157" i="4" s="1"/>
  <c r="E64" i="3"/>
  <c r="E122" i="3" s="1"/>
  <c r="G18" i="3"/>
  <c r="D29" i="4" s="1"/>
  <c r="G25" i="3"/>
  <c r="D70" i="4" s="1"/>
  <c r="G38" i="3"/>
  <c r="D104" i="4" s="1"/>
  <c r="G41" i="3"/>
  <c r="D109" i="4" s="1"/>
  <c r="G47" i="3"/>
  <c r="D119" i="4" s="1"/>
  <c r="G54" i="3"/>
  <c r="D162" i="4" s="1"/>
  <c r="G57" i="3"/>
  <c r="D165" i="4" s="1"/>
  <c r="G63" i="3"/>
  <c r="D181" i="4" s="1"/>
  <c r="F87" i="3"/>
  <c r="G76" i="3"/>
  <c r="D190" i="4" s="1"/>
  <c r="G79" i="3"/>
  <c r="D193" i="4" s="1"/>
  <c r="G85" i="3"/>
  <c r="D199" i="4" s="1"/>
  <c r="G13" i="3"/>
  <c r="D17" i="4" s="1"/>
  <c r="G19" i="3"/>
  <c r="D32" i="4" s="1"/>
  <c r="G23" i="3"/>
  <c r="D55" i="4" s="1"/>
  <c r="G30" i="3"/>
  <c r="D83" i="4" s="1"/>
  <c r="G33" i="3"/>
  <c r="D90" i="4" s="1"/>
  <c r="G39" i="3"/>
  <c r="D106" i="4" s="1"/>
  <c r="G46" i="3"/>
  <c r="D117" i="4" s="1"/>
  <c r="G49" i="3"/>
  <c r="D121" i="4" s="1"/>
  <c r="G55" i="3"/>
  <c r="D163" i="4" s="1"/>
  <c r="G62" i="3"/>
  <c r="D180" i="4" s="1"/>
  <c r="G71" i="3"/>
  <c r="D185" i="4" s="1"/>
  <c r="G77" i="3"/>
  <c r="D191" i="4" s="1"/>
  <c r="G84" i="3"/>
  <c r="D198" i="4" s="1"/>
  <c r="G70" i="3"/>
  <c r="D184" i="4" s="1"/>
  <c r="G50" i="3"/>
  <c r="D141" i="4" s="1"/>
  <c r="G22" i="3"/>
  <c r="G31" i="3"/>
  <c r="D85" i="4" s="1"/>
  <c r="F64" i="3"/>
  <c r="G15" i="3"/>
  <c r="D22" i="4" s="1"/>
  <c r="G11" i="3"/>
  <c r="D4" i="4" s="1"/>
  <c r="G66" i="3"/>
  <c r="D201" i="4" s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P191" i="1"/>
  <c r="P181" i="1"/>
  <c r="P144" i="1"/>
  <c r="P85" i="1"/>
  <c r="G87" i="3" l="1"/>
  <c r="G64" i="3"/>
  <c r="D51" i="4"/>
  <c r="D204" i="4" s="1"/>
  <c r="O191" i="1"/>
  <c r="O96" i="1"/>
  <c r="N191" i="1" l="1"/>
  <c r="N74" i="1"/>
  <c r="M191" i="1" l="1"/>
  <c r="M144" i="1"/>
  <c r="M121" i="1"/>
  <c r="L191" i="1" l="1"/>
  <c r="K168" i="1" l="1"/>
  <c r="K191" i="1" s="1"/>
  <c r="I191" i="1" l="1"/>
  <c r="J191" i="1"/>
  <c r="J164" i="1"/>
  <c r="H191" i="1" l="1"/>
  <c r="D191" i="1" l="1"/>
  <c r="C191" i="1"/>
  <c r="F190" i="1"/>
  <c r="E190" i="1"/>
  <c r="G190" i="1" s="1"/>
  <c r="C183" i="4" s="1"/>
  <c r="F189" i="1"/>
  <c r="E189" i="1"/>
  <c r="F188" i="1"/>
  <c r="E188" i="1"/>
  <c r="F187" i="1"/>
  <c r="E187" i="1"/>
  <c r="F186" i="1"/>
  <c r="E186" i="1"/>
  <c r="F185" i="1"/>
  <c r="E185" i="1"/>
  <c r="F184" i="1"/>
  <c r="E184" i="1"/>
  <c r="G184" i="1" s="1"/>
  <c r="C177" i="4" s="1"/>
  <c r="F183" i="1"/>
  <c r="E183" i="1"/>
  <c r="G183" i="1" s="1"/>
  <c r="F182" i="1"/>
  <c r="E182" i="1"/>
  <c r="F181" i="1"/>
  <c r="E181" i="1"/>
  <c r="F180" i="1"/>
  <c r="E180" i="1"/>
  <c r="F179" i="1"/>
  <c r="E179" i="1"/>
  <c r="G179" i="1" s="1"/>
  <c r="C172" i="4" s="1"/>
  <c r="F178" i="1"/>
  <c r="E178" i="1"/>
  <c r="F177" i="1"/>
  <c r="E177" i="1"/>
  <c r="G177" i="1" s="1"/>
  <c r="C170" i="4" s="1"/>
  <c r="F176" i="1"/>
  <c r="E176" i="1"/>
  <c r="F175" i="1"/>
  <c r="E175" i="1"/>
  <c r="F174" i="1"/>
  <c r="E174" i="1"/>
  <c r="G174" i="1" s="1"/>
  <c r="C167" i="4" s="1"/>
  <c r="F173" i="1"/>
  <c r="E173" i="1"/>
  <c r="F172" i="1"/>
  <c r="E172" i="1"/>
  <c r="F171" i="1"/>
  <c r="E171" i="1"/>
  <c r="G171" i="1" s="1"/>
  <c r="C164" i="4" s="1"/>
  <c r="F170" i="1"/>
  <c r="E170" i="1"/>
  <c r="F169" i="1"/>
  <c r="E169" i="1"/>
  <c r="G169" i="1" s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G157" i="1" s="1"/>
  <c r="C150" i="4" s="1"/>
  <c r="F156" i="1"/>
  <c r="E156" i="1"/>
  <c r="F155" i="1"/>
  <c r="E155" i="1"/>
  <c r="G155" i="1" s="1"/>
  <c r="C148" i="4" s="1"/>
  <c r="F154" i="1"/>
  <c r="E154" i="1"/>
  <c r="F153" i="1"/>
  <c r="E153" i="1"/>
  <c r="G153" i="1" s="1"/>
  <c r="C146" i="4" s="1"/>
  <c r="F152" i="1"/>
  <c r="E152" i="1"/>
  <c r="F151" i="1"/>
  <c r="E151" i="1"/>
  <c r="F150" i="1"/>
  <c r="E150" i="1"/>
  <c r="F149" i="1"/>
  <c r="E149" i="1"/>
  <c r="G149" i="1" s="1"/>
  <c r="F148" i="1"/>
  <c r="E148" i="1"/>
  <c r="F147" i="1"/>
  <c r="E147" i="1"/>
  <c r="F146" i="1"/>
  <c r="E146" i="1"/>
  <c r="F145" i="1"/>
  <c r="E145" i="1"/>
  <c r="G145" i="1" s="1"/>
  <c r="C138" i="4" s="1"/>
  <c r="F144" i="1"/>
  <c r="E144" i="1"/>
  <c r="F143" i="1"/>
  <c r="E143" i="1"/>
  <c r="G143" i="1" s="1"/>
  <c r="C136" i="4" s="1"/>
  <c r="F142" i="1"/>
  <c r="E142" i="1"/>
  <c r="F141" i="1"/>
  <c r="E141" i="1"/>
  <c r="G141" i="1" s="1"/>
  <c r="C134" i="4" s="1"/>
  <c r="F140" i="1"/>
  <c r="E140" i="1"/>
  <c r="F139" i="1"/>
  <c r="E139" i="1"/>
  <c r="G139" i="1" s="1"/>
  <c r="F138" i="1"/>
  <c r="E138" i="1"/>
  <c r="F137" i="1"/>
  <c r="E137" i="1"/>
  <c r="G137" i="1" s="1"/>
  <c r="C130" i="4" s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G125" i="1" s="1"/>
  <c r="C118" i="4" s="1"/>
  <c r="F124" i="1"/>
  <c r="E124" i="1"/>
  <c r="F123" i="1"/>
  <c r="E123" i="1"/>
  <c r="F122" i="1"/>
  <c r="E122" i="1"/>
  <c r="F121" i="1"/>
  <c r="E121" i="1"/>
  <c r="F120" i="1"/>
  <c r="E120" i="1"/>
  <c r="F119" i="1"/>
  <c r="E119" i="1"/>
  <c r="G119" i="1" s="1"/>
  <c r="C112" i="4" s="1"/>
  <c r="F118" i="1"/>
  <c r="E118" i="1"/>
  <c r="F117" i="1"/>
  <c r="E117" i="1"/>
  <c r="G117" i="1" s="1"/>
  <c r="C110" i="4" s="1"/>
  <c r="F116" i="1"/>
  <c r="E116" i="1"/>
  <c r="F115" i="1"/>
  <c r="E115" i="1"/>
  <c r="F114" i="1"/>
  <c r="E114" i="1"/>
  <c r="F113" i="1"/>
  <c r="E113" i="1"/>
  <c r="G113" i="1" s="1"/>
  <c r="C106" i="4" s="1"/>
  <c r="F112" i="1"/>
  <c r="E112" i="1"/>
  <c r="F111" i="1"/>
  <c r="E111" i="1"/>
  <c r="G111" i="1" s="1"/>
  <c r="C104" i="4" s="1"/>
  <c r="F110" i="1"/>
  <c r="E110" i="1"/>
  <c r="F109" i="1"/>
  <c r="E109" i="1"/>
  <c r="G109" i="1" s="1"/>
  <c r="C102" i="4" s="1"/>
  <c r="F108" i="1"/>
  <c r="E108" i="1"/>
  <c r="F107" i="1"/>
  <c r="E107" i="1"/>
  <c r="G107" i="1" s="1"/>
  <c r="F106" i="1"/>
  <c r="E106" i="1"/>
  <c r="F105" i="1"/>
  <c r="E105" i="1"/>
  <c r="G105" i="1" s="1"/>
  <c r="C98" i="4" s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G91" i="1" s="1"/>
  <c r="C84" i="4" s="1"/>
  <c r="F90" i="1"/>
  <c r="E90" i="1"/>
  <c r="F89" i="1"/>
  <c r="E89" i="1"/>
  <c r="G89" i="1" s="1"/>
  <c r="C82" i="4" s="1"/>
  <c r="F88" i="1"/>
  <c r="E88" i="1"/>
  <c r="F87" i="1"/>
  <c r="E87" i="1"/>
  <c r="G87" i="1" s="1"/>
  <c r="C80" i="4" s="1"/>
  <c r="F86" i="1"/>
  <c r="E86" i="1"/>
  <c r="F85" i="1"/>
  <c r="E85" i="1"/>
  <c r="F84" i="1"/>
  <c r="E84" i="1"/>
  <c r="F83" i="1"/>
  <c r="E83" i="1"/>
  <c r="G83" i="1" s="1"/>
  <c r="C76" i="4" s="1"/>
  <c r="F82" i="1"/>
  <c r="E82" i="1"/>
  <c r="F81" i="1"/>
  <c r="E81" i="1"/>
  <c r="G81" i="1" s="1"/>
  <c r="F80" i="1"/>
  <c r="E80" i="1"/>
  <c r="F79" i="1"/>
  <c r="E79" i="1"/>
  <c r="G79" i="1" s="1"/>
  <c r="C72" i="4" s="1"/>
  <c r="F78" i="1"/>
  <c r="E78" i="1"/>
  <c r="F77" i="1"/>
  <c r="E77" i="1"/>
  <c r="G77" i="1" s="1"/>
  <c r="C70" i="4" s="1"/>
  <c r="F76" i="1"/>
  <c r="E76" i="1"/>
  <c r="F75" i="1"/>
  <c r="E75" i="1"/>
  <c r="F74" i="1"/>
  <c r="E74" i="1"/>
  <c r="F73" i="1"/>
  <c r="E73" i="1"/>
  <c r="G73" i="1" s="1"/>
  <c r="C66" i="4" s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G63" i="1" s="1"/>
  <c r="C56" i="4" s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G46" i="1" s="1"/>
  <c r="C39" i="4" s="1"/>
  <c r="F45" i="1"/>
  <c r="E45" i="1"/>
  <c r="F44" i="1"/>
  <c r="E44" i="1"/>
  <c r="F43" i="1"/>
  <c r="E43" i="1"/>
  <c r="F42" i="1"/>
  <c r="E42" i="1"/>
  <c r="G42" i="1" s="1"/>
  <c r="C35" i="4" s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G32" i="1" s="1"/>
  <c r="F31" i="1"/>
  <c r="E31" i="1"/>
  <c r="G31" i="1" s="1"/>
  <c r="C24" i="4" s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G170" i="1" l="1"/>
  <c r="C163" i="4" s="1"/>
  <c r="G187" i="1"/>
  <c r="C180" i="4" s="1"/>
  <c r="G115" i="1"/>
  <c r="C108" i="4" s="1"/>
  <c r="G186" i="1"/>
  <c r="C179" i="4" s="1"/>
  <c r="G175" i="1"/>
  <c r="C168" i="4" s="1"/>
  <c r="G189" i="1"/>
  <c r="C182" i="4" s="1"/>
  <c r="G93" i="1"/>
  <c r="C86" i="4" s="1"/>
  <c r="G173" i="1"/>
  <c r="C166" i="4" s="1"/>
  <c r="G185" i="1"/>
  <c r="G181" i="1"/>
  <c r="C174" i="4" s="1"/>
  <c r="G38" i="1"/>
  <c r="G147" i="1"/>
  <c r="C140" i="4" s="1"/>
  <c r="G116" i="1"/>
  <c r="G148" i="1"/>
  <c r="C141" i="4" s="1"/>
  <c r="G84" i="1"/>
  <c r="C77" i="4" s="1"/>
  <c r="G24" i="1"/>
  <c r="C17" i="4" s="1"/>
  <c r="G30" i="1"/>
  <c r="C23" i="4" s="1"/>
  <c r="G39" i="1"/>
  <c r="E191" i="1"/>
  <c r="G13" i="1"/>
  <c r="C6" i="4" s="1"/>
  <c r="G17" i="1"/>
  <c r="C10" i="4" s="1"/>
  <c r="G21" i="1"/>
  <c r="C14" i="4" s="1"/>
  <c r="G23" i="1"/>
  <c r="C16" i="4" s="1"/>
  <c r="G25" i="1"/>
  <c r="C18" i="4" s="1"/>
  <c r="G27" i="1"/>
  <c r="C20" i="4" s="1"/>
  <c r="G29" i="1"/>
  <c r="G52" i="1"/>
  <c r="C45" i="4" s="1"/>
  <c r="G70" i="1"/>
  <c r="C63" i="4" s="1"/>
  <c r="G78" i="1"/>
  <c r="C71" i="4" s="1"/>
  <c r="G88" i="1"/>
  <c r="C81" i="4" s="1"/>
  <c r="G90" i="1"/>
  <c r="G94" i="1"/>
  <c r="C87" i="4" s="1"/>
  <c r="G96" i="1"/>
  <c r="C89" i="4" s="1"/>
  <c r="G98" i="1"/>
  <c r="G106" i="1"/>
  <c r="C99" i="4" s="1"/>
  <c r="G110" i="1"/>
  <c r="C103" i="4" s="1"/>
  <c r="G120" i="1"/>
  <c r="C113" i="4" s="1"/>
  <c r="G128" i="1"/>
  <c r="C121" i="4" s="1"/>
  <c r="G130" i="1"/>
  <c r="C123" i="4" s="1"/>
  <c r="G134" i="1"/>
  <c r="C127" i="4" s="1"/>
  <c r="G136" i="1"/>
  <c r="C129" i="4" s="1"/>
  <c r="G138" i="1"/>
  <c r="C131" i="4" s="1"/>
  <c r="G142" i="1"/>
  <c r="G154" i="1"/>
  <c r="C147" i="4" s="1"/>
  <c r="G158" i="1"/>
  <c r="C151" i="4" s="1"/>
  <c r="G160" i="1"/>
  <c r="C153" i="4" s="1"/>
  <c r="G162" i="1"/>
  <c r="C155" i="4" s="1"/>
  <c r="G166" i="1"/>
  <c r="C159" i="4" s="1"/>
  <c r="G41" i="1"/>
  <c r="C34" i="4" s="1"/>
  <c r="G43" i="1"/>
  <c r="C36" i="4" s="1"/>
  <c r="G45" i="1"/>
  <c r="C38" i="4" s="1"/>
  <c r="G47" i="1"/>
  <c r="C40" i="4" s="1"/>
  <c r="G49" i="1"/>
  <c r="C42" i="4" s="1"/>
  <c r="G51" i="1"/>
  <c r="C44" i="4" s="1"/>
  <c r="G53" i="1"/>
  <c r="C46" i="4" s="1"/>
  <c r="G55" i="1"/>
  <c r="C48" i="4" s="1"/>
  <c r="G59" i="1"/>
  <c r="C52" i="4" s="1"/>
  <c r="G180" i="1"/>
  <c r="C173" i="4" s="1"/>
  <c r="G20" i="1"/>
  <c r="C13" i="4" s="1"/>
  <c r="G71" i="1"/>
  <c r="C64" i="4" s="1"/>
  <c r="G95" i="1"/>
  <c r="G103" i="1"/>
  <c r="C96" i="4" s="1"/>
  <c r="G127" i="1"/>
  <c r="C120" i="4" s="1"/>
  <c r="G135" i="1"/>
  <c r="C128" i="4" s="1"/>
  <c r="G159" i="1"/>
  <c r="C152" i="4" s="1"/>
  <c r="G167" i="1"/>
  <c r="C160" i="4" s="1"/>
  <c r="G56" i="1"/>
  <c r="G126" i="1"/>
  <c r="C119" i="4" s="1"/>
  <c r="G102" i="1"/>
  <c r="C95" i="4" s="1"/>
  <c r="G58" i="1"/>
  <c r="G40" i="1"/>
  <c r="G14" i="1"/>
  <c r="C7" i="4" s="1"/>
  <c r="G152" i="1"/>
  <c r="C145" i="4" s="1"/>
  <c r="G151" i="1"/>
  <c r="C144" i="4" s="1"/>
  <c r="G66" i="1"/>
  <c r="C59" i="4" s="1"/>
  <c r="G15" i="1"/>
  <c r="C8" i="4" s="1"/>
  <c r="G61" i="1"/>
  <c r="C54" i="4" s="1"/>
  <c r="G74" i="1"/>
  <c r="C67" i="4" s="1"/>
  <c r="G62" i="1"/>
  <c r="C55" i="4" s="1"/>
  <c r="G19" i="1"/>
  <c r="C12" i="4" s="1"/>
  <c r="G34" i="1"/>
  <c r="G72" i="1"/>
  <c r="G85" i="1"/>
  <c r="C78" i="4" s="1"/>
  <c r="G121" i="1"/>
  <c r="C114" i="4" s="1"/>
  <c r="G168" i="1"/>
  <c r="G104" i="1"/>
  <c r="G26" i="1"/>
  <c r="G123" i="1"/>
  <c r="G122" i="1"/>
  <c r="G75" i="1"/>
  <c r="G64" i="1"/>
  <c r="G57" i="1"/>
  <c r="G28" i="1"/>
  <c r="G60" i="1"/>
  <c r="C53" i="4" s="1"/>
  <c r="G92" i="1"/>
  <c r="G124" i="1"/>
  <c r="C117" i="4" s="1"/>
  <c r="G156" i="1"/>
  <c r="C149" i="4" s="1"/>
  <c r="G188" i="1"/>
  <c r="C181" i="4" s="1"/>
  <c r="G36" i="1"/>
  <c r="C29" i="4" s="1"/>
  <c r="G68" i="1"/>
  <c r="C61" i="4" s="1"/>
  <c r="G100" i="1"/>
  <c r="C93" i="4" s="1"/>
  <c r="G132" i="1"/>
  <c r="C125" i="4" s="1"/>
  <c r="G164" i="1"/>
  <c r="G12" i="1"/>
  <c r="C5" i="4" s="1"/>
  <c r="G16" i="1"/>
  <c r="C9" i="4" s="1"/>
  <c r="G18" i="1"/>
  <c r="C11" i="4" s="1"/>
  <c r="G22" i="1"/>
  <c r="C15" i="4" s="1"/>
  <c r="G33" i="1"/>
  <c r="C26" i="4" s="1"/>
  <c r="G35" i="1"/>
  <c r="C28" i="4" s="1"/>
  <c r="G37" i="1"/>
  <c r="C30" i="4" s="1"/>
  <c r="G44" i="1"/>
  <c r="C37" i="4" s="1"/>
  <c r="G48" i="1"/>
  <c r="C41" i="4" s="1"/>
  <c r="G50" i="1"/>
  <c r="C43" i="4" s="1"/>
  <c r="G54" i="1"/>
  <c r="C47" i="4" s="1"/>
  <c r="G65" i="1"/>
  <c r="C58" i="4" s="1"/>
  <c r="G67" i="1"/>
  <c r="G69" i="1"/>
  <c r="C62" i="4" s="1"/>
  <c r="G76" i="1"/>
  <c r="C69" i="4" s="1"/>
  <c r="G80" i="1"/>
  <c r="C73" i="4" s="1"/>
  <c r="G82" i="1"/>
  <c r="G86" i="1"/>
  <c r="C79" i="4" s="1"/>
  <c r="G97" i="1"/>
  <c r="C90" i="4" s="1"/>
  <c r="G99" i="1"/>
  <c r="C92" i="4" s="1"/>
  <c r="G101" i="1"/>
  <c r="C94" i="4" s="1"/>
  <c r="G108" i="1"/>
  <c r="C101" i="4" s="1"/>
  <c r="G112" i="1"/>
  <c r="C105" i="4" s="1"/>
  <c r="G114" i="1"/>
  <c r="C107" i="4" s="1"/>
  <c r="G118" i="1"/>
  <c r="C111" i="4" s="1"/>
  <c r="G129" i="1"/>
  <c r="C122" i="4" s="1"/>
  <c r="G131" i="1"/>
  <c r="C124" i="4" s="1"/>
  <c r="G133" i="1"/>
  <c r="C126" i="4" s="1"/>
  <c r="G140" i="1"/>
  <c r="G144" i="1"/>
  <c r="C137" i="4" s="1"/>
  <c r="G146" i="1"/>
  <c r="G150" i="1"/>
  <c r="C143" i="4" s="1"/>
  <c r="G161" i="1"/>
  <c r="C154" i="4" s="1"/>
  <c r="G163" i="1"/>
  <c r="G165" i="1"/>
  <c r="C158" i="4" s="1"/>
  <c r="G172" i="1"/>
  <c r="C165" i="4" s="1"/>
  <c r="G176" i="1"/>
  <c r="C169" i="4" s="1"/>
  <c r="G178" i="1"/>
  <c r="C171" i="4" s="1"/>
  <c r="G182" i="1"/>
  <c r="C175" i="4" s="1"/>
  <c r="F191" i="1"/>
  <c r="G11" i="1"/>
  <c r="C4" i="4" s="1"/>
  <c r="C204" i="4" l="1"/>
  <c r="G191" i="1"/>
  <c r="F99" i="3" l="1"/>
  <c r="F120" i="3" s="1"/>
  <c r="F122" i="3" s="1"/>
  <c r="G99" i="3" l="1"/>
  <c r="G120" i="3" s="1"/>
  <c r="G122" i="3" s="1"/>
</calcChain>
</file>

<file path=xl/sharedStrings.xml><?xml version="1.0" encoding="utf-8"?>
<sst xmlns="http://schemas.openxmlformats.org/spreadsheetml/2006/main" count="1078" uniqueCount="610">
  <si>
    <t>Grant:</t>
  </si>
  <si>
    <t>ESSER Funding</t>
  </si>
  <si>
    <t>CFDA #</t>
  </si>
  <si>
    <t>84.425D</t>
  </si>
  <si>
    <t>GRANT NUMBER:</t>
  </si>
  <si>
    <t>Questions regarding payments:</t>
  </si>
  <si>
    <t>Joe Shields 303-866-6034 or Shields_J@cde.state.co.us</t>
  </si>
  <si>
    <t xml:space="preserve">Questions regarding grant: </t>
  </si>
  <si>
    <t xml:space="preserve">Robert Hawkins 303-866-6775 or hawkins_r@cde.state.co.us </t>
  </si>
  <si>
    <t>Steven Kaleda 303-866-6724 or kaleda_S@cde.state.co.us</t>
  </si>
  <si>
    <t>GBL/ORG</t>
  </si>
  <si>
    <t>PAYMENTS PROCESSED:</t>
  </si>
  <si>
    <t>GRANT PERIOD:</t>
  </si>
  <si>
    <t>Code</t>
  </si>
  <si>
    <t>District</t>
  </si>
  <si>
    <t>Allocation</t>
  </si>
  <si>
    <t>Assignments</t>
  </si>
  <si>
    <t>Total  with Signover and Declines</t>
  </si>
  <si>
    <t>Payments to Date</t>
  </si>
  <si>
    <t>Balance of Grant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</si>
  <si>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</si>
  <si>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</si>
  <si>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</si>
  <si>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</si>
  <si>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</si>
  <si>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</si>
  <si>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</si>
  <si>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</si>
  <si>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</si>
  <si>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</si>
  <si>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</si>
  <si>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</si>
  <si>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</si>
  <si>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</si>
  <si>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</si>
  <si>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</si>
  <si>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</si>
  <si>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</si>
  <si>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</si>
  <si>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</si>
  <si>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</si>
  <si>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</si>
  <si>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</si>
  <si>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</si>
  <si>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</si>
  <si>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</si>
  <si>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</si>
  <si>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</si>
  <si>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</si>
  <si>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</si>
  <si>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</si>
  <si>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</si>
  <si>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</si>
  <si>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</si>
  <si>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</si>
  <si>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</si>
  <si>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</si>
  <si>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</si>
  <si>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</si>
  <si>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</si>
  <si>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</si>
  <si>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</si>
  <si>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</si>
  <si>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</si>
  <si>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</si>
  <si>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</si>
  <si>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</si>
  <si>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</si>
  <si>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</si>
  <si>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</si>
  <si>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</si>
  <si>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</si>
  <si>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</si>
  <si>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</si>
  <si>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</si>
  <si>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</si>
  <si>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</si>
  <si>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</si>
  <si>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</si>
  <si>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</si>
  <si>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</si>
  <si>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</si>
  <si>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</si>
  <si>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</si>
  <si>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</si>
  <si>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</si>
  <si>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</si>
  <si>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</si>
  <si>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</si>
  <si>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</si>
  <si>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</si>
  <si>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</si>
  <si>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</si>
  <si>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</si>
  <si>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</si>
  <si>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</si>
  <si>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</si>
  <si>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</si>
  <si>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</si>
  <si>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</si>
  <si>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</si>
  <si>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</si>
  <si>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</si>
  <si>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</si>
  <si>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</si>
  <si>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</si>
  <si>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</si>
  <si>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</si>
  <si>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</si>
  <si>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</si>
  <si>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</si>
  <si>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</si>
  <si>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</si>
  <si>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</si>
  <si>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</si>
  <si>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</si>
  <si>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</si>
  <si>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</si>
  <si>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</si>
  <si>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</si>
  <si>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</si>
  <si>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</si>
  <si>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</si>
  <si>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</si>
  <si>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</si>
  <si>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</si>
  <si>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</si>
  <si>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</si>
  <si>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</si>
  <si>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</si>
  <si>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</si>
  <si>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</si>
  <si>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</si>
  <si>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</si>
  <si>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</si>
  <si>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</si>
  <si>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</si>
  <si>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</si>
  <si>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</si>
  <si>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</si>
  <si>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</si>
  <si>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</si>
  <si>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</si>
  <si>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</si>
  <si>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</si>
  <si>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</si>
  <si>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</si>
  <si>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</si>
  <si>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</si>
  <si>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</si>
  <si>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</si>
  <si>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</si>
  <si>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</si>
  <si>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</si>
  <si>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</si>
  <si>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</si>
  <si>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</si>
  <si>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</si>
  <si>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</si>
  <si>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</si>
  <si>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</si>
  <si>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</si>
  <si>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</si>
  <si>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</si>
  <si>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</si>
  <si>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</si>
  <si>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</si>
  <si>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</si>
  <si>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</si>
  <si>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</si>
  <si>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</si>
  <si>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</si>
  <si>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</si>
  <si>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</si>
  <si>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</si>
  <si>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</si>
  <si>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</si>
  <si>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</si>
  <si>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</si>
  <si>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</si>
  <si>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</si>
  <si>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</si>
  <si>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</si>
  <si>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</si>
  <si>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</si>
  <si>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</si>
  <si>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</si>
  <si>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</si>
  <si>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</si>
  <si>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</si>
  <si>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</si>
  <si>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</si>
  <si>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</si>
  <si>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</si>
  <si>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</si>
  <si>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</si>
  <si>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</si>
  <si>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</si>
  <si>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</si>
  <si>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</si>
  <si>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</si>
  <si>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</si>
  <si>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</si>
  <si>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Estes Park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</si>
  <si>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</si>
  <si>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</si>
  <si>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</si>
  <si>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</si>
  <si>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</si>
  <si>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</si>
  <si>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</si>
  <si>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</si>
  <si>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</si>
  <si>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</si>
  <si>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</si>
  <si>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</si>
  <si>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</si>
  <si>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</si>
  <si>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</si>
  <si>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</si>
  <si>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</si>
  <si>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</si>
  <si>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</si>
  <si>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</si>
  <si>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</si>
  <si>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</si>
  <si>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</si>
  <si>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</si>
  <si>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</si>
  <si>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</si>
  <si>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</si>
  <si>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</si>
  <si>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</si>
  <si>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</si>
  <si>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</si>
  <si>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</si>
  <si>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</si>
  <si>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</si>
  <si>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</si>
  <si>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</si>
  <si>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</si>
  <si>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</si>
  <si>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</si>
  <si>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</si>
  <si>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</si>
  <si>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</si>
  <si>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</si>
  <si>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</si>
  <si>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</si>
  <si>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</si>
  <si>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</si>
  <si>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</si>
  <si>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</si>
  <si>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</si>
  <si>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</si>
  <si>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</si>
  <si>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</si>
  <si>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</si>
  <si>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</si>
  <si>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</si>
  <si>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</si>
  <si>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</si>
  <si>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</si>
  <si>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</si>
  <si>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</si>
  <si>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</si>
  <si>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</si>
  <si>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</si>
  <si>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</si>
  <si>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</si>
  <si>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</si>
  <si>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</si>
  <si>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</si>
  <si>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</si>
  <si>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</si>
  <si>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</si>
  <si>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</si>
  <si>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</si>
  <si>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</si>
  <si>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</si>
  <si>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</si>
  <si>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</si>
  <si>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</si>
  <si>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</si>
  <si>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</si>
  <si>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</si>
  <si>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</si>
  <si>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</si>
  <si>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</si>
  <si>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</si>
  <si>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</si>
  <si>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</si>
  <si>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</si>
  <si>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</si>
  <si>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</si>
  <si>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</si>
  <si>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</si>
  <si>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</si>
  <si>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</si>
  <si>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</si>
  <si>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</si>
  <si>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</si>
  <si>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</si>
  <si>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</si>
  <si>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</si>
  <si>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</si>
  <si>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</si>
  <si>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</si>
  <si>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</si>
  <si>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</si>
  <si>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</si>
  <si>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</si>
  <si>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</si>
  <si>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</si>
  <si>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</si>
  <si>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</si>
  <si>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</si>
  <si>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</si>
  <si>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</si>
  <si>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</si>
  <si>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</si>
  <si>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</si>
  <si>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</si>
  <si>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</si>
  <si>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</si>
  <si>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</si>
  <si>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</si>
  <si>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Revere School District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</si>
  <si>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</si>
  <si>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</si>
  <si>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</si>
  <si>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</si>
  <si>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</si>
  <si>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</si>
  <si>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</si>
  <si>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</si>
  <si>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</si>
  <si>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</si>
  <si>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</si>
  <si>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</si>
  <si>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</si>
  <si>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</si>
  <si>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</si>
  <si>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</si>
  <si>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</si>
  <si>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</si>
  <si>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</si>
  <si>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</si>
  <si>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</si>
  <si>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</si>
  <si>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</si>
  <si>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</si>
  <si>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</si>
  <si>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</si>
  <si>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</si>
  <si>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</si>
  <si>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</si>
  <si>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</si>
  <si>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</si>
  <si>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</si>
  <si>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</si>
  <si>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</si>
  <si>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</si>
  <si>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</si>
  <si>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</si>
  <si>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</si>
  <si>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</si>
  <si>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</si>
  <si>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</si>
  <si>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</si>
  <si>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</si>
  <si>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</si>
  <si>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</si>
  <si>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</si>
  <si>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</si>
  <si>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</si>
  <si>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</si>
  <si>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</si>
  <si>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9000</t>
  </si>
  <si>
    <t>Colorado School for the Deaf and Blind</t>
  </si>
  <si>
    <t>Totals</t>
  </si>
  <si>
    <t>July
2020</t>
  </si>
  <si>
    <t>August
2020</t>
  </si>
  <si>
    <t>September
2020</t>
  </si>
  <si>
    <t>October
2020</t>
  </si>
  <si>
    <t>November
2020</t>
  </si>
  <si>
    <t>December
2020</t>
  </si>
  <si>
    <t>January
2021</t>
  </si>
  <si>
    <t>February
2021</t>
  </si>
  <si>
    <t>March
2021</t>
  </si>
  <si>
    <t>April
2021</t>
  </si>
  <si>
    <t>May
2021</t>
  </si>
  <si>
    <t>June
2021</t>
  </si>
  <si>
    <t>July
2021</t>
  </si>
  <si>
    <t>August
2021</t>
  </si>
  <si>
    <t>September
2021</t>
  </si>
  <si>
    <t>October
2021</t>
  </si>
  <si>
    <t>November
2021</t>
  </si>
  <si>
    <t>December
2021</t>
  </si>
  <si>
    <t>January
2022</t>
  </si>
  <si>
    <t>February
2022</t>
  </si>
  <si>
    <t>March
2022</t>
  </si>
  <si>
    <t>April
2022</t>
  </si>
  <si>
    <t>May
2022</t>
  </si>
  <si>
    <t>June
2022</t>
  </si>
  <si>
    <t>July
2022</t>
  </si>
  <si>
    <t>August
2022</t>
  </si>
  <si>
    <t>September
2022</t>
  </si>
  <si>
    <t>5/07/20 THROUGH 9/30/22</t>
  </si>
  <si>
    <t>ESSER Supplemental Funding</t>
  </si>
  <si>
    <t>South Utes</t>
  </si>
  <si>
    <t>Ute Mountain Utes</t>
  </si>
  <si>
    <t>9025</t>
  </si>
  <si>
    <t>East Central BOCES</t>
  </si>
  <si>
    <t>9040</t>
  </si>
  <si>
    <t>9030</t>
  </si>
  <si>
    <t>Mountain BOCES</t>
  </si>
  <si>
    <t>9035</t>
  </si>
  <si>
    <t>Centennial BOCES</t>
  </si>
  <si>
    <t>Northeast BOCES</t>
  </si>
  <si>
    <t>9045</t>
  </si>
  <si>
    <t>Pikes Peak BOCES</t>
  </si>
  <si>
    <t>9050</t>
  </si>
  <si>
    <t>San Juan BOCES</t>
  </si>
  <si>
    <t>9055</t>
  </si>
  <si>
    <t>San Luis Valley BOCES</t>
  </si>
  <si>
    <t>9060</t>
  </si>
  <si>
    <t>South Central BOCES</t>
  </si>
  <si>
    <t>9075</t>
  </si>
  <si>
    <t>Southeastern BOCES</t>
  </si>
  <si>
    <t>9125</t>
  </si>
  <si>
    <t>Rio Blanco BOCES</t>
  </si>
  <si>
    <t>9130</t>
  </si>
  <si>
    <t>Expeditionary BOCES</t>
  </si>
  <si>
    <t>9140</t>
  </si>
  <si>
    <t>Mt Evans BOCES</t>
  </si>
  <si>
    <t>9145</t>
  </si>
  <si>
    <t>Uncompahgre BOCES</t>
  </si>
  <si>
    <t>9150</t>
  </si>
  <si>
    <t>Santa Fe Trail BOCES</t>
  </si>
  <si>
    <t>9165</t>
  </si>
  <si>
    <t>Ute Pass BOCES</t>
  </si>
  <si>
    <t>9170</t>
  </si>
  <si>
    <t>Colorado Digital BOCES</t>
  </si>
  <si>
    <t>9175</t>
  </si>
  <si>
    <t>Colorado River BOCES</t>
  </si>
  <si>
    <t>47SF/7000</t>
  </si>
  <si>
    <t>47SD/7000</t>
  </si>
  <si>
    <t>8th OF EACH MONTH</t>
  </si>
  <si>
    <t>Y093</t>
  </si>
  <si>
    <t>District Name</t>
  </si>
  <si>
    <t>Northglenn-Thornton 12</t>
  </si>
  <si>
    <t>Brighton 27J</t>
  </si>
  <si>
    <t>Westminster 50</t>
  </si>
  <si>
    <t>Alamosa Re-11J</t>
  </si>
  <si>
    <t>Sangre De Cristo Re-22J</t>
  </si>
  <si>
    <t>Archuleta County 50 Jt</t>
  </si>
  <si>
    <t>Walsh Re-1</t>
  </si>
  <si>
    <t>Pritchett Re-3</t>
  </si>
  <si>
    <t>Springfield Re-4</t>
  </si>
  <si>
    <t>Vilas Re-5</t>
  </si>
  <si>
    <t>Las Animas Re-1</t>
  </si>
  <si>
    <t>Mc Clave Re-2</t>
  </si>
  <si>
    <t>Cheyenne County Re-5</t>
  </si>
  <si>
    <t>Clear Creek Re-1</t>
  </si>
  <si>
    <t>North Conejos Re-1J</t>
  </si>
  <si>
    <t>South Conejos Re-10</t>
  </si>
  <si>
    <t>Crowley County Re-1-J</t>
  </si>
  <si>
    <t>Consolidated C-1</t>
  </si>
  <si>
    <t>Dolores County Re No.2</t>
  </si>
  <si>
    <t>Douglas County Re 1</t>
  </si>
  <si>
    <t>Peyton 23 Jt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</si>
  <si>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</si>
  <si>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</si>
  <si>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</si>
  <si>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</si>
  <si>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</si>
  <si>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</si>
  <si>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</si>
  <si>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Gilpin County Re-1</t>
  </si>
  <si>
    <t>West Grand 1-Jt.</t>
  </si>
  <si>
    <t>Huerfano Re-1</t>
  </si>
  <si>
    <t>La Veta Re-2</t>
  </si>
  <si>
    <t>Eads Re-1</t>
  </si>
  <si>
    <t>Plainview Re-2</t>
  </si>
  <si>
    <t>Burlington Re-6J</t>
  </si>
  <si>
    <t>Ignacio 11 Jt</t>
  </si>
  <si>
    <t>Thompson R-2J</t>
  </si>
  <si>
    <t>Park (Estes Park) R-3</t>
  </si>
  <si>
    <t xml:space="preserve">Aguilar Reorganized 6 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</si>
  <si>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</si>
  <si>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</si>
  <si>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</si>
  <si>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</si>
  <si>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</si>
  <si>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</si>
  <si>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</si>
  <si>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</si>
  <si>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</si>
  <si>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</si>
  <si>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</si>
  <si>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</si>
  <si>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</si>
  <si>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</si>
  <si>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</si>
  <si>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</si>
  <si>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</si>
  <si>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</si>
  <si>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Park County Re-2</t>
  </si>
  <si>
    <t>Holyoke Re-1J</t>
  </si>
  <si>
    <t>Haxtun Re-2J</t>
  </si>
  <si>
    <t>Granada Re-1</t>
  </si>
  <si>
    <t>Lamar Re-2</t>
  </si>
  <si>
    <t>Holly Re-3</t>
  </si>
  <si>
    <t>Wiley Re-13 Jt</t>
  </si>
  <si>
    <t>Pueblo County Rural 70</t>
  </si>
  <si>
    <t>Rangely Re-4</t>
  </si>
  <si>
    <t>Sargent Re-33J</t>
  </si>
  <si>
    <t>Hayden Re-1</t>
  </si>
  <si>
    <t>Steamboat Springs Re-2</t>
  </si>
  <si>
    <t>Center 26 Jt</t>
  </si>
  <si>
    <t>Julesburg Re-1</t>
  </si>
  <si>
    <t>Summit Re-1</t>
  </si>
  <si>
    <t>Cripple Creek-Victor Re-1</t>
  </si>
  <si>
    <t>Woodland Park Re-2</t>
  </si>
  <si>
    <t>Gilcrest Re-1</t>
  </si>
  <si>
    <t>Eaton Re-2</t>
  </si>
  <si>
    <t>Windsor Re-4</t>
  </si>
  <si>
    <t>Weld County SD Re-5J</t>
  </si>
  <si>
    <t>Platte Valley Re-7</t>
  </si>
  <si>
    <t>Weld County Re-8</t>
  </si>
  <si>
    <t>Ault-Highland Re-9</t>
  </si>
  <si>
    <t>Briggsdale Re-10</t>
  </si>
  <si>
    <t>Pawnee Re-12</t>
  </si>
  <si>
    <t>CSI</t>
  </si>
  <si>
    <t>CSDB</t>
  </si>
  <si>
    <t xml:space="preserve">Centennial BOCES </t>
  </si>
  <si>
    <t>ESSER I (4425)</t>
  </si>
  <si>
    <t>Supplemental ESSER I (5425)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</si>
  <si>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</t>
    </r>
  </si>
  <si>
    <t>Decline</t>
  </si>
  <si>
    <t>Sante Fe Trail BOCES</t>
  </si>
  <si>
    <t>Y094</t>
  </si>
  <si>
    <t xml:space="preserve">9140 </t>
  </si>
  <si>
    <t>Colorado MHI at Pueblo</t>
  </si>
  <si>
    <t>Colorado School For Deaf and Blind</t>
  </si>
  <si>
    <t>Alternative Homes for Youth</t>
  </si>
  <si>
    <t>Aurora Community MHC</t>
  </si>
  <si>
    <t>Denver Children's Home (Bansbach Academy)</t>
  </si>
  <si>
    <t>Denver Health Medical Center Authority</t>
  </si>
  <si>
    <t>Devereux Cleo Wallace Center</t>
  </si>
  <si>
    <t>Griffith Center, Inc.</t>
  </si>
  <si>
    <t xml:space="preserve">Jefferson Hills </t>
  </si>
  <si>
    <t>Laradon Hall</t>
  </si>
  <si>
    <t>Mental Health Center of Denver - Skyline Academy</t>
  </si>
  <si>
    <t>Mt. St. Vincent Home</t>
  </si>
  <si>
    <t>National Jewish Hospital - Morgridge Academy</t>
  </si>
  <si>
    <t>Rite of Passage</t>
  </si>
  <si>
    <t>Roundup Fellowship</t>
  </si>
  <si>
    <t>Sewell Child Development Center</t>
  </si>
  <si>
    <t>Shiloh Home, Inc.</t>
  </si>
  <si>
    <t>The Joshua School</t>
  </si>
  <si>
    <t>Third Way Center, Inc.(Joan Farley Academy)</t>
  </si>
  <si>
    <t>Turning Point Center for Youth</t>
  </si>
  <si>
    <t xml:space="preserve">Valley View Hospital - Youth Recovery Center      </t>
  </si>
  <si>
    <t>Extended Hands of Hope, Forward Learning Academy</t>
  </si>
  <si>
    <t>Elevation Ability Services</t>
  </si>
  <si>
    <t>ACMHC  (Community Reach Center, Inc.)</t>
  </si>
  <si>
    <t>Cedar Springs Hospital (Southgate School)</t>
  </si>
  <si>
    <t>Cornell Corrections  (Southern Peaks RTC)</t>
  </si>
  <si>
    <t>Friends of Children (Colorado Christian Home)</t>
  </si>
  <si>
    <t>Hilltop Youth Services (Hilltop Community Resources)</t>
  </si>
  <si>
    <t>Smith Agency (Serenity Learning Center)</t>
  </si>
  <si>
    <t xml:space="preserve">Spectra Autism Center </t>
  </si>
  <si>
    <t>Inspring Talkers</t>
  </si>
  <si>
    <t>Facility Totals</t>
  </si>
  <si>
    <t>BOCES Totals</t>
  </si>
  <si>
    <t>Tribe Totals</t>
  </si>
  <si>
    <t>District Totals</t>
  </si>
  <si>
    <t>Totals for 47SF (Grant Code 5425)</t>
  </si>
  <si>
    <t>6015</t>
  </si>
  <si>
    <t>6031</t>
  </si>
  <si>
    <t>6063</t>
  </si>
  <si>
    <t>4256</t>
  </si>
  <si>
    <t>4839</t>
  </si>
  <si>
    <t>6037</t>
  </si>
  <si>
    <t>6038</t>
  </si>
  <si>
    <t>6053</t>
  </si>
  <si>
    <t>6075</t>
  </si>
  <si>
    <t>6079</t>
  </si>
  <si>
    <t>6082</t>
  </si>
  <si>
    <t>6091</t>
  </si>
  <si>
    <t>6092</t>
  </si>
  <si>
    <t>6102</t>
  </si>
  <si>
    <t>6107</t>
  </si>
  <si>
    <t>6110</t>
  </si>
  <si>
    <t>6199</t>
  </si>
  <si>
    <t>6204</t>
  </si>
  <si>
    <t>6206</t>
  </si>
  <si>
    <t>6210</t>
  </si>
  <si>
    <t>6240</t>
  </si>
  <si>
    <t>6268</t>
  </si>
  <si>
    <t>6414</t>
  </si>
  <si>
    <t>6416</t>
  </si>
  <si>
    <t>8605</t>
  </si>
  <si>
    <t>9361</t>
  </si>
  <si>
    <t>October 2022</t>
  </si>
  <si>
    <t>November 2022</t>
  </si>
  <si>
    <t>November
2022</t>
  </si>
  <si>
    <t>October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</si>
</sst>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[Red]\(#,##0.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7CB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rgb="FF66CC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quotePrefix="1" applyFont="1" applyFill="1" applyAlignment="1">
      <alignment horizontal="left"/>
    </xf>
    <xf numFmtId="49" fontId="5" fillId="2" borderId="0" xfId="0" quotePrefix="1" applyNumberFormat="1" applyFont="1" applyFill="1" applyAlignment="1">
      <alignment horizontal="left"/>
    </xf>
    <xf numFmtId="0" fontId="5" fillId="2" borderId="0" xfId="0" applyFont="1" applyFill="1"/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/>
    <xf numFmtId="0" fontId="4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left"/>
    </xf>
    <xf numFmtId="164" fontId="7" fillId="2" borderId="5" xfId="1" applyNumberFormat="1" applyFont="1" applyFill="1" applyBorder="1"/>
    <xf numFmtId="39" fontId="7" fillId="2" borderId="5" xfId="1" applyNumberFormat="1" applyFont="1" applyFill="1" applyBorder="1"/>
    <xf numFmtId="49" fontId="7" fillId="2" borderId="5" xfId="1" applyNumberFormat="1" applyFont="1" applyFill="1" applyBorder="1" applyAlignment="1">
      <alignment horizontal="center"/>
    </xf>
    <xf numFmtId="4" fontId="7" fillId="2" borderId="5" xfId="1" applyNumberFormat="1" applyFont="1" applyFill="1" applyBorder="1"/>
    <xf numFmtId="4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/>
    <xf numFmtId="39" fontId="6" fillId="2" borderId="5" xfId="0" applyNumberFormat="1" applyFont="1" applyFill="1" applyBorder="1"/>
    <xf numFmtId="49" fontId="2" fillId="0" borderId="2" xfId="0" quotePrefix="1" applyNumberFormat="1" applyFont="1" applyFill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164" fontId="9" fillId="2" borderId="5" xfId="1" applyNumberFormat="1" applyFont="1" applyFill="1" applyBorder="1"/>
    <xf numFmtId="39" fontId="7" fillId="2" borderId="7" xfId="1" applyNumberFormat="1" applyFont="1" applyFill="1" applyBorder="1"/>
    <xf numFmtId="4" fontId="7" fillId="2" borderId="7" xfId="1" applyNumberFormat="1" applyFont="1" applyFill="1" applyBorder="1"/>
    <xf numFmtId="39" fontId="7" fillId="2" borderId="6" xfId="1" applyNumberFormat="1" applyFont="1" applyFill="1" applyBorder="1"/>
    <xf numFmtId="49" fontId="7" fillId="2" borderId="6" xfId="1" applyNumberFormat="1" applyFont="1" applyFill="1" applyBorder="1" applyAlignment="1">
      <alignment horizontal="center"/>
    </xf>
    <xf numFmtId="4" fontId="7" fillId="2" borderId="6" xfId="1" applyNumberFormat="1" applyFont="1" applyFill="1" applyBorder="1"/>
    <xf numFmtId="39" fontId="9" fillId="2" borderId="7" xfId="1" applyNumberFormat="1" applyFont="1" applyFill="1" applyBorder="1"/>
    <xf numFmtId="4" fontId="9" fillId="2" borderId="8" xfId="1" applyNumberFormat="1" applyFont="1" applyFill="1" applyBorder="1"/>
    <xf numFmtId="49" fontId="9" fillId="2" borderId="7" xfId="1" applyNumberFormat="1" applyFont="1" applyFill="1" applyBorder="1" applyAlignment="1">
      <alignment horizontal="center"/>
    </xf>
    <xf numFmtId="4" fontId="9" fillId="2" borderId="7" xfId="1" applyNumberFormat="1" applyFont="1" applyFill="1" applyBorder="1"/>
    <xf numFmtId="2" fontId="8" fillId="0" borderId="0" xfId="0" applyNumberFormat="1" applyFont="1" applyFill="1"/>
    <xf numFmtId="0" fontId="12" fillId="0" borderId="0" xfId="0" applyFont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15" xfId="0" applyFont="1" applyBorder="1"/>
    <xf numFmtId="38" fontId="14" fillId="0" borderId="0" xfId="0" applyNumberFormat="1" applyFont="1"/>
    <xf numFmtId="49" fontId="14" fillId="0" borderId="16" xfId="0" applyNumberFormat="1" applyFont="1" applyBorder="1" applyAlignment="1">
      <alignment horizontal="center"/>
    </xf>
    <xf numFmtId="0" fontId="14" fillId="0" borderId="17" xfId="0" applyFont="1" applyBorder="1"/>
    <xf numFmtId="0" fontId="14" fillId="0" borderId="16" xfId="0" quotePrefix="1" applyFont="1" applyBorder="1" applyAlignment="1">
      <alignment horizontal="center"/>
    </xf>
    <xf numFmtId="0" fontId="14" fillId="0" borderId="18" xfId="0" quotePrefix="1" applyFont="1" applyBorder="1" applyAlignment="1">
      <alignment horizontal="center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38" fontId="12" fillId="0" borderId="0" xfId="0" applyNumberFormat="1" applyFont="1"/>
    <xf numFmtId="49" fontId="7" fillId="2" borderId="5" xfId="1" quotePrefix="1" applyNumberFormat="1" applyFont="1" applyFill="1" applyBorder="1" applyAlignment="1">
      <alignment horizontal="left"/>
    </xf>
    <xf numFmtId="38" fontId="14" fillId="0" borderId="19" xfId="0" applyNumberFormat="1" applyFont="1" applyBorder="1"/>
    <xf numFmtId="39" fontId="6" fillId="0" borderId="0" xfId="0" applyNumberFormat="1" applyFont="1" applyFill="1" applyBorder="1"/>
    <xf numFmtId="165" fontId="16" fillId="4" borderId="0" xfId="0" applyNumberFormat="1" applyFont="1" applyFill="1"/>
    <xf numFmtId="165" fontId="16" fillId="4" borderId="20" xfId="0" applyNumberFormat="1" applyFont="1" applyFill="1" applyBorder="1"/>
    <xf numFmtId="39" fontId="18" fillId="4" borderId="0" xfId="2" applyNumberFormat="1" applyFont="1" applyFill="1"/>
    <xf numFmtId="165" fontId="17" fillId="4" borderId="0" xfId="0" applyNumberFormat="1" applyFont="1" applyFill="1"/>
    <xf numFmtId="39" fontId="18" fillId="4" borderId="19" xfId="2" applyNumberFormat="1" applyFont="1" applyFill="1" applyBorder="1"/>
    <xf numFmtId="39" fontId="9" fillId="2" borderId="8" xfId="1" applyNumberFormat="1" applyFont="1" applyFill="1" applyBorder="1"/>
    <xf numFmtId="39" fontId="7" fillId="2" borderId="8" xfId="1" applyNumberFormat="1" applyFont="1" applyFill="1" applyBorder="1"/>
    <xf numFmtId="164" fontId="9" fillId="2" borderId="7" xfId="1" applyNumberFormat="1" applyFont="1" applyFill="1" applyBorder="1"/>
    <xf numFmtId="43" fontId="9" fillId="2" borderId="7" xfId="1" applyNumberFormat="1" applyFont="1" applyFill="1" applyBorder="1"/>
    <xf numFmtId="39" fontId="9" fillId="2" borderId="5" xfId="1" applyNumberFormat="1" applyFont="1" applyFill="1" applyBorder="1"/>
    <xf numFmtId="39" fontId="8" fillId="0" borderId="0" xfId="0" applyNumberFormat="1" applyFont="1" applyFill="1" applyBorder="1"/>
    <xf numFmtId="39" fontId="19" fillId="2" borderId="7" xfId="1" applyNumberFormat="1" applyFont="1" applyFill="1" applyBorder="1" applyAlignment="1">
      <alignment horizontal="center"/>
    </xf>
    <xf numFmtId="49" fontId="19" fillId="2" borderId="5" xfId="1" applyNumberFormat="1" applyFont="1" applyFill="1" applyBorder="1" applyAlignment="1">
      <alignment horizontal="center"/>
    </xf>
    <xf numFmtId="0" fontId="0" fillId="0" borderId="0" xfId="0" quotePrefix="1"/>
    <xf numFmtId="0" fontId="12" fillId="0" borderId="0" xfId="0" applyFont="1" applyFill="1"/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3AB5-2261-4B93-9BEC-9345964CEF9C}">
  <sheetPr>
    <pageSetUpPr fitToPage="1"/>
  </sheetPr>
  <dimension ref="A1:G224"/>
  <sheetViews>
    <sheetView topLeftCell="A181" workbookViewId="0">
      <selection activeCell="G1" sqref="G1:G1048576"/>
    </sheetView>
  </sheetViews>
  <sheetFormatPr defaultColWidth="9.140625" defaultRowHeight="15" x14ac:dyDescent="0.25"/>
  <cols>
    <col min="1" max="1" width="9.140625" style="52"/>
    <col min="2" max="2" width="34.85546875" style="40" customWidth="1"/>
    <col min="3" max="3" width="20.42578125" style="40" customWidth="1"/>
    <col min="4" max="4" width="46.5703125" style="40" customWidth="1"/>
    <col min="5" max="6" width="9.140625" style="40"/>
    <col min="7" max="7" width="9.140625" style="71"/>
    <col min="8" max="16384" width="9.140625" style="40"/>
  </cols>
  <sheetData>
    <row r="1" spans="1:4" ht="15.75" customHeight="1" x14ac:dyDescent="0.25">
      <c r="A1" s="72" t="s">
        <v>539</v>
      </c>
      <c r="B1" s="73"/>
      <c r="C1" s="73"/>
      <c r="D1" s="73"/>
    </row>
    <row r="2" spans="1:4" ht="54" customHeight="1" thickBot="1" x14ac:dyDescent="0.3">
      <c r="A2" s="74"/>
      <c r="B2" s="75"/>
      <c r="C2" s="75"/>
      <c r="D2" s="75"/>
    </row>
    <row r="3" spans="1:4" ht="19.5" thickBot="1" x14ac:dyDescent="0.35">
      <c r="A3" s="41" t="s">
        <v>13</v>
      </c>
      <c r="B3" s="42" t="s">
        <v>450</v>
      </c>
      <c r="C3" s="42" t="s">
        <v>537</v>
      </c>
      <c r="D3" s="42" t="s">
        <v>538</v>
      </c>
    </row>
    <row r="4" spans="1:4" ht="18.75" x14ac:dyDescent="0.3">
      <c r="A4" s="43" t="s">
        <v>20</v>
      </c>
      <c r="B4" s="44" t="s">
        <v>21</v>
      </c>
      <c r="C4" s="45">
        <f>VLOOKUP(A4,'ESSER I Funding (4425)'!A11:G190,7,FALSE)</f>
        <v>0</v>
      </c>
      <c r="D4" s="45">
        <f>VLOOKUP(A4,'Supplemental ESSER (5425)'!A11:G221,7,FALSE)</f>
        <v>0</v>
      </c>
    </row>
    <row r="5" spans="1:4" ht="18.75" x14ac:dyDescent="0.3">
      <c r="A5" s="46" t="s">
        <v>22</v>
      </c>
      <c r="B5" s="47" t="s">
        <v>451</v>
      </c>
      <c r="C5" s="45">
        <f>VLOOKUP(A5,'ESSER I Funding (4425)'!A12:G191,7,FALSE)</f>
        <v>93082</v>
      </c>
      <c r="D5" s="45">
        <f>VLOOKUP(A5,'Supplemental ESSER (5425)'!A12:G222,7,FALSE)</f>
        <v>4572.3300000000017</v>
      </c>
    </row>
    <row r="6" spans="1:4" ht="18.75" x14ac:dyDescent="0.3">
      <c r="A6" s="46" t="s">
        <v>24</v>
      </c>
      <c r="B6" s="47" t="s">
        <v>25</v>
      </c>
      <c r="C6" s="45">
        <f>VLOOKUP(A6,'ESSER I Funding (4425)'!A13:G192,7,FALSE)</f>
        <v>0</v>
      </c>
      <c r="D6" s="45">
        <v>0</v>
      </c>
    </row>
    <row r="7" spans="1:4" ht="18.75" x14ac:dyDescent="0.3">
      <c r="A7" s="46" t="s">
        <v>26</v>
      </c>
      <c r="B7" s="47" t="s">
        <v>452</v>
      </c>
      <c r="C7" s="45">
        <f>VLOOKUP(A7,'ESSER I Funding (4425)'!A14:G193,7,FALSE)</f>
        <v>152.97000000008848</v>
      </c>
      <c r="D7" s="45">
        <v>0</v>
      </c>
    </row>
    <row r="8" spans="1:4" ht="18.75" x14ac:dyDescent="0.3">
      <c r="A8" s="46" t="s">
        <v>28</v>
      </c>
      <c r="B8" s="47" t="s">
        <v>29</v>
      </c>
      <c r="C8" s="45">
        <f>VLOOKUP(A8,'ESSER I Funding (4425)'!A15:G194,7,FALSE)</f>
        <v>0</v>
      </c>
      <c r="D8" s="45">
        <v>0</v>
      </c>
    </row>
    <row r="9" spans="1:4" ht="18.75" x14ac:dyDescent="0.3">
      <c r="A9" s="46" t="s">
        <v>30</v>
      </c>
      <c r="B9" s="47" t="s">
        <v>31</v>
      </c>
      <c r="C9" s="45">
        <f>VLOOKUP(A9,'ESSER I Funding (4425)'!A16:G195,7,FALSE)</f>
        <v>0</v>
      </c>
      <c r="D9" s="45">
        <v>0</v>
      </c>
    </row>
    <row r="10" spans="1:4" ht="18.75" x14ac:dyDescent="0.3">
      <c r="A10" s="46" t="s">
        <v>32</v>
      </c>
      <c r="B10" s="47" t="s">
        <v>453</v>
      </c>
      <c r="C10" s="45">
        <f>VLOOKUP(A10,'ESSER I Funding (4425)'!A17:G196,7,FALSE)</f>
        <v>0</v>
      </c>
      <c r="D10" s="45">
        <v>0</v>
      </c>
    </row>
    <row r="11" spans="1:4" ht="18.75" x14ac:dyDescent="0.3">
      <c r="A11" s="46" t="s">
        <v>34</v>
      </c>
      <c r="B11" s="47" t="s">
        <v>454</v>
      </c>
      <c r="C11" s="45">
        <f>VLOOKUP(A11,'ESSER I Funding (4425)'!A18:G197,7,FALSE)</f>
        <v>0.22000000008847564</v>
      </c>
      <c r="D11" s="45">
        <v>0</v>
      </c>
    </row>
    <row r="12" spans="1:4" ht="18.75" x14ac:dyDescent="0.3">
      <c r="A12" s="46" t="s">
        <v>36</v>
      </c>
      <c r="B12" s="47" t="s">
        <v>455</v>
      </c>
      <c r="C12" s="45">
        <f>VLOOKUP(A12,'ESSER I Funding (4425)'!A19:G198,7,FALSE)</f>
        <v>0</v>
      </c>
      <c r="D12" s="45">
        <v>0</v>
      </c>
    </row>
    <row r="13" spans="1:4" ht="18.75" x14ac:dyDescent="0.3">
      <c r="A13" s="46" t="s">
        <v>38</v>
      </c>
      <c r="B13" s="47" t="s">
        <v>39</v>
      </c>
      <c r="C13" s="45">
        <f>VLOOKUP(A13,'ESSER I Funding (4425)'!A20:G199,7,FALSE)</f>
        <v>0</v>
      </c>
      <c r="D13" s="45">
        <v>0</v>
      </c>
    </row>
    <row r="14" spans="1:4" ht="18.75" x14ac:dyDescent="0.3">
      <c r="A14" s="46" t="s">
        <v>40</v>
      </c>
      <c r="B14" s="47" t="s">
        <v>41</v>
      </c>
      <c r="C14" s="45">
        <f>VLOOKUP(A14,'ESSER I Funding (4425)'!A21:G200,7,FALSE)</f>
        <v>0</v>
      </c>
      <c r="D14" s="45">
        <v>0</v>
      </c>
    </row>
    <row r="15" spans="1:4" ht="18.75" x14ac:dyDescent="0.3">
      <c r="A15" s="46" t="s">
        <v>42</v>
      </c>
      <c r="B15" s="47" t="s">
        <v>43</v>
      </c>
      <c r="C15" s="45">
        <f>VLOOKUP(A15,'ESSER I Funding (4425)'!A22:G201,7,FALSE)</f>
        <v>0</v>
      </c>
      <c r="D15" s="45">
        <v>0</v>
      </c>
    </row>
    <row r="16" spans="1:4" ht="18.75" x14ac:dyDescent="0.3">
      <c r="A16" s="46" t="s">
        <v>44</v>
      </c>
      <c r="B16" s="47" t="s">
        <v>45</v>
      </c>
      <c r="C16" s="45">
        <f>VLOOKUP(A16,'ESSER I Funding (4425)'!A23:G202,7,FALSE)</f>
        <v>0</v>
      </c>
      <c r="D16" s="45">
        <v>0</v>
      </c>
    </row>
    <row r="17" spans="1:4" ht="18.75" x14ac:dyDescent="0.3">
      <c r="A17" s="46" t="s">
        <v>46</v>
      </c>
      <c r="B17" s="47" t="s">
        <v>47</v>
      </c>
      <c r="C17" s="45">
        <f>VLOOKUP(A17,'ESSER I Funding (4425)'!A24:G203,7,FALSE)</f>
        <v>2861</v>
      </c>
      <c r="D17" s="45">
        <f>VLOOKUP(A17,'Supplemental ESSER (5425)'!A13:G234,7,FALSE)</f>
        <v>0</v>
      </c>
    </row>
    <row r="18" spans="1:4" ht="18.75" x14ac:dyDescent="0.3">
      <c r="A18" s="46" t="s">
        <v>48</v>
      </c>
      <c r="B18" s="47" t="s">
        <v>49</v>
      </c>
      <c r="C18" s="45">
        <f>VLOOKUP(A18,'ESSER I Funding (4425)'!A25:G204,7,FALSE)</f>
        <v>271856.84000000078</v>
      </c>
      <c r="D18" s="45">
        <f>VLOOKUP(A18,'Supplemental ESSER (5425)'!A14:G235,7,FALSE)</f>
        <v>6600</v>
      </c>
    </row>
    <row r="19" spans="1:4" ht="18.75" x14ac:dyDescent="0.3">
      <c r="A19" s="46" t="s">
        <v>50</v>
      </c>
      <c r="B19" s="47" t="s">
        <v>51</v>
      </c>
      <c r="C19" s="45">
        <f>VLOOKUP(A19,'ESSER I Funding (4425)'!A26:G205,7,FALSE)</f>
        <v>0</v>
      </c>
      <c r="D19" s="45">
        <v>0</v>
      </c>
    </row>
    <row r="20" spans="1:4" ht="18.75" x14ac:dyDescent="0.3">
      <c r="A20" s="46" t="s">
        <v>52</v>
      </c>
      <c r="B20" s="47" t="s">
        <v>456</v>
      </c>
      <c r="C20" s="45">
        <f>VLOOKUP(A20,'ESSER I Funding (4425)'!A27:G206,7,FALSE)</f>
        <v>12074.400000000023</v>
      </c>
      <c r="D20" s="45">
        <v>0</v>
      </c>
    </row>
    <row r="21" spans="1:4" ht="18.75" x14ac:dyDescent="0.3">
      <c r="A21" s="46" t="s">
        <v>54</v>
      </c>
      <c r="B21" s="47" t="s">
        <v>457</v>
      </c>
      <c r="C21" s="45">
        <f>VLOOKUP(A21,'ESSER I Funding (4425)'!A28:G207,7,FALSE)</f>
        <v>34614</v>
      </c>
      <c r="D21" s="45">
        <v>0</v>
      </c>
    </row>
    <row r="22" spans="1:4" ht="18.75" x14ac:dyDescent="0.3">
      <c r="A22" s="46" t="s">
        <v>56</v>
      </c>
      <c r="B22" s="47" t="s">
        <v>458</v>
      </c>
      <c r="C22" s="45">
        <f>VLOOKUP(A22,'ESSER I Funding (4425)'!A29:G208,7,FALSE)</f>
        <v>7813</v>
      </c>
      <c r="D22" s="45">
        <f>VLOOKUP(A22,'Supplemental ESSER (5425)'!A15:G239,7,FALSE)</f>
        <v>17187</v>
      </c>
    </row>
    <row r="23" spans="1:4" ht="18.75" x14ac:dyDescent="0.3">
      <c r="A23" s="46" t="s">
        <v>58</v>
      </c>
      <c r="B23" s="47" t="s">
        <v>459</v>
      </c>
      <c r="C23" s="45">
        <f>VLOOKUP(A23,'ESSER I Funding (4425)'!A30:G209,7,FALSE)</f>
        <v>0</v>
      </c>
      <c r="D23" s="45">
        <v>0</v>
      </c>
    </row>
    <row r="24" spans="1:4" ht="18.75" x14ac:dyDescent="0.3">
      <c r="A24" s="46" t="s">
        <v>60</v>
      </c>
      <c r="B24" s="47" t="s">
        <v>460</v>
      </c>
      <c r="C24" s="45">
        <f>VLOOKUP(A24,'ESSER I Funding (4425)'!A31:G210,7,FALSE)</f>
        <v>0</v>
      </c>
      <c r="D24" s="45">
        <f>VLOOKUP(A24,'Supplemental ESSER (5425)'!A16:G241,7,FALSE)</f>
        <v>0</v>
      </c>
    </row>
    <row r="25" spans="1:4" ht="18.75" x14ac:dyDescent="0.3">
      <c r="A25" s="46" t="s">
        <v>62</v>
      </c>
      <c r="B25" s="47" t="s">
        <v>63</v>
      </c>
      <c r="C25" s="45">
        <f>VLOOKUP(A25,'ESSER I Funding (4425)'!A32:G211,7,FALSE)</f>
        <v>0</v>
      </c>
      <c r="D25" s="45">
        <f>VLOOKUP(A25,'Supplemental ESSER (5425)'!A17:G242,7,FALSE)</f>
        <v>0</v>
      </c>
    </row>
    <row r="26" spans="1:4" ht="18.75" x14ac:dyDescent="0.3">
      <c r="A26" s="46" t="s">
        <v>64</v>
      </c>
      <c r="B26" s="47" t="s">
        <v>461</v>
      </c>
      <c r="C26" s="45">
        <f>VLOOKUP(A26,'ESSER I Funding (4425)'!A33:G212,7,FALSE)</f>
        <v>0</v>
      </c>
      <c r="D26" s="45">
        <v>0</v>
      </c>
    </row>
    <row r="27" spans="1:4" ht="18.75" x14ac:dyDescent="0.3">
      <c r="A27" s="46" t="s">
        <v>66</v>
      </c>
      <c r="B27" s="47" t="s">
        <v>462</v>
      </c>
      <c r="C27" s="45">
        <f>VLOOKUP(A27,'ESSER I Funding (4425)'!A34:G213,7,FALSE)</f>
        <v>225</v>
      </c>
      <c r="D27" s="45">
        <v>0</v>
      </c>
    </row>
    <row r="28" spans="1:4" ht="18.75" x14ac:dyDescent="0.3">
      <c r="A28" s="46" t="s">
        <v>68</v>
      </c>
      <c r="B28" s="47" t="s">
        <v>69</v>
      </c>
      <c r="C28" s="45">
        <f>VLOOKUP(A28,'ESSER I Funding (4425)'!A35:G214,7,FALSE)</f>
        <v>0</v>
      </c>
      <c r="D28" s="45">
        <v>0</v>
      </c>
    </row>
    <row r="29" spans="1:4" ht="18.75" x14ac:dyDescent="0.3">
      <c r="A29" s="46" t="s">
        <v>70</v>
      </c>
      <c r="B29" s="47" t="s">
        <v>71</v>
      </c>
      <c r="C29" s="45">
        <f>VLOOKUP(A29,'ESSER I Funding (4425)'!A36:G215,7,FALSE)</f>
        <v>0</v>
      </c>
      <c r="D29" s="45">
        <f>VLOOKUP(A29,'Supplemental ESSER (5425)'!A18:G246,7,FALSE)</f>
        <v>0</v>
      </c>
    </row>
    <row r="30" spans="1:4" ht="18.75" x14ac:dyDescent="0.3">
      <c r="A30" s="46" t="s">
        <v>72</v>
      </c>
      <c r="B30" s="47" t="s">
        <v>73</v>
      </c>
      <c r="C30" s="45">
        <f>VLOOKUP(A30,'ESSER I Funding (4425)'!A37:G216,7,FALSE)</f>
        <v>0</v>
      </c>
      <c r="D30" s="45">
        <v>0</v>
      </c>
    </row>
    <row r="31" spans="1:4" ht="18.75" x14ac:dyDescent="0.3">
      <c r="A31" s="46" t="s">
        <v>74</v>
      </c>
      <c r="B31" s="47" t="s">
        <v>75</v>
      </c>
      <c r="C31" s="45">
        <f>VLOOKUP(A31,'ESSER I Funding (4425)'!A38:G217,7,FALSE)</f>
        <v>0</v>
      </c>
      <c r="D31" s="45">
        <v>0</v>
      </c>
    </row>
    <row r="32" spans="1:4" ht="18.75" x14ac:dyDescent="0.3">
      <c r="A32" s="46" t="s">
        <v>76</v>
      </c>
      <c r="B32" s="47" t="s">
        <v>77</v>
      </c>
      <c r="C32" s="45">
        <f>VLOOKUP(A32,'ESSER I Funding (4425)'!A39:G218,7,FALSE)</f>
        <v>10890</v>
      </c>
      <c r="D32" s="45">
        <f>VLOOKUP(A32,'Supplemental ESSER (5425)'!A19:G249,7,FALSE)</f>
        <v>4110</v>
      </c>
    </row>
    <row r="33" spans="1:4" ht="18.75" x14ac:dyDescent="0.3">
      <c r="A33" s="46" t="s">
        <v>78</v>
      </c>
      <c r="B33" s="47" t="s">
        <v>463</v>
      </c>
      <c r="C33" s="45">
        <f>VLOOKUP(A33,'ESSER I Funding (4425)'!A40:G219,7,FALSE)</f>
        <v>0</v>
      </c>
      <c r="D33" s="45">
        <v>0</v>
      </c>
    </row>
    <row r="34" spans="1:4" ht="18.75" x14ac:dyDescent="0.3">
      <c r="A34" s="46" t="s">
        <v>80</v>
      </c>
      <c r="B34" s="47" t="s">
        <v>464</v>
      </c>
      <c r="C34" s="45">
        <f>VLOOKUP(A34,'ESSER I Funding (4425)'!A41:G220,7,FALSE)</f>
        <v>0</v>
      </c>
      <c r="D34" s="45">
        <v>0</v>
      </c>
    </row>
    <row r="35" spans="1:4" ht="18.75" x14ac:dyDescent="0.3">
      <c r="A35" s="46" t="s">
        <v>82</v>
      </c>
      <c r="B35" s="47" t="s">
        <v>465</v>
      </c>
      <c r="C35" s="45">
        <f>VLOOKUP(A35,'ESSER I Funding (4425)'!A42:G221,7,FALSE)</f>
        <v>0</v>
      </c>
      <c r="D35" s="45">
        <v>0</v>
      </c>
    </row>
    <row r="36" spans="1:4" ht="18.75" x14ac:dyDescent="0.3">
      <c r="A36" s="46" t="s">
        <v>84</v>
      </c>
      <c r="B36" s="47" t="s">
        <v>85</v>
      </c>
      <c r="C36" s="45">
        <f>VLOOKUP(A36,'ESSER I Funding (4425)'!A43:G222,7,FALSE)</f>
        <v>0</v>
      </c>
      <c r="D36" s="45">
        <v>0</v>
      </c>
    </row>
    <row r="37" spans="1:4" ht="18.75" x14ac:dyDescent="0.3">
      <c r="A37" s="46" t="s">
        <v>86</v>
      </c>
      <c r="B37" s="47" t="s">
        <v>466</v>
      </c>
      <c r="C37" s="45">
        <f>VLOOKUP(A37,'ESSER I Funding (4425)'!A44:G223,7,FALSE)</f>
        <v>0</v>
      </c>
      <c r="D37" s="45">
        <v>0</v>
      </c>
    </row>
    <row r="38" spans="1:4" ht="18.75" x14ac:dyDescent="0.3">
      <c r="A38" s="46" t="s">
        <v>88</v>
      </c>
      <c r="B38" s="47" t="s">
        <v>89</v>
      </c>
      <c r="C38" s="45">
        <f>VLOOKUP(A38,'ESSER I Funding (4425)'!A45:G224,7,FALSE)</f>
        <v>73063.58</v>
      </c>
      <c r="D38" s="45">
        <v>0</v>
      </c>
    </row>
    <row r="39" spans="1:4" ht="18.75" x14ac:dyDescent="0.3">
      <c r="A39" s="46" t="s">
        <v>90</v>
      </c>
      <c r="B39" s="47" t="s">
        <v>91</v>
      </c>
      <c r="C39" s="45">
        <f>VLOOKUP(A39,'ESSER I Funding (4425)'!A46:G225,7,FALSE)</f>
        <v>0</v>
      </c>
      <c r="D39" s="45">
        <v>0</v>
      </c>
    </row>
    <row r="40" spans="1:4" ht="18.75" x14ac:dyDescent="0.3">
      <c r="A40" s="46" t="s">
        <v>92</v>
      </c>
      <c r="B40" s="47" t="s">
        <v>467</v>
      </c>
      <c r="C40" s="45">
        <f>VLOOKUP(A40,'ESSER I Funding (4425)'!A47:G226,7,FALSE)</f>
        <v>0</v>
      </c>
      <c r="D40" s="45">
        <v>0</v>
      </c>
    </row>
    <row r="41" spans="1:4" ht="18.75" x14ac:dyDescent="0.3">
      <c r="A41" s="46" t="s">
        <v>94</v>
      </c>
      <c r="B41" s="47" t="s">
        <v>468</v>
      </c>
      <c r="C41" s="45">
        <f>VLOOKUP(A41,'ESSER I Funding (4425)'!A48:G227,7,FALSE)</f>
        <v>0</v>
      </c>
      <c r="D41" s="45">
        <v>0</v>
      </c>
    </row>
    <row r="42" spans="1:4" ht="18.75" x14ac:dyDescent="0.3">
      <c r="A42" s="46" t="s">
        <v>96</v>
      </c>
      <c r="B42" s="47" t="s">
        <v>97</v>
      </c>
      <c r="C42" s="45">
        <f>VLOOKUP(A42,'ESSER I Funding (4425)'!A49:G228,7,FALSE)</f>
        <v>57.139999999897555</v>
      </c>
      <c r="D42" s="45">
        <v>0</v>
      </c>
    </row>
    <row r="43" spans="1:4" ht="18.75" x14ac:dyDescent="0.3">
      <c r="A43" s="46" t="s">
        <v>98</v>
      </c>
      <c r="B43" s="47" t="s">
        <v>99</v>
      </c>
      <c r="C43" s="45">
        <f>VLOOKUP(A43,'ESSER I Funding (4425)'!A50:G229,7,FALSE)</f>
        <v>348607.21999999881</v>
      </c>
      <c r="D43" s="45">
        <f>VLOOKUP(A43,'Supplemental ESSER (5425)'!A20:G260,7,FALSE)</f>
        <v>0</v>
      </c>
    </row>
    <row r="44" spans="1:4" ht="18.75" x14ac:dyDescent="0.3">
      <c r="A44" s="46" t="s">
        <v>100</v>
      </c>
      <c r="B44" s="47" t="s">
        <v>469</v>
      </c>
      <c r="C44" s="45">
        <f>VLOOKUP(A44,'ESSER I Funding (4425)'!A51:G230,7,FALSE)</f>
        <v>0</v>
      </c>
      <c r="D44" s="45">
        <v>0</v>
      </c>
    </row>
    <row r="45" spans="1:4" ht="18.75" x14ac:dyDescent="0.3">
      <c r="A45" s="46" t="s">
        <v>102</v>
      </c>
      <c r="B45" s="47" t="s">
        <v>470</v>
      </c>
      <c r="C45" s="45">
        <f>VLOOKUP(A45,'ESSER I Funding (4425)'!A52:G231,7,FALSE)</f>
        <v>0</v>
      </c>
      <c r="D45" s="45">
        <v>0</v>
      </c>
    </row>
    <row r="46" spans="1:4" ht="18.75" x14ac:dyDescent="0.3">
      <c r="A46" s="46" t="s">
        <v>104</v>
      </c>
      <c r="B46" s="47" t="s">
        <v>105</v>
      </c>
      <c r="C46" s="45">
        <f>VLOOKUP(A46,'ESSER I Funding (4425)'!A53:G232,7,FALSE)</f>
        <v>0</v>
      </c>
      <c r="D46" s="45">
        <v>0</v>
      </c>
    </row>
    <row r="47" spans="1:4" ht="18.75" x14ac:dyDescent="0.3">
      <c r="A47" s="46" t="s">
        <v>106</v>
      </c>
      <c r="B47" s="47" t="s">
        <v>107</v>
      </c>
      <c r="C47" s="45">
        <f>VLOOKUP(A47,'ESSER I Funding (4425)'!A54:G233,7,FALSE)</f>
        <v>0</v>
      </c>
      <c r="D47" s="45">
        <v>0</v>
      </c>
    </row>
    <row r="48" spans="1:4" ht="18.75" x14ac:dyDescent="0.3">
      <c r="A48" s="46" t="s">
        <v>108</v>
      </c>
      <c r="B48" s="47" t="s">
        <v>109</v>
      </c>
      <c r="C48" s="45">
        <f>VLOOKUP(A48,'ESSER I Funding (4425)'!A55:G234,7,FALSE)</f>
        <v>0</v>
      </c>
      <c r="D48" s="45">
        <v>0</v>
      </c>
    </row>
    <row r="49" spans="1:4" ht="18.75" x14ac:dyDescent="0.3">
      <c r="A49" s="46" t="s">
        <v>110</v>
      </c>
      <c r="B49" s="47" t="s">
        <v>111</v>
      </c>
      <c r="C49" s="45">
        <f>VLOOKUP(A49,'ESSER I Funding (4425)'!A56:G235,7,FALSE)</f>
        <v>0</v>
      </c>
      <c r="D49" s="45">
        <f>VLOOKUP(A49,'Supplemental ESSER (5425)'!A21:G266,7,FALSE)</f>
        <v>0</v>
      </c>
    </row>
    <row r="50" spans="1:4" ht="18.75" x14ac:dyDescent="0.3">
      <c r="A50" s="46" t="s">
        <v>112</v>
      </c>
      <c r="B50" s="47" t="s">
        <v>113</v>
      </c>
      <c r="C50" s="45">
        <f>VLOOKUP(A50,'ESSER I Funding (4425)'!A57:G236,7,FALSE)</f>
        <v>0</v>
      </c>
      <c r="D50" s="45">
        <v>0</v>
      </c>
    </row>
    <row r="51" spans="1:4" ht="18.75" x14ac:dyDescent="0.3">
      <c r="A51" s="46" t="s">
        <v>114</v>
      </c>
      <c r="B51" s="47" t="s">
        <v>115</v>
      </c>
      <c r="C51" s="45">
        <f>VLOOKUP(A51,'ESSER I Funding (4425)'!A58:G237,7,FALSE)</f>
        <v>0</v>
      </c>
      <c r="D51" s="45">
        <f>VLOOKUP(A51,'Supplemental ESSER (5425)'!A22:G268,7,FALSE)</f>
        <v>0</v>
      </c>
    </row>
    <row r="52" spans="1:4" ht="18.75" x14ac:dyDescent="0.3">
      <c r="A52" s="46" t="s">
        <v>116</v>
      </c>
      <c r="B52" s="47" t="s">
        <v>117</v>
      </c>
      <c r="C52" s="45">
        <f>VLOOKUP(A52,'ESSER I Funding (4425)'!A59:G238,7,FALSE)</f>
        <v>0</v>
      </c>
      <c r="D52" s="45">
        <v>0</v>
      </c>
    </row>
    <row r="53" spans="1:4" ht="18.75" x14ac:dyDescent="0.3">
      <c r="A53" s="46" t="s">
        <v>118</v>
      </c>
      <c r="B53" s="47" t="s">
        <v>119</v>
      </c>
      <c r="C53" s="45">
        <f>VLOOKUP(A53,'ESSER I Funding (4425)'!A60:G239,7,FALSE)</f>
        <v>441268.20999999996</v>
      </c>
      <c r="D53" s="45">
        <v>0</v>
      </c>
    </row>
    <row r="54" spans="1:4" ht="18.75" x14ac:dyDescent="0.3">
      <c r="A54" s="46" t="s">
        <v>120</v>
      </c>
      <c r="B54" s="47" t="s">
        <v>121</v>
      </c>
      <c r="C54" s="45">
        <f>VLOOKUP(A54,'ESSER I Funding (4425)'!A61:G240,7,FALSE)</f>
        <v>0</v>
      </c>
      <c r="D54" s="45">
        <v>0</v>
      </c>
    </row>
    <row r="55" spans="1:4" ht="18.75" x14ac:dyDescent="0.3">
      <c r="A55" s="46" t="s">
        <v>122</v>
      </c>
      <c r="B55" s="47" t="s">
        <v>123</v>
      </c>
      <c r="C55" s="45">
        <f>VLOOKUP(A55,'ESSER I Funding (4425)'!A62:G241,7,FALSE)</f>
        <v>0</v>
      </c>
      <c r="D55" s="45">
        <f>VLOOKUP(A55,'Supplemental ESSER (5425)'!A23:G272,7,FALSE)</f>
        <v>0</v>
      </c>
    </row>
    <row r="56" spans="1:4" ht="18.75" x14ac:dyDescent="0.3">
      <c r="A56" s="46" t="s">
        <v>124</v>
      </c>
      <c r="B56" s="47" t="s">
        <v>125</v>
      </c>
      <c r="C56" s="45">
        <f>VLOOKUP(A56,'ESSER I Funding (4425)'!A63:G242,7,FALSE)</f>
        <v>121091.89999999944</v>
      </c>
      <c r="D56" s="45">
        <f>VLOOKUP(A56,'Supplemental ESSER (5425)'!A24:G273,7,FALSE)</f>
        <v>5105.0999999999985</v>
      </c>
    </row>
    <row r="57" spans="1:4" ht="18.75" x14ac:dyDescent="0.3">
      <c r="A57" s="46" t="s">
        <v>126</v>
      </c>
      <c r="B57" s="47" t="s">
        <v>127</v>
      </c>
      <c r="C57" s="45">
        <f>VLOOKUP(A57,'ESSER I Funding (4425)'!A64:G243,7,FALSE)</f>
        <v>0</v>
      </c>
      <c r="D57" s="45">
        <v>0</v>
      </c>
    </row>
    <row r="58" spans="1:4" ht="18.75" x14ac:dyDescent="0.3">
      <c r="A58" s="46" t="s">
        <v>128</v>
      </c>
      <c r="B58" s="47" t="s">
        <v>129</v>
      </c>
      <c r="C58" s="45">
        <f>VLOOKUP(A58,'ESSER I Funding (4425)'!A65:G244,7,FALSE)</f>
        <v>0</v>
      </c>
      <c r="D58" s="45">
        <v>0</v>
      </c>
    </row>
    <row r="59" spans="1:4" ht="18.75" x14ac:dyDescent="0.3">
      <c r="A59" s="46" t="s">
        <v>130</v>
      </c>
      <c r="B59" s="47" t="s">
        <v>131</v>
      </c>
      <c r="C59" s="45">
        <f>VLOOKUP(A59,'ESSER I Funding (4425)'!A66:G245,7,FALSE)</f>
        <v>0</v>
      </c>
      <c r="D59" s="45">
        <v>0</v>
      </c>
    </row>
    <row r="60" spans="1:4" ht="18.75" x14ac:dyDescent="0.3">
      <c r="A60" s="46" t="s">
        <v>132</v>
      </c>
      <c r="B60" s="47" t="s">
        <v>133</v>
      </c>
      <c r="C60" s="45">
        <f>VLOOKUP(A60,'ESSER I Funding (4425)'!A67:G246,7,FALSE)</f>
        <v>0</v>
      </c>
      <c r="D60" s="45">
        <v>0</v>
      </c>
    </row>
    <row r="61" spans="1:4" ht="18.75" x14ac:dyDescent="0.3">
      <c r="A61" s="46" t="s">
        <v>134</v>
      </c>
      <c r="B61" s="47" t="s">
        <v>471</v>
      </c>
      <c r="C61" s="45">
        <f>VLOOKUP(A61,'ESSER I Funding (4425)'!A68:G247,7,FALSE)</f>
        <v>0</v>
      </c>
      <c r="D61" s="45">
        <v>0</v>
      </c>
    </row>
    <row r="62" spans="1:4" ht="18.75" x14ac:dyDescent="0.3">
      <c r="A62" s="46" t="s">
        <v>136</v>
      </c>
      <c r="B62" s="47" t="s">
        <v>137</v>
      </c>
      <c r="C62" s="45">
        <f>VLOOKUP(A62,'ESSER I Funding (4425)'!A69:G248,7,FALSE)</f>
        <v>0</v>
      </c>
      <c r="D62" s="45">
        <v>0</v>
      </c>
    </row>
    <row r="63" spans="1:4" ht="18.75" x14ac:dyDescent="0.3">
      <c r="A63" s="46" t="s">
        <v>138</v>
      </c>
      <c r="B63" s="47" t="s">
        <v>139</v>
      </c>
      <c r="C63" s="45">
        <f>VLOOKUP(A63,'ESSER I Funding (4425)'!A70:G249,7,FALSE)</f>
        <v>0</v>
      </c>
      <c r="D63" s="45">
        <v>0</v>
      </c>
    </row>
    <row r="64" spans="1:4" ht="18.75" x14ac:dyDescent="0.3">
      <c r="A64" s="46" t="s">
        <v>140</v>
      </c>
      <c r="B64" s="47" t="s">
        <v>141</v>
      </c>
      <c r="C64" s="45">
        <f>VLOOKUP(A64,'ESSER I Funding (4425)'!A71:G250,7,FALSE)</f>
        <v>17014.639999999898</v>
      </c>
      <c r="D64" s="45">
        <v>0</v>
      </c>
    </row>
    <row r="65" spans="1:4" ht="18.75" x14ac:dyDescent="0.3">
      <c r="A65" s="46" t="s">
        <v>142</v>
      </c>
      <c r="B65" s="47" t="s">
        <v>472</v>
      </c>
      <c r="C65" s="45">
        <f>VLOOKUP(A65,'ESSER I Funding (4425)'!A72:G251,7,FALSE)</f>
        <v>0</v>
      </c>
      <c r="D65" s="45">
        <v>0</v>
      </c>
    </row>
    <row r="66" spans="1:4" ht="18.75" x14ac:dyDescent="0.3">
      <c r="A66" s="46" t="s">
        <v>144</v>
      </c>
      <c r="B66" s="47" t="s">
        <v>473</v>
      </c>
      <c r="C66" s="45">
        <f>VLOOKUP(A66,'ESSER I Funding (4425)'!A73:G252,7,FALSE)</f>
        <v>0</v>
      </c>
      <c r="D66" s="45">
        <v>0</v>
      </c>
    </row>
    <row r="67" spans="1:4" ht="18.75" x14ac:dyDescent="0.3">
      <c r="A67" s="46" t="s">
        <v>146</v>
      </c>
      <c r="B67" s="47" t="s">
        <v>474</v>
      </c>
      <c r="C67" s="45">
        <f>VLOOKUP(A67,'ESSER I Funding (4425)'!A74:G253,7,FALSE)</f>
        <v>0</v>
      </c>
      <c r="D67" s="45">
        <v>0</v>
      </c>
    </row>
    <row r="68" spans="1:4" ht="18.75" x14ac:dyDescent="0.3">
      <c r="A68" s="46" t="s">
        <v>148</v>
      </c>
      <c r="B68" s="47" t="s">
        <v>475</v>
      </c>
      <c r="C68" s="45">
        <f>VLOOKUP(A68,'ESSER I Funding (4425)'!A75:G254,7,FALSE)</f>
        <v>0</v>
      </c>
      <c r="D68" s="45">
        <v>0</v>
      </c>
    </row>
    <row r="69" spans="1:4" ht="18.75" x14ac:dyDescent="0.3">
      <c r="A69" s="46" t="s">
        <v>150</v>
      </c>
      <c r="B69" s="47" t="s">
        <v>476</v>
      </c>
      <c r="C69" s="45">
        <f>VLOOKUP(A69,'ESSER I Funding (4425)'!A76:G255,7,FALSE)</f>
        <v>0</v>
      </c>
      <c r="D69" s="45">
        <v>0</v>
      </c>
    </row>
    <row r="70" spans="1:4" ht="18.75" x14ac:dyDescent="0.3">
      <c r="A70" s="46" t="s">
        <v>152</v>
      </c>
      <c r="B70" s="47" t="s">
        <v>477</v>
      </c>
      <c r="C70" s="45">
        <f>VLOOKUP(A70,'ESSER I Funding (4425)'!A77:G256,7,FALSE)</f>
        <v>45277.330000000016</v>
      </c>
      <c r="D70" s="45">
        <f>VLOOKUP(A70,'Supplemental ESSER (5425)'!A25:G287,7,FALSE)</f>
        <v>34220.149999999994</v>
      </c>
    </row>
    <row r="71" spans="1:4" ht="18.75" x14ac:dyDescent="0.3">
      <c r="A71" s="46" t="s">
        <v>154</v>
      </c>
      <c r="B71" s="47" t="s">
        <v>478</v>
      </c>
      <c r="C71" s="45">
        <f>VLOOKUP(A71,'ESSER I Funding (4425)'!A78:G257,7,FALSE)</f>
        <v>0</v>
      </c>
      <c r="D71" s="45">
        <f>VLOOKUP(A71,'Supplemental ESSER (5425)'!A26:G288,7,FALSE)</f>
        <v>0</v>
      </c>
    </row>
    <row r="72" spans="1:4" ht="18.75" x14ac:dyDescent="0.3">
      <c r="A72" s="46" t="s">
        <v>156</v>
      </c>
      <c r="B72" s="47" t="s">
        <v>157</v>
      </c>
      <c r="C72" s="45">
        <f>VLOOKUP(A72,'ESSER I Funding (4425)'!A79:G258,7,FALSE)</f>
        <v>0</v>
      </c>
      <c r="D72" s="45">
        <f>VLOOKUP(A72,'Supplemental ESSER (5425)'!A27:G289,7,FALSE)</f>
        <v>0</v>
      </c>
    </row>
    <row r="73" spans="1:4" ht="18.75" x14ac:dyDescent="0.3">
      <c r="A73" s="46" t="s">
        <v>158</v>
      </c>
      <c r="B73" s="47" t="s">
        <v>479</v>
      </c>
      <c r="C73" s="45">
        <f>VLOOKUP(A73,'ESSER I Funding (4425)'!A80:G259,7,FALSE)</f>
        <v>0</v>
      </c>
      <c r="D73" s="45">
        <v>0</v>
      </c>
    </row>
    <row r="74" spans="1:4" ht="18.75" x14ac:dyDescent="0.3">
      <c r="A74" s="46" t="s">
        <v>160</v>
      </c>
      <c r="B74" s="47" t="s">
        <v>480</v>
      </c>
      <c r="C74" s="45">
        <f>VLOOKUP(A74,'ESSER I Funding (4425)'!A81:G260,7,FALSE)</f>
        <v>0</v>
      </c>
      <c r="D74" s="45">
        <v>0</v>
      </c>
    </row>
    <row r="75" spans="1:4" ht="18.75" x14ac:dyDescent="0.3">
      <c r="A75" s="46" t="s">
        <v>162</v>
      </c>
      <c r="B75" s="47" t="s">
        <v>163</v>
      </c>
      <c r="C75" s="45">
        <f>VLOOKUP(A75,'ESSER I Funding (4425)'!A82:G261,7,FALSE)</f>
        <v>0</v>
      </c>
      <c r="D75" s="45">
        <v>0</v>
      </c>
    </row>
    <row r="76" spans="1:4" ht="18.75" x14ac:dyDescent="0.3">
      <c r="A76" s="46" t="s">
        <v>164</v>
      </c>
      <c r="B76" s="47" t="s">
        <v>165</v>
      </c>
      <c r="C76" s="45">
        <f>VLOOKUP(A76,'ESSER I Funding (4425)'!A83:G262,7,FALSE)</f>
        <v>0</v>
      </c>
      <c r="D76" s="45">
        <v>0</v>
      </c>
    </row>
    <row r="77" spans="1:4" ht="18.75" x14ac:dyDescent="0.3">
      <c r="A77" s="46" t="s">
        <v>166</v>
      </c>
      <c r="B77" s="47" t="s">
        <v>167</v>
      </c>
      <c r="C77" s="45">
        <f>VLOOKUP(A77,'ESSER I Funding (4425)'!A84:G263,7,FALSE)</f>
        <v>0</v>
      </c>
      <c r="D77" s="45">
        <v>0</v>
      </c>
    </row>
    <row r="78" spans="1:4" ht="18.75" x14ac:dyDescent="0.3">
      <c r="A78" s="46" t="s">
        <v>168</v>
      </c>
      <c r="B78" s="47" t="s">
        <v>481</v>
      </c>
      <c r="C78" s="45">
        <f>VLOOKUP(A78,'ESSER I Funding (4425)'!A85:G264,7,FALSE)</f>
        <v>0</v>
      </c>
      <c r="D78" s="45">
        <v>0</v>
      </c>
    </row>
    <row r="79" spans="1:4" ht="18.75" x14ac:dyDescent="0.3">
      <c r="A79" s="46" t="s">
        <v>170</v>
      </c>
      <c r="B79" s="47" t="s">
        <v>482</v>
      </c>
      <c r="C79" s="45">
        <f>VLOOKUP(A79,'ESSER I Funding (4425)'!A86:G265,7,FALSE)</f>
        <v>0</v>
      </c>
      <c r="D79" s="45">
        <v>0</v>
      </c>
    </row>
    <row r="80" spans="1:4" ht="18.75" x14ac:dyDescent="0.3">
      <c r="A80" s="46" t="s">
        <v>172</v>
      </c>
      <c r="B80" s="47" t="s">
        <v>173</v>
      </c>
      <c r="C80" s="45">
        <f>VLOOKUP(A80,'ESSER I Funding (4425)'!A87:G266,7,FALSE)</f>
        <v>0</v>
      </c>
      <c r="D80" s="45">
        <v>0</v>
      </c>
    </row>
    <row r="81" spans="1:4" ht="18.75" x14ac:dyDescent="0.3">
      <c r="A81" s="46" t="s">
        <v>174</v>
      </c>
      <c r="B81" s="47" t="s">
        <v>175</v>
      </c>
      <c r="C81" s="45">
        <f>VLOOKUP(A81,'ESSER I Funding (4425)'!A88:G267,7,FALSE)</f>
        <v>0</v>
      </c>
      <c r="D81" s="45">
        <f>VLOOKUP(A81,'Supplemental ESSER (5425)'!A28:G298,7,FALSE)</f>
        <v>0</v>
      </c>
    </row>
    <row r="82" spans="1:4" ht="18.75" x14ac:dyDescent="0.3">
      <c r="A82" s="46" t="s">
        <v>176</v>
      </c>
      <c r="B82" s="47" t="s">
        <v>483</v>
      </c>
      <c r="C82" s="45">
        <f>VLOOKUP(A82,'ESSER I Funding (4425)'!A89:G268,7,FALSE)</f>
        <v>0</v>
      </c>
      <c r="D82" s="45">
        <f>VLOOKUP(A82,'Supplemental ESSER (5425)'!A29:G299,7,FALSE)</f>
        <v>2035</v>
      </c>
    </row>
    <row r="83" spans="1:4" ht="18.75" x14ac:dyDescent="0.3">
      <c r="A83" s="46" t="s">
        <v>178</v>
      </c>
      <c r="B83" s="47" t="s">
        <v>484</v>
      </c>
      <c r="C83" s="45">
        <f>VLOOKUP(A83,'ESSER I Funding (4425)'!A90:G269,7,FALSE)</f>
        <v>0</v>
      </c>
      <c r="D83" s="45">
        <f>VLOOKUP(A83,'Supplemental ESSER (5425)'!A30:G300,7,FALSE)</f>
        <v>0</v>
      </c>
    </row>
    <row r="84" spans="1:4" ht="18.75" x14ac:dyDescent="0.3">
      <c r="A84" s="46" t="s">
        <v>180</v>
      </c>
      <c r="B84" s="47" t="s">
        <v>181</v>
      </c>
      <c r="C84" s="45">
        <f>VLOOKUP(A84,'ESSER I Funding (4425)'!A91:G270,7,FALSE)</f>
        <v>0</v>
      </c>
      <c r="D84" s="45">
        <v>0</v>
      </c>
    </row>
    <row r="85" spans="1:4" ht="18.75" x14ac:dyDescent="0.3">
      <c r="A85" s="46" t="s">
        <v>182</v>
      </c>
      <c r="B85" s="47" t="s">
        <v>183</v>
      </c>
      <c r="C85" s="45">
        <f>VLOOKUP(A85,'ESSER I Funding (4425)'!A92:G271,7,FALSE)</f>
        <v>0</v>
      </c>
      <c r="D85" s="45">
        <f>VLOOKUP(A85,'Supplemental ESSER (5425)'!A31:G302,7,FALSE)</f>
        <v>0</v>
      </c>
    </row>
    <row r="86" spans="1:4" ht="18.75" x14ac:dyDescent="0.3">
      <c r="A86" s="46" t="s">
        <v>184</v>
      </c>
      <c r="B86" s="47" t="s">
        <v>185</v>
      </c>
      <c r="C86" s="45">
        <f>VLOOKUP(A86,'ESSER I Funding (4425)'!A93:G272,7,FALSE)</f>
        <v>0</v>
      </c>
      <c r="D86" s="45">
        <v>0</v>
      </c>
    </row>
    <row r="87" spans="1:4" ht="18.75" x14ac:dyDescent="0.3">
      <c r="A87" s="46" t="s">
        <v>186</v>
      </c>
      <c r="B87" s="47" t="s">
        <v>187</v>
      </c>
      <c r="C87" s="45">
        <f>VLOOKUP(A87,'ESSER I Funding (4425)'!A94:G273,7,FALSE)</f>
        <v>0</v>
      </c>
      <c r="D87" s="45">
        <f>VLOOKUP(A87,'Supplemental ESSER (5425)'!A32:G304,7,FALSE)</f>
        <v>0</v>
      </c>
    </row>
    <row r="88" spans="1:4" ht="18.75" x14ac:dyDescent="0.3">
      <c r="A88" s="46" t="s">
        <v>188</v>
      </c>
      <c r="B88" s="47" t="s">
        <v>485</v>
      </c>
      <c r="C88" s="45">
        <f>VLOOKUP(A88,'ESSER I Funding (4425)'!A95:G274,7,FALSE)</f>
        <v>0</v>
      </c>
      <c r="D88" s="45">
        <v>0</v>
      </c>
    </row>
    <row r="89" spans="1:4" ht="18.75" x14ac:dyDescent="0.3">
      <c r="A89" s="46" t="s">
        <v>190</v>
      </c>
      <c r="B89" s="47" t="s">
        <v>191</v>
      </c>
      <c r="C89" s="45">
        <f>VLOOKUP(A89,'ESSER I Funding (4425)'!A96:G275,7,FALSE)</f>
        <v>0</v>
      </c>
      <c r="D89" s="45">
        <v>0</v>
      </c>
    </row>
    <row r="90" spans="1:4" ht="18.75" x14ac:dyDescent="0.3">
      <c r="A90" s="46" t="s">
        <v>192</v>
      </c>
      <c r="B90" s="47" t="s">
        <v>193</v>
      </c>
      <c r="C90" s="45">
        <f>VLOOKUP(A90,'ESSER I Funding (4425)'!A97:G276,7,FALSE)</f>
        <v>274662.25</v>
      </c>
      <c r="D90" s="45">
        <f>VLOOKUP(A90,'Supplemental ESSER (5425)'!A33:G307,7,FALSE)</f>
        <v>5632.7999999999993</v>
      </c>
    </row>
    <row r="91" spans="1:4" ht="18.75" x14ac:dyDescent="0.3">
      <c r="A91" s="46" t="s">
        <v>194</v>
      </c>
      <c r="B91" s="47" t="s">
        <v>195</v>
      </c>
      <c r="C91" s="45">
        <f>VLOOKUP(A91,'ESSER I Funding (4425)'!A98:G277,7,FALSE)</f>
        <v>0</v>
      </c>
      <c r="D91" s="45">
        <f>VLOOKUP(A91,'Supplemental ESSER (5425)'!A34:G308,7,FALSE)</f>
        <v>689.54</v>
      </c>
    </row>
    <row r="92" spans="1:4" ht="18.75" x14ac:dyDescent="0.3">
      <c r="A92" s="46" t="s">
        <v>196</v>
      </c>
      <c r="B92" s="47" t="s">
        <v>486</v>
      </c>
      <c r="C92" s="45">
        <f>VLOOKUP(A92,'ESSER I Funding (4425)'!A99:G278,7,FALSE)</f>
        <v>0</v>
      </c>
      <c r="D92" s="45">
        <f>VLOOKUP(A92,'Supplemental ESSER (5425)'!A35:G309,7,FALSE)</f>
        <v>0</v>
      </c>
    </row>
    <row r="93" spans="1:4" ht="18.75" x14ac:dyDescent="0.3">
      <c r="A93" s="46" t="s">
        <v>198</v>
      </c>
      <c r="B93" s="47" t="s">
        <v>199</v>
      </c>
      <c r="C93" s="45">
        <f>VLOOKUP(A93,'ESSER I Funding (4425)'!A100:G279,7,FALSE)</f>
        <v>0</v>
      </c>
      <c r="D93" s="45">
        <v>0</v>
      </c>
    </row>
    <row r="94" spans="1:4" ht="18.75" x14ac:dyDescent="0.3">
      <c r="A94" s="46" t="s">
        <v>200</v>
      </c>
      <c r="B94" s="47" t="s">
        <v>487</v>
      </c>
      <c r="C94" s="45">
        <f>VLOOKUP(A94,'ESSER I Funding (4425)'!A101:G280,7,FALSE)</f>
        <v>101571.31000000006</v>
      </c>
      <c r="D94" s="45">
        <v>0</v>
      </c>
    </row>
    <row r="95" spans="1:4" ht="18.75" x14ac:dyDescent="0.3">
      <c r="A95" s="46" t="s">
        <v>202</v>
      </c>
      <c r="B95" s="47" t="s">
        <v>488</v>
      </c>
      <c r="C95" s="45">
        <f>VLOOKUP(A95,'ESSER I Funding (4425)'!A102:G281,7,FALSE)</f>
        <v>9.9999999802093953E-3</v>
      </c>
      <c r="D95" s="45">
        <v>0</v>
      </c>
    </row>
    <row r="96" spans="1:4" ht="18.75" x14ac:dyDescent="0.3">
      <c r="A96" s="46" t="s">
        <v>204</v>
      </c>
      <c r="B96" s="47" t="s">
        <v>205</v>
      </c>
      <c r="C96" s="45">
        <f>VLOOKUP(A96,'ESSER I Funding (4425)'!A103:G282,7,FALSE)</f>
        <v>0</v>
      </c>
      <c r="D96" s="45">
        <v>0</v>
      </c>
    </row>
    <row r="97" spans="1:4" ht="18.75" x14ac:dyDescent="0.3">
      <c r="A97" s="46" t="s">
        <v>206</v>
      </c>
      <c r="B97" s="47" t="s">
        <v>207</v>
      </c>
      <c r="C97" s="45">
        <f>VLOOKUP(A97,'ESSER I Funding (4425)'!A104:G283,7,FALSE)</f>
        <v>0</v>
      </c>
      <c r="D97" s="45">
        <v>0</v>
      </c>
    </row>
    <row r="98" spans="1:4" ht="18.75" x14ac:dyDescent="0.3">
      <c r="A98" s="46" t="s">
        <v>208</v>
      </c>
      <c r="B98" s="47" t="s">
        <v>209</v>
      </c>
      <c r="C98" s="45">
        <f>VLOOKUP(A98,'ESSER I Funding (4425)'!A105:G284,7,FALSE)</f>
        <v>13295.720000000001</v>
      </c>
      <c r="D98" s="45">
        <v>0</v>
      </c>
    </row>
    <row r="99" spans="1:4" ht="18.75" x14ac:dyDescent="0.3">
      <c r="A99" s="46" t="s">
        <v>210</v>
      </c>
      <c r="B99" s="47" t="s">
        <v>489</v>
      </c>
      <c r="C99" s="45">
        <f>VLOOKUP(A99,'ESSER I Funding (4425)'!A106:G285,7,FALSE)</f>
        <v>0</v>
      </c>
      <c r="D99" s="45">
        <v>0</v>
      </c>
    </row>
    <row r="100" spans="1:4" ht="18.75" x14ac:dyDescent="0.3">
      <c r="A100" s="46" t="s">
        <v>212</v>
      </c>
      <c r="B100" s="47" t="s">
        <v>213</v>
      </c>
      <c r="C100" s="45">
        <f>VLOOKUP(A100,'ESSER I Funding (4425)'!A107:G286,7,FALSE)</f>
        <v>0</v>
      </c>
      <c r="D100" s="45">
        <f>VLOOKUP(A100,'Supplemental ESSER (5425)'!A36:G317,7,FALSE)</f>
        <v>0</v>
      </c>
    </row>
    <row r="101" spans="1:4" ht="18.75" x14ac:dyDescent="0.3">
      <c r="A101" s="46" t="s">
        <v>214</v>
      </c>
      <c r="B101" s="47" t="s">
        <v>215</v>
      </c>
      <c r="C101" s="45">
        <f>VLOOKUP(A101,'ESSER I Funding (4425)'!A108:G287,7,FALSE)</f>
        <v>0</v>
      </c>
      <c r="D101" s="45">
        <f>VLOOKUP(A101,'Supplemental ESSER (5425)'!A37:G318,7,FALSE)</f>
        <v>0</v>
      </c>
    </row>
    <row r="102" spans="1:4" ht="18.75" x14ac:dyDescent="0.3">
      <c r="A102" s="46" t="s">
        <v>216</v>
      </c>
      <c r="B102" s="47" t="s">
        <v>217</v>
      </c>
      <c r="C102" s="45">
        <f>VLOOKUP(A102,'ESSER I Funding (4425)'!A109:G288,7,FALSE)</f>
        <v>0</v>
      </c>
      <c r="D102" s="45">
        <v>0</v>
      </c>
    </row>
    <row r="103" spans="1:4" ht="18.75" x14ac:dyDescent="0.3">
      <c r="A103" s="46" t="s">
        <v>218</v>
      </c>
      <c r="B103" s="47" t="s">
        <v>490</v>
      </c>
      <c r="C103" s="45">
        <f>VLOOKUP(A103,'ESSER I Funding (4425)'!A110:G289,7,FALSE)</f>
        <v>0</v>
      </c>
      <c r="D103" s="45">
        <v>0</v>
      </c>
    </row>
    <row r="104" spans="1:4" ht="18.75" x14ac:dyDescent="0.3">
      <c r="A104" s="46" t="s">
        <v>220</v>
      </c>
      <c r="B104" s="47" t="s">
        <v>491</v>
      </c>
      <c r="C104" s="45">
        <f>VLOOKUP(A104,'ESSER I Funding (4425)'!A111:G290,7,FALSE)</f>
        <v>10472.73</v>
      </c>
      <c r="D104" s="45">
        <f>VLOOKUP(A104,'Supplemental ESSER (5425)'!A38:G321,7,FALSE)</f>
        <v>49.6899999999996</v>
      </c>
    </row>
    <row r="105" spans="1:4" ht="18.75" x14ac:dyDescent="0.3">
      <c r="A105" s="46" t="s">
        <v>222</v>
      </c>
      <c r="B105" s="47" t="s">
        <v>492</v>
      </c>
      <c r="C105" s="45">
        <f>VLOOKUP(A105,'ESSER I Funding (4425)'!A112:G291,7,FALSE)</f>
        <v>0</v>
      </c>
      <c r="D105" s="45">
        <v>0</v>
      </c>
    </row>
    <row r="106" spans="1:4" ht="18.75" x14ac:dyDescent="0.3">
      <c r="A106" s="46" t="s">
        <v>224</v>
      </c>
      <c r="B106" s="47" t="s">
        <v>493</v>
      </c>
      <c r="C106" s="45">
        <f>VLOOKUP(A106,'ESSER I Funding (4425)'!A113:G292,7,FALSE)</f>
        <v>0</v>
      </c>
      <c r="D106" s="45">
        <f>VLOOKUP(A106,'Supplemental ESSER (5425)'!A39:G323,7,FALSE)</f>
        <v>0</v>
      </c>
    </row>
    <row r="107" spans="1:4" ht="18.75" x14ac:dyDescent="0.3">
      <c r="A107" s="46" t="s">
        <v>226</v>
      </c>
      <c r="B107" s="47" t="s">
        <v>494</v>
      </c>
      <c r="C107" s="45">
        <f>VLOOKUP(A107,'ESSER I Funding (4425)'!A114:G293,7,FALSE)</f>
        <v>0</v>
      </c>
      <c r="D107" s="45">
        <v>0</v>
      </c>
    </row>
    <row r="108" spans="1:4" ht="18.75" x14ac:dyDescent="0.3">
      <c r="A108" s="46" t="s">
        <v>228</v>
      </c>
      <c r="B108" s="47" t="s">
        <v>495</v>
      </c>
      <c r="C108" s="45">
        <f>VLOOKUP(A108,'ESSER I Funding (4425)'!A115:G294,7,FALSE)</f>
        <v>0</v>
      </c>
      <c r="D108" s="45">
        <f>VLOOKUP(A108,'Supplemental ESSER (5425)'!A40:G325,7,FALSE)</f>
        <v>0</v>
      </c>
    </row>
    <row r="109" spans="1:4" ht="18.75" x14ac:dyDescent="0.3">
      <c r="A109" s="46" t="s">
        <v>230</v>
      </c>
      <c r="B109" s="47" t="s">
        <v>496</v>
      </c>
      <c r="C109" s="45">
        <f>VLOOKUP(A109,'ESSER I Funding (4425)'!A116:G295,7,FALSE)</f>
        <v>0</v>
      </c>
      <c r="D109" s="45">
        <f>VLOOKUP(A109,'Supplemental ESSER (5425)'!A41:G326,7,FALSE)</f>
        <v>0</v>
      </c>
    </row>
    <row r="110" spans="1:4" ht="18.75" x14ac:dyDescent="0.3">
      <c r="A110" s="46" t="s">
        <v>232</v>
      </c>
      <c r="B110" s="47" t="s">
        <v>233</v>
      </c>
      <c r="C110" s="45">
        <f>VLOOKUP(A110,'ESSER I Funding (4425)'!A117:G296,7,FALSE)</f>
        <v>0</v>
      </c>
      <c r="D110" s="45">
        <f>VLOOKUP(A110,'Supplemental ESSER (5425)'!A42:G327,7,FALSE)</f>
        <v>0</v>
      </c>
    </row>
    <row r="111" spans="1:4" ht="18.75" x14ac:dyDescent="0.3">
      <c r="A111" s="46" t="s">
        <v>234</v>
      </c>
      <c r="B111" s="47" t="s">
        <v>235</v>
      </c>
      <c r="C111" s="45">
        <f>VLOOKUP(A111,'ESSER I Funding (4425)'!A118:G297,7,FALSE)</f>
        <v>0</v>
      </c>
      <c r="D111" s="45">
        <v>0</v>
      </c>
    </row>
    <row r="112" spans="1:4" ht="18.75" x14ac:dyDescent="0.3">
      <c r="A112" s="46" t="s">
        <v>236</v>
      </c>
      <c r="B112" s="47" t="s">
        <v>497</v>
      </c>
      <c r="C112" s="45">
        <f>VLOOKUP(A112,'ESSER I Funding (4425)'!A119:G298,7,FALSE)</f>
        <v>0</v>
      </c>
      <c r="D112" s="45">
        <f>VLOOKUP(A112,'Supplemental ESSER (5425)'!A43:G329,7,FALSE)</f>
        <v>0</v>
      </c>
    </row>
    <row r="113" spans="1:4" ht="18.75" x14ac:dyDescent="0.3">
      <c r="A113" s="46" t="s">
        <v>238</v>
      </c>
      <c r="B113" s="47" t="s">
        <v>498</v>
      </c>
      <c r="C113" s="45">
        <f>VLOOKUP(A113,'ESSER I Funding (4425)'!A120:G299,7,FALSE)</f>
        <v>0</v>
      </c>
      <c r="D113" s="45">
        <f>VLOOKUP(A113,'Supplemental ESSER (5425)'!A44:G330,7,FALSE)</f>
        <v>0</v>
      </c>
    </row>
    <row r="114" spans="1:4" ht="18.75" x14ac:dyDescent="0.3">
      <c r="A114" s="46" t="s">
        <v>240</v>
      </c>
      <c r="B114" s="47" t="s">
        <v>499</v>
      </c>
      <c r="C114" s="45">
        <f>VLOOKUP(A114,'ESSER I Funding (4425)'!A121:G300,7,FALSE)</f>
        <v>47224.220000000088</v>
      </c>
      <c r="D114" s="45">
        <f>VLOOKUP(A114,'Supplemental ESSER (5425)'!A45:G331,7,FALSE)</f>
        <v>1571.3500000000058</v>
      </c>
    </row>
    <row r="115" spans="1:4" ht="18.75" x14ac:dyDescent="0.3">
      <c r="A115" s="46" t="s">
        <v>242</v>
      </c>
      <c r="B115" s="47" t="s">
        <v>500</v>
      </c>
      <c r="C115" s="45">
        <f>VLOOKUP(A115,'ESSER I Funding (4425)'!A122:G301,7,FALSE)</f>
        <v>0</v>
      </c>
      <c r="D115" s="45">
        <v>0</v>
      </c>
    </row>
    <row r="116" spans="1:4" ht="18.75" x14ac:dyDescent="0.3">
      <c r="A116" s="46" t="s">
        <v>244</v>
      </c>
      <c r="B116" s="47" t="s">
        <v>501</v>
      </c>
      <c r="C116" s="45">
        <f>VLOOKUP(A116,'ESSER I Funding (4425)'!A123:G302,7,FALSE)</f>
        <v>0</v>
      </c>
      <c r="D116" s="45">
        <v>0</v>
      </c>
    </row>
    <row r="117" spans="1:4" ht="18.75" x14ac:dyDescent="0.3">
      <c r="A117" s="46" t="s">
        <v>246</v>
      </c>
      <c r="B117" s="47" t="s">
        <v>502</v>
      </c>
      <c r="C117" s="45">
        <f>VLOOKUP(A117,'ESSER I Funding (4425)'!A124:G303,7,FALSE)</f>
        <v>0</v>
      </c>
      <c r="D117" s="45">
        <f>VLOOKUP(A117,'Supplemental ESSER (5425)'!A46:G334,7,FALSE)</f>
        <v>0</v>
      </c>
    </row>
    <row r="118" spans="1:4" ht="18.75" x14ac:dyDescent="0.3">
      <c r="A118" s="46" t="s">
        <v>248</v>
      </c>
      <c r="B118" s="47" t="s">
        <v>503</v>
      </c>
      <c r="C118" s="45">
        <f>VLOOKUP(A118,'ESSER I Funding (4425)'!A125:G304,7,FALSE)</f>
        <v>7589.8799999999974</v>
      </c>
      <c r="D118" s="45">
        <v>0</v>
      </c>
    </row>
    <row r="119" spans="1:4" ht="18.75" x14ac:dyDescent="0.3">
      <c r="A119" s="46" t="s">
        <v>250</v>
      </c>
      <c r="B119" s="47" t="s">
        <v>504</v>
      </c>
      <c r="C119" s="45">
        <f>VLOOKUP(A119,'ESSER I Funding (4425)'!A126:G305,7,FALSE)</f>
        <v>0</v>
      </c>
      <c r="D119" s="45">
        <f>VLOOKUP(A119,'Supplemental ESSER (5425)'!A47:G336,7,FALSE)</f>
        <v>0</v>
      </c>
    </row>
    <row r="120" spans="1:4" ht="18.75" x14ac:dyDescent="0.3">
      <c r="A120" s="46" t="s">
        <v>252</v>
      </c>
      <c r="B120" s="47" t="s">
        <v>505</v>
      </c>
      <c r="C120" s="45">
        <f>VLOOKUP(A120,'ESSER I Funding (4425)'!A127:G306,7,FALSE)</f>
        <v>0</v>
      </c>
      <c r="D120" s="45">
        <f>VLOOKUP(A120,'Supplemental ESSER (5425)'!A48:G337,7,FALSE)</f>
        <v>0</v>
      </c>
    </row>
    <row r="121" spans="1:4" ht="18.75" x14ac:dyDescent="0.3">
      <c r="A121" s="46" t="s">
        <v>254</v>
      </c>
      <c r="B121" s="47" t="s">
        <v>506</v>
      </c>
      <c r="C121" s="45">
        <f>VLOOKUP(A121,'ESSER I Funding (4425)'!A128:G307,7,FALSE)</f>
        <v>0</v>
      </c>
      <c r="D121" s="45">
        <f>VLOOKUP(A121,'Supplemental ESSER (5425)'!A49:G338,7,FALSE)</f>
        <v>0</v>
      </c>
    </row>
    <row r="122" spans="1:4" ht="18.75" x14ac:dyDescent="0.3">
      <c r="A122" s="46" t="s">
        <v>256</v>
      </c>
      <c r="B122" s="47" t="s">
        <v>507</v>
      </c>
      <c r="C122" s="45">
        <f>VLOOKUP(A122,'ESSER I Funding (4425)'!A129:G308,7,FALSE)</f>
        <v>0</v>
      </c>
      <c r="D122" s="45">
        <v>0</v>
      </c>
    </row>
    <row r="123" spans="1:4" ht="18.75" x14ac:dyDescent="0.3">
      <c r="A123" s="46" t="s">
        <v>258</v>
      </c>
      <c r="B123" s="47" t="s">
        <v>259</v>
      </c>
      <c r="C123" s="45">
        <f>VLOOKUP(A123,'ESSER I Funding (4425)'!A130:G309,7,FALSE)</f>
        <v>98778.150000000023</v>
      </c>
      <c r="D123" s="45">
        <v>0</v>
      </c>
    </row>
    <row r="124" spans="1:4" ht="18.75" x14ac:dyDescent="0.3">
      <c r="A124" s="46" t="s">
        <v>260</v>
      </c>
      <c r="B124" s="47" t="s">
        <v>261</v>
      </c>
      <c r="C124" s="45">
        <f>VLOOKUP(A124,'ESSER I Funding (4425)'!A131:G310,7,FALSE)</f>
        <v>0</v>
      </c>
      <c r="D124" s="45">
        <v>0</v>
      </c>
    </row>
    <row r="125" spans="1:4" ht="18.75" x14ac:dyDescent="0.3">
      <c r="A125" s="46" t="s">
        <v>262</v>
      </c>
      <c r="B125" s="47" t="s">
        <v>263</v>
      </c>
      <c r="C125" s="45">
        <f>VLOOKUP(A125,'ESSER I Funding (4425)'!A132:G311,7,FALSE)</f>
        <v>0</v>
      </c>
      <c r="D125" s="45">
        <v>0</v>
      </c>
    </row>
    <row r="126" spans="1:4" ht="18.75" x14ac:dyDescent="0.3">
      <c r="A126" s="46" t="s">
        <v>264</v>
      </c>
      <c r="B126" s="47" t="s">
        <v>265</v>
      </c>
      <c r="C126" s="45">
        <f>VLOOKUP(A126,'ESSER I Funding (4425)'!A133:G312,7,FALSE)</f>
        <v>0</v>
      </c>
      <c r="D126" s="45">
        <v>0</v>
      </c>
    </row>
    <row r="127" spans="1:4" ht="18.75" x14ac:dyDescent="0.3">
      <c r="A127" s="46" t="s">
        <v>266</v>
      </c>
      <c r="B127" s="47" t="s">
        <v>267</v>
      </c>
      <c r="C127" s="45">
        <f>VLOOKUP(A127,'ESSER I Funding (4425)'!A134:G313,7,FALSE)</f>
        <v>0</v>
      </c>
      <c r="D127" s="45">
        <v>0</v>
      </c>
    </row>
    <row r="128" spans="1:4" ht="18.75" x14ac:dyDescent="0.3">
      <c r="A128" s="46" t="s">
        <v>268</v>
      </c>
      <c r="B128" s="47" t="s">
        <v>269</v>
      </c>
      <c r="C128" s="45">
        <f>VLOOKUP(A128,'ESSER I Funding (4425)'!A135:G314,7,FALSE)</f>
        <v>0</v>
      </c>
      <c r="D128" s="45">
        <v>0</v>
      </c>
    </row>
    <row r="129" spans="1:4" ht="18.75" x14ac:dyDescent="0.3">
      <c r="A129" s="46" t="s">
        <v>270</v>
      </c>
      <c r="B129" s="47" t="s">
        <v>271</v>
      </c>
      <c r="C129" s="45">
        <f>VLOOKUP(A129,'ESSER I Funding (4425)'!A136:G315,7,FALSE)</f>
        <v>0</v>
      </c>
      <c r="D129" s="45">
        <v>0</v>
      </c>
    </row>
    <row r="130" spans="1:4" ht="18.75" x14ac:dyDescent="0.3">
      <c r="A130" s="46" t="s">
        <v>272</v>
      </c>
      <c r="B130" s="47" t="s">
        <v>273</v>
      </c>
      <c r="C130" s="45">
        <f>VLOOKUP(A130,'ESSER I Funding (4425)'!A137:G316,7,FALSE)</f>
        <v>0</v>
      </c>
      <c r="D130" s="45">
        <v>0</v>
      </c>
    </row>
    <row r="131" spans="1:4" ht="18.75" x14ac:dyDescent="0.3">
      <c r="A131" s="46" t="s">
        <v>274</v>
      </c>
      <c r="B131" s="47" t="s">
        <v>275</v>
      </c>
      <c r="C131" s="45">
        <f>VLOOKUP(A131,'ESSER I Funding (4425)'!A138:G317,7,FALSE)</f>
        <v>0</v>
      </c>
      <c r="D131" s="45">
        <v>0</v>
      </c>
    </row>
    <row r="132" spans="1:4" ht="18.75" x14ac:dyDescent="0.3">
      <c r="A132" s="46" t="s">
        <v>276</v>
      </c>
      <c r="B132" s="47" t="s">
        <v>508</v>
      </c>
      <c r="C132" s="45">
        <f>VLOOKUP(A132,'ESSER I Funding (4425)'!A139:G318,7,FALSE)</f>
        <v>0</v>
      </c>
      <c r="D132" s="45">
        <v>0</v>
      </c>
    </row>
    <row r="133" spans="1:4" ht="18.75" x14ac:dyDescent="0.3">
      <c r="A133" s="46" t="s">
        <v>278</v>
      </c>
      <c r="B133" s="47" t="s">
        <v>509</v>
      </c>
      <c r="C133" s="45">
        <f>VLOOKUP(A133,'ESSER I Funding (4425)'!A140:G319,7,FALSE)</f>
        <v>0</v>
      </c>
      <c r="D133" s="45">
        <v>0</v>
      </c>
    </row>
    <row r="134" spans="1:4" ht="18.75" x14ac:dyDescent="0.3">
      <c r="A134" s="46" t="s">
        <v>280</v>
      </c>
      <c r="B134" s="47" t="s">
        <v>510</v>
      </c>
      <c r="C134" s="45">
        <f>VLOOKUP(A134,'ESSER I Funding (4425)'!A141:G320,7,FALSE)</f>
        <v>0</v>
      </c>
      <c r="D134" s="45">
        <v>0</v>
      </c>
    </row>
    <row r="135" spans="1:4" ht="18.75" x14ac:dyDescent="0.3">
      <c r="A135" s="46" t="s">
        <v>282</v>
      </c>
      <c r="B135" s="47" t="s">
        <v>283</v>
      </c>
      <c r="C135" s="45">
        <f>VLOOKUP(A135,'ESSER I Funding (4425)'!A142:G321,7,FALSE)</f>
        <v>31139</v>
      </c>
      <c r="D135" s="45">
        <v>0</v>
      </c>
    </row>
    <row r="136" spans="1:4" ht="18.75" x14ac:dyDescent="0.3">
      <c r="A136" s="46" t="s">
        <v>284</v>
      </c>
      <c r="B136" s="47" t="s">
        <v>511</v>
      </c>
      <c r="C136" s="45">
        <f>VLOOKUP(A136,'ESSER I Funding (4425)'!A143:G322,7,FALSE)</f>
        <v>27</v>
      </c>
      <c r="D136" s="45">
        <v>0</v>
      </c>
    </row>
    <row r="137" spans="1:4" ht="18.75" x14ac:dyDescent="0.3">
      <c r="A137" s="46" t="s">
        <v>286</v>
      </c>
      <c r="B137" s="47" t="s">
        <v>512</v>
      </c>
      <c r="C137" s="45">
        <f>VLOOKUP(A137,'ESSER I Funding (4425)'!A144:G323,7,FALSE)</f>
        <v>0</v>
      </c>
      <c r="D137" s="45">
        <v>0</v>
      </c>
    </row>
    <row r="138" spans="1:4" ht="18.75" x14ac:dyDescent="0.3">
      <c r="A138" s="46" t="s">
        <v>288</v>
      </c>
      <c r="B138" s="47" t="s">
        <v>513</v>
      </c>
      <c r="C138" s="45">
        <f>VLOOKUP(A138,'ESSER I Funding (4425)'!A145:G324,7,FALSE)</f>
        <v>0</v>
      </c>
      <c r="D138" s="45">
        <v>0</v>
      </c>
    </row>
    <row r="139" spans="1:4" ht="18.75" x14ac:dyDescent="0.3">
      <c r="A139" s="46" t="s">
        <v>290</v>
      </c>
      <c r="B139" s="47" t="s">
        <v>514</v>
      </c>
      <c r="C139" s="45">
        <f>VLOOKUP(A139,'ESSER I Funding (4425)'!A146:G325,7,FALSE)</f>
        <v>0</v>
      </c>
      <c r="D139" s="45">
        <v>0</v>
      </c>
    </row>
    <row r="140" spans="1:4" ht="18.75" x14ac:dyDescent="0.3">
      <c r="A140" s="46" t="s">
        <v>292</v>
      </c>
      <c r="B140" s="47" t="s">
        <v>293</v>
      </c>
      <c r="C140" s="45">
        <f>VLOOKUP(A140,'ESSER I Funding (4425)'!A147:G326,7,FALSE)</f>
        <v>0</v>
      </c>
      <c r="D140" s="45">
        <v>0</v>
      </c>
    </row>
    <row r="141" spans="1:4" ht="18.75" x14ac:dyDescent="0.3">
      <c r="A141" s="46" t="s">
        <v>294</v>
      </c>
      <c r="B141" s="47" t="s">
        <v>515</v>
      </c>
      <c r="C141" s="45">
        <f>VLOOKUP(A141,'ESSER I Funding (4425)'!A148:G327,7,FALSE)</f>
        <v>35.92000000004191</v>
      </c>
      <c r="D141" s="45">
        <f>VLOOKUP(A141,'Supplemental ESSER (5425)'!A50:G358,7,FALSE)</f>
        <v>0</v>
      </c>
    </row>
    <row r="142" spans="1:4" ht="18.75" x14ac:dyDescent="0.3">
      <c r="A142" s="46" t="s">
        <v>296</v>
      </c>
      <c r="B142" s="47" t="s">
        <v>297</v>
      </c>
      <c r="C142" s="45">
        <f>VLOOKUP(A142,'ESSER I Funding (4425)'!A149:G328,7,FALSE)</f>
        <v>0</v>
      </c>
      <c r="D142" s="45">
        <v>0</v>
      </c>
    </row>
    <row r="143" spans="1:4" ht="18.75" x14ac:dyDescent="0.3">
      <c r="A143" s="46" t="s">
        <v>298</v>
      </c>
      <c r="B143" s="47" t="s">
        <v>516</v>
      </c>
      <c r="C143" s="45">
        <f>VLOOKUP(A143,'ESSER I Funding (4425)'!A150:G329,7,FALSE)</f>
        <v>0</v>
      </c>
      <c r="D143" s="45">
        <v>0</v>
      </c>
    </row>
    <row r="144" spans="1:4" ht="18.75" x14ac:dyDescent="0.3">
      <c r="A144" s="46" t="s">
        <v>300</v>
      </c>
      <c r="B144" s="47" t="s">
        <v>301</v>
      </c>
      <c r="C144" s="45">
        <f>VLOOKUP(A144,'ESSER I Funding (4425)'!A151:G330,7,FALSE)</f>
        <v>0</v>
      </c>
      <c r="D144" s="45">
        <v>0</v>
      </c>
    </row>
    <row r="145" spans="1:4" ht="18.75" x14ac:dyDescent="0.3">
      <c r="A145" s="46" t="s">
        <v>302</v>
      </c>
      <c r="B145" s="47" t="s">
        <v>303</v>
      </c>
      <c r="C145" s="45">
        <f>VLOOKUP(A145,'ESSER I Funding (4425)'!A152:G331,7,FALSE)</f>
        <v>0</v>
      </c>
      <c r="D145" s="45">
        <v>0</v>
      </c>
    </row>
    <row r="146" spans="1:4" ht="18.75" x14ac:dyDescent="0.3">
      <c r="A146" s="46" t="s">
        <v>304</v>
      </c>
      <c r="B146" s="47" t="s">
        <v>517</v>
      </c>
      <c r="C146" s="45">
        <f>VLOOKUP(A146,'ESSER I Funding (4425)'!A153:G332,7,FALSE)</f>
        <v>0</v>
      </c>
      <c r="D146" s="45">
        <v>0</v>
      </c>
    </row>
    <row r="147" spans="1:4" ht="18.75" x14ac:dyDescent="0.3">
      <c r="A147" s="46" t="s">
        <v>306</v>
      </c>
      <c r="B147" s="47" t="s">
        <v>518</v>
      </c>
      <c r="C147" s="45">
        <f>VLOOKUP(A147,'ESSER I Funding (4425)'!A154:G333,7,FALSE)</f>
        <v>0</v>
      </c>
      <c r="D147" s="45">
        <v>0</v>
      </c>
    </row>
    <row r="148" spans="1:4" ht="18.75" x14ac:dyDescent="0.3">
      <c r="A148" s="46" t="s">
        <v>308</v>
      </c>
      <c r="B148" s="47" t="s">
        <v>519</v>
      </c>
      <c r="C148" s="45">
        <f>VLOOKUP(A148,'ESSER I Funding (4425)'!A155:G334,7,FALSE)</f>
        <v>0</v>
      </c>
      <c r="D148" s="45">
        <v>0</v>
      </c>
    </row>
    <row r="149" spans="1:4" ht="18.75" x14ac:dyDescent="0.3">
      <c r="A149" s="46" t="s">
        <v>310</v>
      </c>
      <c r="B149" s="47" t="s">
        <v>311</v>
      </c>
      <c r="C149" s="45">
        <f>VLOOKUP(A149,'ESSER I Funding (4425)'!A156:G335,7,FALSE)</f>
        <v>0</v>
      </c>
      <c r="D149" s="45">
        <v>0</v>
      </c>
    </row>
    <row r="150" spans="1:4" ht="18.75" x14ac:dyDescent="0.3">
      <c r="A150" s="46" t="s">
        <v>312</v>
      </c>
      <c r="B150" s="47" t="s">
        <v>313</v>
      </c>
      <c r="C150" s="45">
        <f>VLOOKUP(A150,'ESSER I Funding (4425)'!A157:G336,7,FALSE)</f>
        <v>0</v>
      </c>
      <c r="D150" s="45">
        <v>0</v>
      </c>
    </row>
    <row r="151" spans="1:4" ht="18.75" x14ac:dyDescent="0.3">
      <c r="A151" s="46" t="s">
        <v>314</v>
      </c>
      <c r="B151" s="47" t="s">
        <v>315</v>
      </c>
      <c r="C151" s="45">
        <f>VLOOKUP(A151,'ESSER I Funding (4425)'!A158:G337,7,FALSE)</f>
        <v>0</v>
      </c>
      <c r="D151" s="45">
        <v>0</v>
      </c>
    </row>
    <row r="152" spans="1:4" ht="18.75" x14ac:dyDescent="0.3">
      <c r="A152" s="46" t="s">
        <v>316</v>
      </c>
      <c r="B152" s="47" t="s">
        <v>520</v>
      </c>
      <c r="C152" s="45">
        <f>VLOOKUP(A152,'ESSER I Funding (4425)'!A159:G338,7,FALSE)</f>
        <v>0</v>
      </c>
      <c r="D152" s="45">
        <v>0</v>
      </c>
    </row>
    <row r="153" spans="1:4" ht="18.75" x14ac:dyDescent="0.3">
      <c r="A153" s="46" t="s">
        <v>318</v>
      </c>
      <c r="B153" s="47" t="s">
        <v>319</v>
      </c>
      <c r="C153" s="45">
        <f>VLOOKUP(A153,'ESSER I Funding (4425)'!A160:G339,7,FALSE)</f>
        <v>0</v>
      </c>
      <c r="D153" s="45">
        <f>VLOOKUP(A153,'Supplemental ESSER (5425)'!A51:G370,7,FALSE)</f>
        <v>0</v>
      </c>
    </row>
    <row r="154" spans="1:4" ht="18.75" x14ac:dyDescent="0.3">
      <c r="A154" s="46" t="s">
        <v>320</v>
      </c>
      <c r="B154" s="47" t="s">
        <v>321</v>
      </c>
      <c r="C154" s="45">
        <f>VLOOKUP(A154,'ESSER I Funding (4425)'!A161:G340,7,FALSE)</f>
        <v>0</v>
      </c>
      <c r="D154" s="45">
        <v>0</v>
      </c>
    </row>
    <row r="155" spans="1:4" ht="18.75" x14ac:dyDescent="0.3">
      <c r="A155" s="46" t="s">
        <v>322</v>
      </c>
      <c r="B155" s="47" t="s">
        <v>323</v>
      </c>
      <c r="C155" s="45">
        <f>VLOOKUP(A155,'ESSER I Funding (4425)'!A162:G341,7,FALSE)</f>
        <v>0</v>
      </c>
      <c r="D155" s="45">
        <v>0</v>
      </c>
    </row>
    <row r="156" spans="1:4" ht="18.75" x14ac:dyDescent="0.3">
      <c r="A156" s="46" t="s">
        <v>324</v>
      </c>
      <c r="B156" s="47" t="s">
        <v>521</v>
      </c>
      <c r="C156" s="45">
        <f>VLOOKUP(A156,'ESSER I Funding (4425)'!A163:G342,7,FALSE)</f>
        <v>0</v>
      </c>
      <c r="D156" s="45">
        <f>VLOOKUP(A156,'Supplemental ESSER (5425)'!A52:G373,7,FALSE)</f>
        <v>0</v>
      </c>
    </row>
    <row r="157" spans="1:4" ht="18.75" x14ac:dyDescent="0.3">
      <c r="A157" s="46" t="s">
        <v>326</v>
      </c>
      <c r="B157" s="47" t="s">
        <v>327</v>
      </c>
      <c r="C157" s="45">
        <f>VLOOKUP(A157,'ESSER I Funding (4425)'!A164:G343,7,FALSE)</f>
        <v>0</v>
      </c>
      <c r="D157" s="45">
        <f>VLOOKUP(A157,'Supplemental ESSER (5425)'!A53:G374,7,FALSE)</f>
        <v>10.930000000000291</v>
      </c>
    </row>
    <row r="158" spans="1:4" ht="18.75" x14ac:dyDescent="0.3">
      <c r="A158" s="46" t="s">
        <v>328</v>
      </c>
      <c r="B158" s="47" t="s">
        <v>522</v>
      </c>
      <c r="C158" s="45">
        <f>VLOOKUP(A158,'ESSER I Funding (4425)'!A165:G344,7,FALSE)</f>
        <v>0</v>
      </c>
      <c r="D158" s="45">
        <v>0</v>
      </c>
    </row>
    <row r="159" spans="1:4" ht="18.75" x14ac:dyDescent="0.3">
      <c r="A159" s="46" t="s">
        <v>330</v>
      </c>
      <c r="B159" s="47" t="s">
        <v>523</v>
      </c>
      <c r="C159" s="45">
        <f>VLOOKUP(A159,'ESSER I Funding (4425)'!A166:G345,7,FALSE)</f>
        <v>0</v>
      </c>
      <c r="D159" s="45">
        <v>0</v>
      </c>
    </row>
    <row r="160" spans="1:4" ht="18.75" x14ac:dyDescent="0.3">
      <c r="A160" s="46" t="s">
        <v>332</v>
      </c>
      <c r="B160" s="47" t="s">
        <v>524</v>
      </c>
      <c r="C160" s="45">
        <f>VLOOKUP(A160,'ESSER I Funding (4425)'!A167:G346,7,FALSE)</f>
        <v>0</v>
      </c>
      <c r="D160" s="45">
        <v>0</v>
      </c>
    </row>
    <row r="161" spans="1:4" ht="18.75" x14ac:dyDescent="0.3">
      <c r="A161" s="46" t="s">
        <v>334</v>
      </c>
      <c r="B161" s="47" t="s">
        <v>335</v>
      </c>
      <c r="C161" s="45">
        <f>VLOOKUP(A161,'ESSER I Funding (4425)'!A168:G347,7,FALSE)</f>
        <v>0</v>
      </c>
      <c r="D161" s="45">
        <v>0</v>
      </c>
    </row>
    <row r="162" spans="1:4" ht="18.75" x14ac:dyDescent="0.3">
      <c r="A162" s="46" t="s">
        <v>336</v>
      </c>
      <c r="B162" s="47" t="s">
        <v>337</v>
      </c>
      <c r="C162" s="45">
        <f>VLOOKUP(A162,'ESSER I Funding (4425)'!A169:G348,7,FALSE)</f>
        <v>14745</v>
      </c>
      <c r="D162" s="45">
        <f>VLOOKUP(A162,'Supplemental ESSER (5425)'!A54:G379,7,FALSE)</f>
        <v>10255</v>
      </c>
    </row>
    <row r="163" spans="1:4" ht="18.75" x14ac:dyDescent="0.3">
      <c r="A163" s="46" t="s">
        <v>338</v>
      </c>
      <c r="B163" s="47" t="s">
        <v>339</v>
      </c>
      <c r="C163" s="45">
        <f>VLOOKUP(A163,'ESSER I Funding (4425)'!A170:G349,7,FALSE)</f>
        <v>0</v>
      </c>
      <c r="D163" s="45">
        <f>VLOOKUP(A163,'Supplemental ESSER (5425)'!A55:G380,7,FALSE)</f>
        <v>0</v>
      </c>
    </row>
    <row r="164" spans="1:4" ht="18.75" x14ac:dyDescent="0.3">
      <c r="A164" s="46" t="s">
        <v>340</v>
      </c>
      <c r="B164" s="47" t="s">
        <v>341</v>
      </c>
      <c r="C164" s="45">
        <f>VLOOKUP(A164,'ESSER I Funding (4425)'!A171:G350,7,FALSE)</f>
        <v>0</v>
      </c>
      <c r="D164" s="45">
        <f>VLOOKUP(A164,'Supplemental ESSER (5425)'!A56:G381,7,FALSE)</f>
        <v>0</v>
      </c>
    </row>
    <row r="165" spans="1:4" ht="18.75" x14ac:dyDescent="0.3">
      <c r="A165" s="46" t="s">
        <v>342</v>
      </c>
      <c r="B165" s="47" t="s">
        <v>343</v>
      </c>
      <c r="C165" s="45">
        <f>VLOOKUP(A165,'ESSER I Funding (4425)'!A172:G351,7,FALSE)</f>
        <v>223.61000000000058</v>
      </c>
      <c r="D165" s="45">
        <f>VLOOKUP(A165,'Supplemental ESSER (5425)'!A57:G382,7,FALSE)</f>
        <v>0</v>
      </c>
    </row>
    <row r="166" spans="1:4" ht="18.75" x14ac:dyDescent="0.3">
      <c r="A166" s="46" t="s">
        <v>344</v>
      </c>
      <c r="B166" s="47" t="s">
        <v>525</v>
      </c>
      <c r="C166" s="45">
        <f>VLOOKUP(A166,'ESSER I Funding (4425)'!A173:G352,7,FALSE)</f>
        <v>15380</v>
      </c>
      <c r="D166" s="45">
        <v>0</v>
      </c>
    </row>
    <row r="167" spans="1:4" ht="18.75" x14ac:dyDescent="0.3">
      <c r="A167" s="46" t="s">
        <v>346</v>
      </c>
      <c r="B167" s="47" t="s">
        <v>526</v>
      </c>
      <c r="C167" s="45">
        <f>VLOOKUP(A167,'ESSER I Funding (4425)'!A174:G353,7,FALSE)</f>
        <v>0</v>
      </c>
      <c r="D167" s="45">
        <v>0</v>
      </c>
    </row>
    <row r="168" spans="1:4" ht="18.75" x14ac:dyDescent="0.3">
      <c r="A168" s="46" t="s">
        <v>348</v>
      </c>
      <c r="B168" s="47" t="s">
        <v>349</v>
      </c>
      <c r="C168" s="45">
        <f>VLOOKUP(A168,'ESSER I Funding (4425)'!A175:G354,7,FALSE)</f>
        <v>0</v>
      </c>
      <c r="D168" s="45">
        <v>0</v>
      </c>
    </row>
    <row r="169" spans="1:4" ht="18.75" x14ac:dyDescent="0.3">
      <c r="A169" s="46" t="s">
        <v>350</v>
      </c>
      <c r="B169" s="47" t="s">
        <v>527</v>
      </c>
      <c r="C169" s="45">
        <f>VLOOKUP(A169,'ESSER I Funding (4425)'!A176:G355,7,FALSE)</f>
        <v>0</v>
      </c>
      <c r="D169" s="45">
        <v>0</v>
      </c>
    </row>
    <row r="170" spans="1:4" ht="18.75" x14ac:dyDescent="0.3">
      <c r="A170" s="46" t="s">
        <v>352</v>
      </c>
      <c r="B170" s="47" t="s">
        <v>528</v>
      </c>
      <c r="C170" s="45">
        <f>VLOOKUP(A170,'ESSER I Funding (4425)'!A177:G356,7,FALSE)</f>
        <v>0</v>
      </c>
      <c r="D170" s="45">
        <v>0</v>
      </c>
    </row>
    <row r="171" spans="1:4" ht="18.75" x14ac:dyDescent="0.3">
      <c r="A171" s="46" t="s">
        <v>354</v>
      </c>
      <c r="B171" s="47" t="s">
        <v>355</v>
      </c>
      <c r="C171" s="45">
        <f>VLOOKUP(A171,'ESSER I Funding (4425)'!A178:G357,7,FALSE)</f>
        <v>0</v>
      </c>
      <c r="D171" s="45">
        <v>0</v>
      </c>
    </row>
    <row r="172" spans="1:4" ht="18.75" x14ac:dyDescent="0.3">
      <c r="A172" s="46" t="s">
        <v>356</v>
      </c>
      <c r="B172" s="47" t="s">
        <v>529</v>
      </c>
      <c r="C172" s="45">
        <f>VLOOKUP(A172,'ESSER I Funding (4425)'!A179:G358,7,FALSE)</f>
        <v>0</v>
      </c>
      <c r="D172" s="45">
        <f>VLOOKUP(A172,'Supplemental ESSER (5425)'!A58:G389,7,FALSE)</f>
        <v>0</v>
      </c>
    </row>
    <row r="173" spans="1:4" ht="18.75" x14ac:dyDescent="0.3">
      <c r="A173" s="46" t="s">
        <v>358</v>
      </c>
      <c r="B173" s="47" t="s">
        <v>530</v>
      </c>
      <c r="C173" s="45">
        <f>VLOOKUP(A173,'ESSER I Funding (4425)'!A180:G359,7,FALSE)</f>
        <v>0</v>
      </c>
      <c r="D173" s="45">
        <v>0</v>
      </c>
    </row>
    <row r="174" spans="1:4" ht="18.75" x14ac:dyDescent="0.3">
      <c r="A174" s="46" t="s">
        <v>360</v>
      </c>
      <c r="B174" s="47" t="s">
        <v>531</v>
      </c>
      <c r="C174" s="45">
        <f>VLOOKUP(A174,'ESSER I Funding (4425)'!A181:G360,7,FALSE)</f>
        <v>0</v>
      </c>
      <c r="D174" s="45">
        <v>0</v>
      </c>
    </row>
    <row r="175" spans="1:4" ht="18.75" x14ac:dyDescent="0.3">
      <c r="A175" s="46" t="s">
        <v>362</v>
      </c>
      <c r="B175" s="47" t="s">
        <v>532</v>
      </c>
      <c r="C175" s="45">
        <f>VLOOKUP(A175,'ESSER I Funding (4425)'!A182:G361,7,FALSE)</f>
        <v>0</v>
      </c>
      <c r="D175" s="45">
        <f>VLOOKUP(A175,'Supplemental ESSER (5425)'!A59:G392,7,FALSE)</f>
        <v>0</v>
      </c>
    </row>
    <row r="176" spans="1:4" ht="18.75" x14ac:dyDescent="0.3">
      <c r="A176" s="46" t="s">
        <v>364</v>
      </c>
      <c r="B176" s="47" t="s">
        <v>365</v>
      </c>
      <c r="C176" s="45">
        <f>VLOOKUP(A176,'ESSER I Funding (4425)'!A183:G362,7,FALSE)</f>
        <v>0</v>
      </c>
      <c r="D176" s="45">
        <f>VLOOKUP(A176,'Supplemental ESSER (5425)'!A60:G393,7,FALSE)</f>
        <v>0</v>
      </c>
    </row>
    <row r="177" spans="1:4" ht="18.75" x14ac:dyDescent="0.3">
      <c r="A177" s="46" t="s">
        <v>366</v>
      </c>
      <c r="B177" s="47" t="s">
        <v>533</v>
      </c>
      <c r="C177" s="45">
        <f>VLOOKUP(A177,'ESSER I Funding (4425)'!A184:G363,7,FALSE)</f>
        <v>0</v>
      </c>
      <c r="D177" s="45">
        <f>VLOOKUP(A177,'Supplemental ESSER (5425)'!A61:G394,7,FALSE)</f>
        <v>0</v>
      </c>
    </row>
    <row r="178" spans="1:4" ht="18.75" x14ac:dyDescent="0.3">
      <c r="A178" s="46" t="s">
        <v>368</v>
      </c>
      <c r="B178" s="47" t="s">
        <v>369</v>
      </c>
      <c r="C178" s="45">
        <f>VLOOKUP(A178,'ESSER I Funding (4425)'!A185:G364,7,FALSE)</f>
        <v>0</v>
      </c>
      <c r="D178" s="45">
        <v>0</v>
      </c>
    </row>
    <row r="179" spans="1:4" ht="18.75" x14ac:dyDescent="0.3">
      <c r="A179" s="46" t="s">
        <v>370</v>
      </c>
      <c r="B179" s="47" t="s">
        <v>371</v>
      </c>
      <c r="C179" s="45">
        <f>VLOOKUP(A179,'ESSER I Funding (4425)'!A186:G365,7,FALSE)</f>
        <v>0</v>
      </c>
      <c r="D179" s="45">
        <v>0</v>
      </c>
    </row>
    <row r="180" spans="1:4" ht="18.75" x14ac:dyDescent="0.3">
      <c r="A180" s="46" t="s">
        <v>372</v>
      </c>
      <c r="B180" s="47" t="s">
        <v>373</v>
      </c>
      <c r="C180" s="45">
        <f>VLOOKUP(A180,'ESSER I Funding (4425)'!A187:G366,7,FALSE)</f>
        <v>0</v>
      </c>
      <c r="D180" s="45">
        <f>VLOOKUP(A180,'Supplemental ESSER (5425)'!A61:G397,7,FALSE)</f>
        <v>0</v>
      </c>
    </row>
    <row r="181" spans="1:4" ht="18.75" x14ac:dyDescent="0.3">
      <c r="A181" s="46" t="s">
        <v>374</v>
      </c>
      <c r="B181" s="47" t="s">
        <v>375</v>
      </c>
      <c r="C181" s="45">
        <f>VLOOKUP(A181,'ESSER I Funding (4425)'!A188:G367,7,FALSE)</f>
        <v>0</v>
      </c>
      <c r="D181" s="45">
        <f>VLOOKUP(A181,'Supplemental ESSER (5425)'!A62:G398,7,FALSE)</f>
        <v>0</v>
      </c>
    </row>
    <row r="182" spans="1:4" ht="18.75" x14ac:dyDescent="0.3">
      <c r="A182" s="48" t="s">
        <v>376</v>
      </c>
      <c r="B182" s="47" t="s">
        <v>534</v>
      </c>
      <c r="C182" s="45">
        <f>VLOOKUP(A182,'ESSER I Funding (4425)'!A189:G368,7,FALSE)</f>
        <v>1520.2900000000373</v>
      </c>
      <c r="D182" s="45">
        <v>0</v>
      </c>
    </row>
    <row r="183" spans="1:4" ht="18.75" x14ac:dyDescent="0.3">
      <c r="A183" s="46" t="s">
        <v>378</v>
      </c>
      <c r="B183" s="47" t="s">
        <v>535</v>
      </c>
      <c r="C183" s="45">
        <f>VLOOKUP(A183,'ESSER I Funding (4425)'!A190:G369,7,FALSE)</f>
        <v>0</v>
      </c>
      <c r="D183" s="45">
        <v>0</v>
      </c>
    </row>
    <row r="184" spans="1:4" ht="18.75" x14ac:dyDescent="0.3">
      <c r="A184" s="49" t="s">
        <v>412</v>
      </c>
      <c r="B184" s="50" t="s">
        <v>413</v>
      </c>
      <c r="C184" s="45">
        <v>0</v>
      </c>
      <c r="D184" s="45">
        <f>VLOOKUP(A184,'Supplemental ESSER (5425)'!A70:G401,7,FALSE)</f>
        <v>0</v>
      </c>
    </row>
    <row r="185" spans="1:4" ht="18.75" x14ac:dyDescent="0.3">
      <c r="A185" s="49">
        <v>9030</v>
      </c>
      <c r="B185" s="50" t="s">
        <v>416</v>
      </c>
      <c r="C185" s="45">
        <v>0</v>
      </c>
      <c r="D185" s="45">
        <f>'Supplemental ESSER (5425)'!G71</f>
        <v>1.0000000002037268E-2</v>
      </c>
    </row>
    <row r="186" spans="1:4" ht="18.75" x14ac:dyDescent="0.3">
      <c r="A186" s="49" t="s">
        <v>417</v>
      </c>
      <c r="B186" s="50" t="s">
        <v>536</v>
      </c>
      <c r="C186" s="45">
        <v>0</v>
      </c>
      <c r="D186" s="45">
        <f>VLOOKUP(A186,'Supplemental ESSER (5425)'!A72:G403,7,FALSE)</f>
        <v>0</v>
      </c>
    </row>
    <row r="187" spans="1:4" ht="18.75" x14ac:dyDescent="0.3">
      <c r="A187" s="49" t="s">
        <v>414</v>
      </c>
      <c r="B187" s="51" t="s">
        <v>419</v>
      </c>
      <c r="C187" s="45">
        <v>0</v>
      </c>
      <c r="D187" s="45">
        <f>VLOOKUP(A187,'Supplemental ESSER (5425)'!A73:G404,7,FALSE)</f>
        <v>0</v>
      </c>
    </row>
    <row r="188" spans="1:4" ht="18.75" x14ac:dyDescent="0.3">
      <c r="A188" s="49">
        <v>9045</v>
      </c>
      <c r="B188" s="51" t="s">
        <v>421</v>
      </c>
      <c r="C188" s="45">
        <v>0</v>
      </c>
      <c r="D188" s="45">
        <f>'Supplemental ESSER (5425)'!G74</f>
        <v>2821</v>
      </c>
    </row>
    <row r="189" spans="1:4" ht="18.75" x14ac:dyDescent="0.3">
      <c r="A189" s="49" t="s">
        <v>422</v>
      </c>
      <c r="B189" s="51" t="s">
        <v>423</v>
      </c>
      <c r="C189" s="45">
        <v>0</v>
      </c>
      <c r="D189" s="45">
        <f>VLOOKUP(A189,'Supplemental ESSER (5425)'!A75:G406,7,FALSE)</f>
        <v>0</v>
      </c>
    </row>
    <row r="190" spans="1:4" ht="18.75" x14ac:dyDescent="0.3">
      <c r="A190" s="49" t="s">
        <v>424</v>
      </c>
      <c r="B190" s="51" t="s">
        <v>425</v>
      </c>
      <c r="C190" s="45">
        <v>0</v>
      </c>
      <c r="D190" s="45">
        <f>VLOOKUP(A190,'Supplemental ESSER (5425)'!A76:G407,7,FALSE)</f>
        <v>0</v>
      </c>
    </row>
    <row r="191" spans="1:4" ht="18.75" x14ac:dyDescent="0.3">
      <c r="A191" s="49" t="s">
        <v>426</v>
      </c>
      <c r="B191" s="51" t="s">
        <v>427</v>
      </c>
      <c r="C191" s="45">
        <v>0</v>
      </c>
      <c r="D191" s="45">
        <f>VLOOKUP(A191,'Supplemental ESSER (5425)'!A77:G408,7,FALSE)</f>
        <v>13000</v>
      </c>
    </row>
    <row r="192" spans="1:4" ht="18.75" x14ac:dyDescent="0.3">
      <c r="A192" s="49" t="s">
        <v>428</v>
      </c>
      <c r="B192" s="51" t="s">
        <v>429</v>
      </c>
      <c r="C192" s="45">
        <v>0</v>
      </c>
      <c r="D192" s="45">
        <f>VLOOKUP(A192,'Supplemental ESSER (5425)'!A78:G409,7,FALSE)</f>
        <v>0</v>
      </c>
    </row>
    <row r="193" spans="1:4" ht="18.75" x14ac:dyDescent="0.3">
      <c r="A193" s="49" t="s">
        <v>430</v>
      </c>
      <c r="B193" s="51" t="s">
        <v>431</v>
      </c>
      <c r="C193" s="45">
        <v>0</v>
      </c>
      <c r="D193" s="45">
        <f>VLOOKUP(A193,'Supplemental ESSER (5425)'!A79:G410,7,FALSE)</f>
        <v>0</v>
      </c>
    </row>
    <row r="194" spans="1:4" ht="18.75" x14ac:dyDescent="0.3">
      <c r="A194" s="49" t="s">
        <v>432</v>
      </c>
      <c r="B194" s="51" t="s">
        <v>433</v>
      </c>
      <c r="C194" s="45">
        <v>0</v>
      </c>
      <c r="D194" s="45">
        <f>VLOOKUP(A194,'Supplemental ESSER (5425)'!A80:G411,7,FALSE)</f>
        <v>29193.34</v>
      </c>
    </row>
    <row r="195" spans="1:4" ht="18.75" x14ac:dyDescent="0.3">
      <c r="A195" s="49" t="s">
        <v>543</v>
      </c>
      <c r="B195" s="51" t="s">
        <v>435</v>
      </c>
      <c r="C195" s="45">
        <v>0</v>
      </c>
      <c r="D195" s="45">
        <f>'Supplemental ESSER (5425)'!G81</f>
        <v>0</v>
      </c>
    </row>
    <row r="196" spans="1:4" ht="18.75" x14ac:dyDescent="0.3">
      <c r="A196" s="49" t="s">
        <v>436</v>
      </c>
      <c r="B196" s="51" t="s">
        <v>437</v>
      </c>
      <c r="C196" s="45">
        <v>0</v>
      </c>
      <c r="D196" s="45">
        <f>VLOOKUP(A196,'Supplemental ESSER (5425)'!A82:G413,7,FALSE)</f>
        <v>0</v>
      </c>
    </row>
    <row r="197" spans="1:4" ht="18.75" x14ac:dyDescent="0.3">
      <c r="A197" s="49" t="s">
        <v>438</v>
      </c>
      <c r="B197" s="51" t="s">
        <v>541</v>
      </c>
      <c r="C197" s="45">
        <v>0</v>
      </c>
      <c r="D197" s="45">
        <f>VLOOKUP(A197,'Supplemental ESSER (5425)'!A83:G414,7,FALSE)</f>
        <v>0</v>
      </c>
    </row>
    <row r="198" spans="1:4" ht="18.75" x14ac:dyDescent="0.3">
      <c r="A198" s="49" t="s">
        <v>440</v>
      </c>
      <c r="B198" s="51" t="s">
        <v>441</v>
      </c>
      <c r="C198" s="45">
        <v>0</v>
      </c>
      <c r="D198" s="45">
        <f>VLOOKUP(A198,'Supplemental ESSER (5425)'!A84:G415,7,FALSE)</f>
        <v>0</v>
      </c>
    </row>
    <row r="199" spans="1:4" ht="18.75" x14ac:dyDescent="0.3">
      <c r="A199" s="49" t="s">
        <v>442</v>
      </c>
      <c r="B199" s="51" t="s">
        <v>443</v>
      </c>
      <c r="C199" s="45">
        <v>0</v>
      </c>
      <c r="D199" s="45">
        <f>VLOOKUP(A199,'Supplemental ESSER (5425)'!A85:G416,7,FALSE)</f>
        <v>0</v>
      </c>
    </row>
    <row r="200" spans="1:4" ht="18.75" x14ac:dyDescent="0.3">
      <c r="A200" s="49" t="s">
        <v>444</v>
      </c>
      <c r="B200" s="51" t="s">
        <v>445</v>
      </c>
      <c r="C200" s="45">
        <v>0</v>
      </c>
      <c r="D200" s="45">
        <f>VLOOKUP(A200,'Supplemental ESSER (5425)'!A86:G417,7,FALSE)</f>
        <v>0</v>
      </c>
    </row>
    <row r="201" spans="1:4" ht="18.75" x14ac:dyDescent="0.3">
      <c r="A201" s="49" t="s">
        <v>449</v>
      </c>
      <c r="B201" s="51" t="s">
        <v>410</v>
      </c>
      <c r="C201" s="45">
        <v>0</v>
      </c>
      <c r="D201" s="45">
        <f>'Supplemental ESSER (5425)'!G66</f>
        <v>9148.89</v>
      </c>
    </row>
    <row r="202" spans="1:4" ht="18.75" x14ac:dyDescent="0.3">
      <c r="A202" s="49" t="s">
        <v>542</v>
      </c>
      <c r="B202" s="51" t="s">
        <v>411</v>
      </c>
      <c r="C202" s="55">
        <v>0</v>
      </c>
      <c r="D202" s="55">
        <f>'Supplemental ESSER (5425)'!G67</f>
        <v>35000</v>
      </c>
    </row>
    <row r="203" spans="1:4" x14ac:dyDescent="0.25">
      <c r="C203" s="53"/>
      <c r="D203" s="53"/>
    </row>
    <row r="204" spans="1:4" ht="18.75" x14ac:dyDescent="0.3">
      <c r="C204" s="45">
        <f>SUM(C4:C203)</f>
        <v>2096614.5399999989</v>
      </c>
      <c r="D204" s="45">
        <f>SUM(D4:D203)</f>
        <v>181202.13</v>
      </c>
    </row>
    <row r="205" spans="1:4" x14ac:dyDescent="0.25">
      <c r="C205" s="53"/>
      <c r="D205" s="53"/>
    </row>
    <row r="206" spans="1:4" x14ac:dyDescent="0.25">
      <c r="C206" s="53"/>
      <c r="D206" s="53"/>
    </row>
    <row r="207" spans="1:4" x14ac:dyDescent="0.25">
      <c r="C207" s="53"/>
      <c r="D207" s="53"/>
    </row>
    <row r="208" spans="1:4" x14ac:dyDescent="0.25">
      <c r="C208" s="53"/>
      <c r="D208" s="53"/>
    </row>
    <row r="209" spans="3:4" x14ac:dyDescent="0.25">
      <c r="C209" s="53"/>
      <c r="D209" s="53"/>
    </row>
    <row r="210" spans="3:4" x14ac:dyDescent="0.25">
      <c r="C210" s="53"/>
      <c r="D210" s="53"/>
    </row>
    <row r="211" spans="3:4" x14ac:dyDescent="0.25">
      <c r="C211" s="53"/>
      <c r="D211" s="53"/>
    </row>
    <row r="212" spans="3:4" x14ac:dyDescent="0.25">
      <c r="C212" s="53"/>
      <c r="D212" s="53"/>
    </row>
    <row r="213" spans="3:4" x14ac:dyDescent="0.25">
      <c r="C213" s="53"/>
      <c r="D213" s="53"/>
    </row>
    <row r="214" spans="3:4" x14ac:dyDescent="0.25">
      <c r="C214" s="53"/>
      <c r="D214" s="53"/>
    </row>
    <row r="215" spans="3:4" x14ac:dyDescent="0.25">
      <c r="C215" s="53"/>
      <c r="D215" s="53"/>
    </row>
    <row r="216" spans="3:4" x14ac:dyDescent="0.25">
      <c r="C216" s="53"/>
      <c r="D216" s="53"/>
    </row>
    <row r="217" spans="3:4" x14ac:dyDescent="0.25">
      <c r="C217" s="53"/>
      <c r="D217" s="53"/>
    </row>
    <row r="218" spans="3:4" x14ac:dyDescent="0.25">
      <c r="C218" s="53"/>
      <c r="D218" s="53"/>
    </row>
    <row r="219" spans="3:4" x14ac:dyDescent="0.25">
      <c r="C219" s="53"/>
      <c r="D219" s="53"/>
    </row>
    <row r="220" spans="3:4" x14ac:dyDescent="0.25">
      <c r="C220" s="53"/>
      <c r="D220" s="53"/>
    </row>
    <row r="221" spans="3:4" x14ac:dyDescent="0.25">
      <c r="C221" s="53"/>
      <c r="D221" s="53"/>
    </row>
    <row r="222" spans="3:4" x14ac:dyDescent="0.25">
      <c r="C222" s="53"/>
      <c r="D222" s="53"/>
    </row>
    <row r="223" spans="3:4" x14ac:dyDescent="0.25">
      <c r="C223" s="53"/>
      <c r="D223" s="53"/>
    </row>
    <row r="224" spans="3:4" x14ac:dyDescent="0.25">
      <c r="C224" s="53"/>
      <c r="D224" s="53"/>
    </row>
  </sheetData>
  <sheetProtection algorithmName="SHA-512" hashValue="VaOc5LoyGejXYIj4vDwVu37JxiNefWpcLh+X3FwbuKVfuMfpaAT2LIwgpv0PJACkwDhQ/oPHfkxKTlAaIWpQfA==" saltValue="t+ZXmpNQClJECxhB7bsihQ==" spinCount="100000" sheet="1" objects="1" scenarios="1"/>
  <mergeCells count="1">
    <mergeCell ref="A1:D2"/>
  </mergeCells>
  <phoneticPr fontId="15" type="noConversion"/>
  <pageMargins left="0.7" right="0.7" top="0.75" bottom="0.75" header="0.3" footer="0.3"/>
  <pageSetup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5"/>
  <sheetViews>
    <sheetView workbookViewId="0">
      <pane xSplit="7" topLeftCell="AG1" activePane="topRight" state="frozen"/>
      <selection pane="topRight" activeCell="AJ190" sqref="AJ190"/>
    </sheetView>
  </sheetViews>
  <sheetFormatPr defaultRowHeight="15" x14ac:dyDescent="0.25"/>
  <cols>
    <col min="1" max="1" width="17.28515625" customWidth="1"/>
    <col min="2" max="2" width="40" customWidth="1"/>
    <col min="3" max="3" width="20.42578125" customWidth="1"/>
    <col min="4" max="4" width="12.7109375" customWidth="1"/>
    <col min="5" max="5" width="17.28515625" customWidth="1"/>
    <col min="6" max="6" width="16.140625" customWidth="1"/>
    <col min="7" max="7" width="15.85546875" customWidth="1"/>
    <col min="8" max="8" width="15.28515625" customWidth="1"/>
    <col min="9" max="9" width="12" customWidth="1"/>
    <col min="10" max="10" width="14.42578125" customWidth="1"/>
    <col min="11" max="11" width="12.5703125" customWidth="1"/>
    <col min="12" max="12" width="17.28515625" customWidth="1"/>
    <col min="13" max="13" width="14" customWidth="1"/>
    <col min="14" max="14" width="19" customWidth="1"/>
    <col min="15" max="15" width="15.7109375" customWidth="1"/>
    <col min="16" max="16" width="16.7109375" customWidth="1"/>
    <col min="17" max="17" width="15.42578125" customWidth="1"/>
    <col min="18" max="18" width="18" customWidth="1"/>
    <col min="19" max="20" width="15.85546875" customWidth="1"/>
    <col min="21" max="21" width="13.85546875" customWidth="1"/>
    <col min="22" max="22" width="16.85546875" customWidth="1"/>
    <col min="23" max="23" width="16.42578125" customWidth="1"/>
    <col min="24" max="24" width="14.140625" customWidth="1"/>
    <col min="25" max="25" width="15.42578125" customWidth="1"/>
    <col min="26" max="26" width="14.42578125" customWidth="1"/>
    <col min="27" max="27" width="13.42578125" customWidth="1"/>
    <col min="28" max="28" width="14.7109375" customWidth="1"/>
    <col min="29" max="29" width="14.5703125" customWidth="1"/>
    <col min="30" max="30" width="16.85546875" customWidth="1"/>
    <col min="31" max="31" width="16.140625" customWidth="1"/>
    <col min="32" max="32" width="15.140625" customWidth="1"/>
    <col min="33" max="33" width="13.28515625" customWidth="1"/>
    <col min="34" max="34" width="18" customWidth="1"/>
    <col min="35" max="35" width="14.85546875" customWidth="1"/>
    <col min="36" max="36" width="15.28515625" customWidth="1"/>
  </cols>
  <sheetData>
    <row r="1" spans="1:36" ht="21" x14ac:dyDescent="0.35">
      <c r="A1" s="1" t="s">
        <v>0</v>
      </c>
      <c r="B1" s="2"/>
      <c r="C1" s="1" t="s">
        <v>1</v>
      </c>
      <c r="D1" s="3"/>
      <c r="E1" s="1"/>
      <c r="F1" s="4"/>
      <c r="G1" s="4"/>
    </row>
    <row r="2" spans="1:36" ht="15.75" x14ac:dyDescent="0.25">
      <c r="A2" s="5" t="s">
        <v>2</v>
      </c>
      <c r="B2" s="2"/>
      <c r="C2" s="6" t="s">
        <v>3</v>
      </c>
      <c r="D2" s="7"/>
      <c r="E2" s="6"/>
      <c r="F2" s="8"/>
      <c r="G2" s="8"/>
    </row>
    <row r="3" spans="1:36" ht="15.75" x14ac:dyDescent="0.25">
      <c r="A3" s="5" t="s">
        <v>4</v>
      </c>
      <c r="B3" s="2"/>
      <c r="C3" s="5">
        <v>4425</v>
      </c>
      <c r="D3" s="9"/>
      <c r="E3" s="5"/>
      <c r="F3" s="8"/>
      <c r="G3" s="8"/>
    </row>
    <row r="4" spans="1:36" ht="15.75" x14ac:dyDescent="0.25">
      <c r="A4" s="5" t="s">
        <v>5</v>
      </c>
      <c r="B4" s="2"/>
      <c r="C4" s="8" t="s">
        <v>6</v>
      </c>
      <c r="D4" s="10"/>
      <c r="E4" s="8"/>
      <c r="F4" s="8"/>
      <c r="G4" s="11"/>
    </row>
    <row r="5" spans="1:36" ht="15.75" x14ac:dyDescent="0.25">
      <c r="A5" s="5" t="s">
        <v>7</v>
      </c>
      <c r="B5" s="2"/>
      <c r="C5" s="8" t="s">
        <v>8</v>
      </c>
      <c r="D5" s="10"/>
      <c r="E5" s="8"/>
      <c r="F5" s="8"/>
      <c r="G5" s="11"/>
    </row>
    <row r="6" spans="1:36" ht="15.75" x14ac:dyDescent="0.25">
      <c r="A6" s="5"/>
      <c r="B6" s="2"/>
      <c r="C6" s="8" t="s">
        <v>9</v>
      </c>
      <c r="D6" s="10"/>
      <c r="E6" s="8"/>
      <c r="F6" s="8"/>
      <c r="G6" s="11"/>
    </row>
    <row r="7" spans="1:36" ht="15.75" x14ac:dyDescent="0.25">
      <c r="A7" s="5" t="s">
        <v>10</v>
      </c>
      <c r="B7" s="2"/>
      <c r="C7" s="8" t="s">
        <v>447</v>
      </c>
      <c r="D7" s="10"/>
      <c r="E7" s="8"/>
      <c r="F7" s="8"/>
      <c r="G7" s="11"/>
    </row>
    <row r="8" spans="1:36" ht="15.75" x14ac:dyDescent="0.25">
      <c r="A8" s="5" t="s">
        <v>11</v>
      </c>
      <c r="B8" s="2"/>
      <c r="C8" s="8" t="s">
        <v>448</v>
      </c>
      <c r="D8" s="10"/>
      <c r="E8" s="8"/>
      <c r="F8" s="8"/>
      <c r="G8" s="11"/>
    </row>
    <row r="9" spans="1:36" ht="16.5" thickBot="1" x14ac:dyDescent="0.3">
      <c r="A9" s="5" t="s">
        <v>12</v>
      </c>
      <c r="B9" s="2"/>
      <c r="C9" s="8" t="s">
        <v>408</v>
      </c>
      <c r="D9" s="10"/>
      <c r="E9" s="8"/>
      <c r="F9" s="8"/>
      <c r="G9" s="11"/>
    </row>
    <row r="10" spans="1:36" ht="45.75" thickBot="1" x14ac:dyDescent="0.3">
      <c r="A10" s="12" t="s">
        <v>13</v>
      </c>
      <c r="B10" s="13" t="s">
        <v>14</v>
      </c>
      <c r="C10" s="13" t="s">
        <v>15</v>
      </c>
      <c r="D10" s="14" t="s">
        <v>16</v>
      </c>
      <c r="E10" s="15" t="s">
        <v>17</v>
      </c>
      <c r="F10" s="16" t="s">
        <v>18</v>
      </c>
      <c r="G10" s="17" t="s">
        <v>19</v>
      </c>
      <c r="H10" s="26" t="s">
        <v>381</v>
      </c>
      <c r="I10" s="26" t="s">
        <v>382</v>
      </c>
      <c r="J10" s="26" t="s">
        <v>383</v>
      </c>
      <c r="K10" s="26" t="s">
        <v>384</v>
      </c>
      <c r="L10" s="26" t="s">
        <v>385</v>
      </c>
      <c r="M10" s="26" t="s">
        <v>386</v>
      </c>
      <c r="N10" s="26" t="s">
        <v>387</v>
      </c>
      <c r="O10" s="26" t="s">
        <v>388</v>
      </c>
      <c r="P10" s="26" t="s">
        <v>389</v>
      </c>
      <c r="Q10" s="26" t="s">
        <v>390</v>
      </c>
      <c r="R10" s="26" t="s">
        <v>391</v>
      </c>
      <c r="S10" s="26" t="s">
        <v>392</v>
      </c>
      <c r="T10" s="26" t="s">
        <v>393</v>
      </c>
      <c r="U10" s="26" t="s">
        <v>394</v>
      </c>
      <c r="V10" s="26" t="s">
        <v>395</v>
      </c>
      <c r="W10" s="26" t="s">
        <v>396</v>
      </c>
      <c r="X10" s="26" t="s">
        <v>397</v>
      </c>
      <c r="Y10" s="26" t="s">
        <v>398</v>
      </c>
      <c r="Z10" s="26" t="s">
        <v>399</v>
      </c>
      <c r="AA10" s="26" t="s">
        <v>400</v>
      </c>
      <c r="AB10" s="26" t="s">
        <v>401</v>
      </c>
      <c r="AC10" s="26" t="s">
        <v>402</v>
      </c>
      <c r="AD10" s="26" t="s">
        <v>403</v>
      </c>
      <c r="AE10" s="26" t="s">
        <v>404</v>
      </c>
      <c r="AF10" s="26" t="s">
        <v>405</v>
      </c>
      <c r="AG10" s="26" t="s">
        <v>406</v>
      </c>
      <c r="AH10" s="26" t="s">
        <v>407</v>
      </c>
      <c r="AI10" s="26" t="s">
        <v>606</v>
      </c>
      <c r="AJ10" s="26" t="s">
        <v>607</v>
      </c>
    </row>
    <row r="11" spans="1:36" ht="16.5" thickBot="1" x14ac:dyDescent="0.3">
      <c r="A11" s="18" t="s">
        <v>20</v>
      </c>
      <c r="B11" s="19" t="s">
        <v>21</v>
      </c>
      <c r="C11" s="20">
        <v>926989</v>
      </c>
      <c r="D11" s="21"/>
      <c r="E11" s="22">
        <f>C11</f>
        <v>926989</v>
      </c>
      <c r="F11" s="22">
        <f>SUM(H11:AK11)</f>
        <v>926989</v>
      </c>
      <c r="G11" s="22">
        <f>E11-(F11+AL11+AM11)</f>
        <v>0</v>
      </c>
      <c r="H11" s="28"/>
      <c r="I11" s="28"/>
      <c r="J11" s="28"/>
      <c r="K11" s="28"/>
      <c r="L11" s="28"/>
      <c r="M11" s="28"/>
      <c r="N11" s="28"/>
      <c r="O11" s="28"/>
      <c r="P11" s="28">
        <v>571211.56999999995</v>
      </c>
      <c r="Q11" s="28">
        <v>166036.54</v>
      </c>
      <c r="R11" s="28">
        <v>147957.1</v>
      </c>
      <c r="S11" s="28">
        <v>14224.64</v>
      </c>
      <c r="T11" s="28">
        <v>27559.15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6" ht="16.5" thickBot="1" x14ac:dyDescent="0.3">
      <c r="A12" s="18" t="s">
        <v>22</v>
      </c>
      <c r="B12" s="19" t="s">
        <v>23</v>
      </c>
      <c r="C12" s="20">
        <v>3575675</v>
      </c>
      <c r="D12" s="21"/>
      <c r="E12" s="22">
        <f t="shared" ref="E12:E75" si="0">C12</f>
        <v>3575675</v>
      </c>
      <c r="F12" s="22">
        <f t="shared" ref="F12:F75" si="1">SUM(H12:AK12)</f>
        <v>3482593</v>
      </c>
      <c r="G12" s="22">
        <f t="shared" ref="G12:G75" si="2">E12-(F12+AL12+AM12)</f>
        <v>93082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>
        <f>1028396.06+641904.91</f>
        <v>1670300.9700000002</v>
      </c>
      <c r="S12" s="28"/>
      <c r="T12" s="28"/>
      <c r="U12" s="28"/>
      <c r="V12" s="28"/>
      <c r="W12" s="28">
        <v>6601.5</v>
      </c>
      <c r="X12" s="28">
        <f>1191297.49+1032.47</f>
        <v>1192329.96</v>
      </c>
      <c r="Y12" s="28">
        <v>135861.53</v>
      </c>
      <c r="Z12" s="28">
        <v>62482.02</v>
      </c>
      <c r="AA12" s="28">
        <v>52114.59</v>
      </c>
      <c r="AB12" s="28">
        <v>53217.14</v>
      </c>
      <c r="AC12" s="28">
        <v>80822.960000000006</v>
      </c>
      <c r="AD12" s="28">
        <v>57659.19</v>
      </c>
      <c r="AE12" s="28">
        <f>53370.02+53689.16</f>
        <v>107059.18</v>
      </c>
      <c r="AF12" s="28"/>
      <c r="AG12" s="28">
        <v>64143.96</v>
      </c>
      <c r="AH12" s="28"/>
    </row>
    <row r="13" spans="1:36" ht="16.5" thickBot="1" x14ac:dyDescent="0.3">
      <c r="A13" s="18" t="s">
        <v>24</v>
      </c>
      <c r="B13" s="19" t="s">
        <v>25</v>
      </c>
      <c r="C13" s="20">
        <v>1656681</v>
      </c>
      <c r="D13" s="21"/>
      <c r="E13" s="22">
        <f t="shared" si="0"/>
        <v>1656681</v>
      </c>
      <c r="F13" s="22">
        <f t="shared" si="1"/>
        <v>1656681</v>
      </c>
      <c r="G13" s="22">
        <f t="shared" si="2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>
        <v>1656681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6" ht="16.5" thickBot="1" x14ac:dyDescent="0.3">
      <c r="A14" s="18" t="s">
        <v>26</v>
      </c>
      <c r="B14" s="19" t="s">
        <v>27</v>
      </c>
      <c r="C14" s="20">
        <v>1025191</v>
      </c>
      <c r="D14" s="21"/>
      <c r="E14" s="22">
        <f t="shared" si="0"/>
        <v>1025191</v>
      </c>
      <c r="F14" s="22">
        <f t="shared" si="1"/>
        <v>1025038.0299999999</v>
      </c>
      <c r="G14" s="22">
        <f t="shared" si="2"/>
        <v>152.97000000008848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>
        <v>817300.86</v>
      </c>
      <c r="T14" s="28"/>
      <c r="U14" s="28"/>
      <c r="V14" s="28">
        <f>91678.39+35490.83</f>
        <v>127169.22</v>
      </c>
      <c r="W14" s="28"/>
      <c r="X14" s="28">
        <v>26658.98</v>
      </c>
      <c r="Y14" s="28"/>
      <c r="Z14" s="28"/>
      <c r="AA14" s="28"/>
      <c r="AB14" s="28"/>
      <c r="AC14" s="28"/>
      <c r="AD14" s="28"/>
      <c r="AE14" s="28">
        <v>53908.97</v>
      </c>
      <c r="AF14" s="28"/>
      <c r="AG14" s="28"/>
      <c r="AH14" s="28"/>
    </row>
    <row r="15" spans="1:36" ht="16.5" thickBot="1" x14ac:dyDescent="0.3">
      <c r="A15" s="18" t="s">
        <v>28</v>
      </c>
      <c r="B15" s="19" t="s">
        <v>29</v>
      </c>
      <c r="C15" s="20">
        <v>69299</v>
      </c>
      <c r="D15" s="21"/>
      <c r="E15" s="22">
        <f t="shared" si="0"/>
        <v>69299</v>
      </c>
      <c r="F15" s="22">
        <f t="shared" si="1"/>
        <v>69299</v>
      </c>
      <c r="G15" s="22">
        <f t="shared" si="2"/>
        <v>0</v>
      </c>
      <c r="H15" s="28"/>
      <c r="I15" s="28"/>
      <c r="J15" s="28"/>
      <c r="K15" s="28"/>
      <c r="L15" s="28"/>
      <c r="M15" s="28">
        <v>69299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6" ht="16.5" thickBot="1" x14ac:dyDescent="0.3">
      <c r="A16" s="18" t="s">
        <v>30</v>
      </c>
      <c r="B16" s="19" t="s">
        <v>31</v>
      </c>
      <c r="C16" s="20">
        <v>49326</v>
      </c>
      <c r="D16" s="21"/>
      <c r="E16" s="22">
        <f t="shared" si="0"/>
        <v>49326</v>
      </c>
      <c r="F16" s="22">
        <f t="shared" si="1"/>
        <v>49326</v>
      </c>
      <c r="G16" s="22">
        <f t="shared" si="2"/>
        <v>0</v>
      </c>
      <c r="H16" s="28"/>
      <c r="I16" s="28"/>
      <c r="J16" s="28"/>
      <c r="K16" s="28"/>
      <c r="L16" s="28"/>
      <c r="M16" s="28"/>
      <c r="N16" s="28"/>
      <c r="O16" s="28">
        <v>10999.98</v>
      </c>
      <c r="P16" s="28"/>
      <c r="Q16" s="28"/>
      <c r="R16" s="28"/>
      <c r="S16" s="28">
        <v>27316.62</v>
      </c>
      <c r="T16" s="28"/>
      <c r="U16" s="28"/>
      <c r="V16" s="28"/>
      <c r="W16" s="28"/>
      <c r="X16" s="28"/>
      <c r="Y16" s="28"/>
      <c r="Z16" s="28">
        <v>11009.4</v>
      </c>
      <c r="AA16" s="28"/>
      <c r="AB16" s="28"/>
      <c r="AC16" s="28"/>
      <c r="AD16" s="28"/>
      <c r="AE16" s="28"/>
      <c r="AF16" s="28"/>
      <c r="AG16" s="28"/>
      <c r="AH16" s="28"/>
    </row>
    <row r="17" spans="1:34" ht="16.5" thickBot="1" x14ac:dyDescent="0.3">
      <c r="A17" s="18" t="s">
        <v>32</v>
      </c>
      <c r="B17" s="19" t="s">
        <v>33</v>
      </c>
      <c r="C17" s="20">
        <v>2065454</v>
      </c>
      <c r="D17" s="21"/>
      <c r="E17" s="22">
        <f t="shared" si="0"/>
        <v>2065454</v>
      </c>
      <c r="F17" s="22">
        <f t="shared" si="1"/>
        <v>2065454.0000000005</v>
      </c>
      <c r="G17" s="22">
        <f t="shared" si="2"/>
        <v>0</v>
      </c>
      <c r="H17" s="28"/>
      <c r="I17" s="28"/>
      <c r="J17" s="28"/>
      <c r="K17" s="28"/>
      <c r="L17" s="28"/>
      <c r="M17" s="28"/>
      <c r="N17" s="28"/>
      <c r="O17" s="28"/>
      <c r="P17" s="28">
        <v>277886.67</v>
      </c>
      <c r="Q17" s="28">
        <f>262430.74</f>
        <v>262430.74</v>
      </c>
      <c r="R17" s="28">
        <f>254932.78+304373.49</f>
        <v>559306.27</v>
      </c>
      <c r="S17" s="28">
        <v>422025.09</v>
      </c>
      <c r="T17" s="28"/>
      <c r="U17" s="28"/>
      <c r="V17" s="28">
        <v>332703.75</v>
      </c>
      <c r="W17" s="28"/>
      <c r="X17" s="28">
        <v>19084.57</v>
      </c>
      <c r="Y17" s="28">
        <v>15627.54</v>
      </c>
      <c r="Z17" s="28">
        <v>16086.37</v>
      </c>
      <c r="AA17" s="28">
        <v>20835.36</v>
      </c>
      <c r="AB17" s="28">
        <v>16222.96</v>
      </c>
      <c r="AC17" s="28">
        <v>16224.57</v>
      </c>
      <c r="AD17" s="28">
        <v>20945.54</v>
      </c>
      <c r="AE17" s="28">
        <v>34990.699999999997</v>
      </c>
      <c r="AF17" s="28"/>
      <c r="AG17" s="28">
        <v>51083.87</v>
      </c>
      <c r="AH17" s="28"/>
    </row>
    <row r="18" spans="1:34" ht="16.5" thickBot="1" x14ac:dyDescent="0.3">
      <c r="A18" s="18" t="s">
        <v>34</v>
      </c>
      <c r="B18" s="19" t="s">
        <v>35</v>
      </c>
      <c r="C18" s="20">
        <v>670039</v>
      </c>
      <c r="D18" s="21"/>
      <c r="E18" s="22">
        <f t="shared" si="0"/>
        <v>670039</v>
      </c>
      <c r="F18" s="22">
        <f t="shared" si="1"/>
        <v>670038.77999999991</v>
      </c>
      <c r="G18" s="22">
        <f t="shared" si="2"/>
        <v>0.22000000008847564</v>
      </c>
      <c r="H18" s="28"/>
      <c r="I18" s="28"/>
      <c r="J18" s="28"/>
      <c r="K18" s="28"/>
      <c r="L18" s="28"/>
      <c r="M18" s="28">
        <v>127280.64</v>
      </c>
      <c r="N18" s="28">
        <v>42768.32</v>
      </c>
      <c r="O18" s="28">
        <v>35495.06</v>
      </c>
      <c r="P18" s="28">
        <v>36069.97</v>
      </c>
      <c r="Q18" s="28">
        <v>42792.49</v>
      </c>
      <c r="R18" s="28">
        <v>42696.39</v>
      </c>
      <c r="S18" s="28">
        <v>137490.57</v>
      </c>
      <c r="T18" s="28">
        <v>152922.26999999999</v>
      </c>
      <c r="U18" s="28">
        <v>47706.99</v>
      </c>
      <c r="V18" s="28">
        <v>4816.08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16.5" thickBot="1" x14ac:dyDescent="0.3">
      <c r="A19" s="18" t="s">
        <v>36</v>
      </c>
      <c r="B19" s="19" t="s">
        <v>37</v>
      </c>
      <c r="C19" s="20">
        <v>79119</v>
      </c>
      <c r="D19" s="21"/>
      <c r="E19" s="22">
        <f t="shared" si="0"/>
        <v>79119</v>
      </c>
      <c r="F19" s="22">
        <f t="shared" si="1"/>
        <v>79119</v>
      </c>
      <c r="G19" s="22">
        <f t="shared" si="2"/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>
        <v>79119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16.5" thickBot="1" x14ac:dyDescent="0.3">
      <c r="A20" s="18" t="s">
        <v>38</v>
      </c>
      <c r="B20" s="19" t="s">
        <v>39</v>
      </c>
      <c r="C20" s="20">
        <v>486648</v>
      </c>
      <c r="D20" s="21"/>
      <c r="E20" s="22">
        <f t="shared" si="0"/>
        <v>486648</v>
      </c>
      <c r="F20" s="22">
        <f t="shared" si="1"/>
        <v>486648</v>
      </c>
      <c r="G20" s="22">
        <f t="shared" si="2"/>
        <v>0</v>
      </c>
      <c r="H20" s="28"/>
      <c r="I20" s="28"/>
      <c r="J20" s="28"/>
      <c r="K20" s="28"/>
      <c r="L20" s="28">
        <v>151191</v>
      </c>
      <c r="M20" s="28">
        <v>41725</v>
      </c>
      <c r="N20" s="28">
        <v>41257</v>
      </c>
      <c r="O20" s="28">
        <v>41258</v>
      </c>
      <c r="P20" s="28">
        <v>41256</v>
      </c>
      <c r="Q20" s="28">
        <v>36806</v>
      </c>
      <c r="R20" s="28">
        <v>35536</v>
      </c>
      <c r="S20" s="28">
        <v>36255</v>
      </c>
      <c r="T20" s="28">
        <v>61364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16.5" thickBot="1" x14ac:dyDescent="0.3">
      <c r="A21" s="18" t="s">
        <v>40</v>
      </c>
      <c r="B21" s="19" t="s">
        <v>41</v>
      </c>
      <c r="C21" s="20">
        <v>666077</v>
      </c>
      <c r="D21" s="21"/>
      <c r="E21" s="22">
        <f t="shared" si="0"/>
        <v>666077</v>
      </c>
      <c r="F21" s="22">
        <f t="shared" si="1"/>
        <v>666077</v>
      </c>
      <c r="G21" s="22">
        <f t="shared" si="2"/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>
        <v>61958.12</v>
      </c>
      <c r="R21" s="28"/>
      <c r="S21" s="28">
        <v>106748.76</v>
      </c>
      <c r="T21" s="28"/>
      <c r="U21" s="28">
        <v>156592.97</v>
      </c>
      <c r="V21" s="28"/>
      <c r="W21" s="28">
        <f>100338.56+12711.74</f>
        <v>113050.3</v>
      </c>
      <c r="X21" s="28">
        <v>227661.84</v>
      </c>
      <c r="Y21" s="28"/>
      <c r="Z21" s="28"/>
      <c r="AA21" s="28">
        <v>65.010000000000005</v>
      </c>
      <c r="AB21" s="28"/>
      <c r="AC21" s="28"/>
      <c r="AD21" s="28"/>
      <c r="AE21" s="28"/>
      <c r="AF21" s="28"/>
      <c r="AG21" s="28"/>
      <c r="AH21" s="28"/>
    </row>
    <row r="22" spans="1:34" ht="16.5" thickBot="1" x14ac:dyDescent="0.3">
      <c r="A22" s="18" t="s">
        <v>42</v>
      </c>
      <c r="B22" s="19" t="s">
        <v>43</v>
      </c>
      <c r="C22" s="20">
        <v>3452352</v>
      </c>
      <c r="D22" s="21"/>
      <c r="E22" s="22">
        <f t="shared" si="0"/>
        <v>3452352</v>
      </c>
      <c r="F22" s="22">
        <f t="shared" si="1"/>
        <v>3452352</v>
      </c>
      <c r="G22" s="22">
        <f t="shared" si="2"/>
        <v>0</v>
      </c>
      <c r="H22" s="28"/>
      <c r="I22" s="28"/>
      <c r="J22" s="28"/>
      <c r="K22" s="28"/>
      <c r="L22" s="28"/>
      <c r="M22" s="28"/>
      <c r="N22" s="28"/>
      <c r="O22" s="28"/>
      <c r="P22" s="28">
        <v>956276.24</v>
      </c>
      <c r="Q22" s="28">
        <v>247407.79</v>
      </c>
      <c r="R22" s="28"/>
      <c r="S22" s="28">
        <v>785312.77</v>
      </c>
      <c r="T22" s="28">
        <v>773298.1</v>
      </c>
      <c r="U22" s="28"/>
      <c r="V22" s="28">
        <v>690057.1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6.5" thickBot="1" x14ac:dyDescent="0.3">
      <c r="A23" s="18" t="s">
        <v>44</v>
      </c>
      <c r="B23" s="19" t="s">
        <v>45</v>
      </c>
      <c r="C23" s="20">
        <v>346895</v>
      </c>
      <c r="D23" s="21"/>
      <c r="E23" s="22">
        <f t="shared" si="0"/>
        <v>346895</v>
      </c>
      <c r="F23" s="22">
        <f t="shared" si="1"/>
        <v>346895.00000000006</v>
      </c>
      <c r="G23" s="22">
        <f t="shared" si="2"/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>
        <v>210131</v>
      </c>
      <c r="T23" s="28"/>
      <c r="U23" s="28"/>
      <c r="V23" s="28">
        <v>14905.39</v>
      </c>
      <c r="W23" s="28"/>
      <c r="X23" s="28"/>
      <c r="Y23" s="28">
        <f>47509.54+7448</f>
        <v>54957.54</v>
      </c>
      <c r="Z23" s="28"/>
      <c r="AA23" s="28"/>
      <c r="AB23" s="28">
        <v>37891.199999999997</v>
      </c>
      <c r="AC23" s="28"/>
      <c r="AD23" s="28">
        <v>14947.34</v>
      </c>
      <c r="AE23" s="28"/>
      <c r="AF23" s="28">
        <v>266.45</v>
      </c>
      <c r="AG23" s="28">
        <v>13796.08</v>
      </c>
      <c r="AH23" s="28"/>
    </row>
    <row r="24" spans="1:34" ht="16.5" thickBot="1" x14ac:dyDescent="0.3">
      <c r="A24" s="18" t="s">
        <v>46</v>
      </c>
      <c r="B24" s="19" t="s">
        <v>47</v>
      </c>
      <c r="C24" s="20">
        <v>21373</v>
      </c>
      <c r="D24" s="21"/>
      <c r="E24" s="22">
        <f t="shared" si="0"/>
        <v>21373</v>
      </c>
      <c r="F24" s="22">
        <f t="shared" si="1"/>
        <v>18512</v>
      </c>
      <c r="G24" s="22">
        <f t="shared" si="2"/>
        <v>2861</v>
      </c>
      <c r="H24" s="28"/>
      <c r="I24" s="28"/>
      <c r="J24" s="28"/>
      <c r="K24" s="28"/>
      <c r="L24" s="28"/>
      <c r="M24" s="28"/>
      <c r="N24" s="28"/>
      <c r="O24" s="28"/>
      <c r="P24" s="28"/>
      <c r="Q24" s="28">
        <v>10886.85</v>
      </c>
      <c r="R24" s="28"/>
      <c r="S24" s="28">
        <v>7625.15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ht="16.5" thickBot="1" x14ac:dyDescent="0.3">
      <c r="A25" s="18" t="s">
        <v>48</v>
      </c>
      <c r="B25" s="19" t="s">
        <v>49</v>
      </c>
      <c r="C25" s="20">
        <v>8430123</v>
      </c>
      <c r="D25" s="21"/>
      <c r="E25" s="22">
        <f t="shared" si="0"/>
        <v>8430123</v>
      </c>
      <c r="F25" s="22">
        <f t="shared" si="1"/>
        <v>8158266.1599999992</v>
      </c>
      <c r="G25" s="22">
        <f t="shared" si="2"/>
        <v>271856.84000000078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v>7167931.7999999998</v>
      </c>
      <c r="U25" s="28"/>
      <c r="V25" s="28"/>
      <c r="W25" s="28">
        <v>777444.22</v>
      </c>
      <c r="X25" s="28"/>
      <c r="Y25" s="28"/>
      <c r="Z25" s="28"/>
      <c r="AA25" s="28"/>
      <c r="AB25" s="28"/>
      <c r="AC25" s="28"/>
      <c r="AD25" s="28"/>
      <c r="AE25" s="28">
        <v>212890.14</v>
      </c>
      <c r="AF25" s="28"/>
      <c r="AG25" s="28"/>
      <c r="AH25" s="28"/>
    </row>
    <row r="26" spans="1:34" ht="16.5" thickBot="1" x14ac:dyDescent="0.3">
      <c r="A26" s="18" t="s">
        <v>50</v>
      </c>
      <c r="B26" s="19" t="s">
        <v>51</v>
      </c>
      <c r="C26" s="20">
        <v>303289</v>
      </c>
      <c r="D26" s="21"/>
      <c r="E26" s="22">
        <f t="shared" si="0"/>
        <v>303289</v>
      </c>
      <c r="F26" s="22">
        <f t="shared" si="1"/>
        <v>303289</v>
      </c>
      <c r="G26" s="22">
        <f t="shared" si="2"/>
        <v>0</v>
      </c>
      <c r="H26" s="28"/>
      <c r="I26" s="28"/>
      <c r="J26" s="28">
        <v>69582</v>
      </c>
      <c r="K26" s="28"/>
      <c r="L26" s="28">
        <v>93833.88</v>
      </c>
      <c r="M26" s="28"/>
      <c r="N26" s="28">
        <v>139873.12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6.5" thickBot="1" x14ac:dyDescent="0.3">
      <c r="A27" s="18" t="s">
        <v>52</v>
      </c>
      <c r="B27" s="19" t="s">
        <v>53</v>
      </c>
      <c r="C27" s="20">
        <v>295001</v>
      </c>
      <c r="D27" s="21"/>
      <c r="E27" s="22">
        <f t="shared" si="0"/>
        <v>295001</v>
      </c>
      <c r="F27" s="22">
        <f t="shared" si="1"/>
        <v>282926.59999999998</v>
      </c>
      <c r="G27" s="22">
        <f t="shared" si="2"/>
        <v>12074.400000000023</v>
      </c>
      <c r="H27" s="28"/>
      <c r="I27" s="28"/>
      <c r="J27" s="28"/>
      <c r="K27" s="28"/>
      <c r="L27" s="28"/>
      <c r="M27" s="28"/>
      <c r="N27" s="28"/>
      <c r="O27" s="28">
        <v>151107.10999999999</v>
      </c>
      <c r="P27" s="28"/>
      <c r="Q27" s="28">
        <v>47869.03</v>
      </c>
      <c r="R27" s="28">
        <v>23934.48</v>
      </c>
      <c r="S27" s="28">
        <v>23934.51</v>
      </c>
      <c r="T27" s="28">
        <v>19662.87</v>
      </c>
      <c r="U27" s="28"/>
      <c r="V27" s="28"/>
      <c r="W27" s="28"/>
      <c r="X27" s="28"/>
      <c r="Y27" s="28"/>
      <c r="Z27" s="28"/>
      <c r="AA27" s="28">
        <v>15958.8</v>
      </c>
      <c r="AB27" s="28"/>
      <c r="AC27" s="28"/>
      <c r="AD27" s="28">
        <v>459.8</v>
      </c>
      <c r="AE27" s="28"/>
      <c r="AF27" s="28"/>
      <c r="AG27" s="28"/>
      <c r="AH27" s="28"/>
    </row>
    <row r="28" spans="1:34" ht="16.5" thickBot="1" x14ac:dyDescent="0.3">
      <c r="A28" s="18" t="s">
        <v>54</v>
      </c>
      <c r="B28" s="19" t="s">
        <v>55</v>
      </c>
      <c r="C28" s="20">
        <v>34614</v>
      </c>
      <c r="D28" s="21"/>
      <c r="E28" s="22">
        <f t="shared" si="0"/>
        <v>34614</v>
      </c>
      <c r="F28" s="22">
        <f t="shared" si="1"/>
        <v>0</v>
      </c>
      <c r="G28" s="22">
        <f t="shared" si="2"/>
        <v>34614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ht="16.5" thickBot="1" x14ac:dyDescent="0.3">
      <c r="A29" s="18" t="s">
        <v>56</v>
      </c>
      <c r="B29" s="19" t="s">
        <v>57</v>
      </c>
      <c r="C29" s="20">
        <v>7813</v>
      </c>
      <c r="D29" s="21"/>
      <c r="E29" s="22">
        <f t="shared" si="0"/>
        <v>7813</v>
      </c>
      <c r="F29" s="22">
        <f t="shared" si="1"/>
        <v>0</v>
      </c>
      <c r="G29" s="22">
        <f t="shared" si="2"/>
        <v>7813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ht="16.5" thickBot="1" x14ac:dyDescent="0.3">
      <c r="A30" s="18" t="s">
        <v>58</v>
      </c>
      <c r="B30" s="19" t="s">
        <v>59</v>
      </c>
      <c r="C30" s="20">
        <v>94673</v>
      </c>
      <c r="D30" s="21"/>
      <c r="E30" s="22">
        <f t="shared" si="0"/>
        <v>94673</v>
      </c>
      <c r="F30" s="22">
        <f t="shared" si="1"/>
        <v>94673</v>
      </c>
      <c r="G30" s="22">
        <f t="shared" si="2"/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>
        <v>94673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6.5" thickBot="1" x14ac:dyDescent="0.3">
      <c r="A31" s="18" t="s">
        <v>60</v>
      </c>
      <c r="B31" s="19" t="s">
        <v>61</v>
      </c>
      <c r="C31" s="20">
        <v>12421</v>
      </c>
      <c r="D31" s="21"/>
      <c r="E31" s="22">
        <f t="shared" si="0"/>
        <v>12421</v>
      </c>
      <c r="F31" s="22">
        <f t="shared" si="1"/>
        <v>12421</v>
      </c>
      <c r="G31" s="22">
        <f t="shared" si="2"/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v>11240.72</v>
      </c>
      <c r="U31" s="28"/>
      <c r="V31" s="28"/>
      <c r="W31" s="28"/>
      <c r="X31" s="28"/>
      <c r="Y31" s="28"/>
      <c r="Z31" s="28"/>
      <c r="AA31" s="28"/>
      <c r="AB31" s="28"/>
      <c r="AC31" s="28">
        <v>1180.28</v>
      </c>
      <c r="AD31" s="28"/>
      <c r="AE31" s="28"/>
      <c r="AF31" s="28"/>
      <c r="AG31" s="28"/>
      <c r="AH31" s="28"/>
    </row>
    <row r="32" spans="1:34" ht="16.5" thickBot="1" x14ac:dyDescent="0.3">
      <c r="A32" s="18" t="s">
        <v>62</v>
      </c>
      <c r="B32" s="19" t="s">
        <v>63</v>
      </c>
      <c r="C32" s="20">
        <v>0</v>
      </c>
      <c r="D32" s="21"/>
      <c r="E32" s="22">
        <f t="shared" si="0"/>
        <v>0</v>
      </c>
      <c r="F32" s="22">
        <f t="shared" si="1"/>
        <v>0</v>
      </c>
      <c r="G32" s="22">
        <f t="shared" si="2"/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ht="16.5" thickBot="1" x14ac:dyDescent="0.3">
      <c r="A33" s="18" t="s">
        <v>64</v>
      </c>
      <c r="B33" s="19" t="s">
        <v>65</v>
      </c>
      <c r="C33" s="20">
        <v>478561</v>
      </c>
      <c r="D33" s="21"/>
      <c r="E33" s="22">
        <f t="shared" si="0"/>
        <v>478561</v>
      </c>
      <c r="F33" s="22">
        <f t="shared" si="1"/>
        <v>478561</v>
      </c>
      <c r="G33" s="22">
        <f t="shared" si="2"/>
        <v>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>
        <v>478561</v>
      </c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ht="16.5" thickBot="1" x14ac:dyDescent="0.3">
      <c r="A34" s="18" t="s">
        <v>66</v>
      </c>
      <c r="B34" s="19" t="s">
        <v>67</v>
      </c>
      <c r="C34" s="20">
        <v>31527</v>
      </c>
      <c r="D34" s="21"/>
      <c r="E34" s="22">
        <f t="shared" si="0"/>
        <v>31527</v>
      </c>
      <c r="F34" s="22">
        <f t="shared" si="1"/>
        <v>31302</v>
      </c>
      <c r="G34" s="22">
        <f t="shared" si="2"/>
        <v>225</v>
      </c>
      <c r="H34" s="28"/>
      <c r="I34" s="28"/>
      <c r="J34" s="28"/>
      <c r="K34" s="28">
        <v>31302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ht="16.5" thickBot="1" x14ac:dyDescent="0.3">
      <c r="A35" s="18" t="s">
        <v>68</v>
      </c>
      <c r="B35" s="19" t="s">
        <v>69</v>
      </c>
      <c r="C35" s="20">
        <v>2493668</v>
      </c>
      <c r="D35" s="21"/>
      <c r="E35" s="22">
        <f t="shared" si="0"/>
        <v>2493668</v>
      </c>
      <c r="F35" s="22">
        <f t="shared" si="1"/>
        <v>2493668</v>
      </c>
      <c r="G35" s="22">
        <f t="shared" si="2"/>
        <v>0</v>
      </c>
      <c r="H35" s="28"/>
      <c r="I35" s="28"/>
      <c r="J35" s="28"/>
      <c r="K35" s="28"/>
      <c r="L35" s="28"/>
      <c r="M35" s="28"/>
      <c r="N35" s="28"/>
      <c r="O35" s="28"/>
      <c r="P35" s="28">
        <v>505226.55</v>
      </c>
      <c r="Q35" s="28">
        <v>263418.71000000002</v>
      </c>
      <c r="R35" s="28">
        <v>343770.78</v>
      </c>
      <c r="S35" s="28">
        <v>220198.61</v>
      </c>
      <c r="T35" s="28">
        <v>357508.31</v>
      </c>
      <c r="U35" s="28">
        <v>209001.35</v>
      </c>
      <c r="V35" s="28">
        <v>461546.9</v>
      </c>
      <c r="W35" s="28">
        <v>90791.19</v>
      </c>
      <c r="X35" s="28">
        <v>42205.599999999999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ht="16.5" thickBot="1" x14ac:dyDescent="0.3">
      <c r="A36" s="18" t="s">
        <v>70</v>
      </c>
      <c r="B36" s="19" t="s">
        <v>71</v>
      </c>
      <c r="C36" s="20">
        <v>1527577</v>
      </c>
      <c r="D36" s="21"/>
      <c r="E36" s="22">
        <f t="shared" si="0"/>
        <v>1527577</v>
      </c>
      <c r="F36" s="22">
        <f t="shared" si="1"/>
        <v>1527577.0000000002</v>
      </c>
      <c r="G36" s="22">
        <f t="shared" si="2"/>
        <v>0</v>
      </c>
      <c r="H36" s="28"/>
      <c r="I36" s="28"/>
      <c r="J36" s="28"/>
      <c r="K36" s="28"/>
      <c r="L36" s="28"/>
      <c r="M36" s="28"/>
      <c r="N36" s="28">
        <v>94885.11</v>
      </c>
      <c r="O36" s="28"/>
      <c r="P36" s="28">
        <v>30574.01</v>
      </c>
      <c r="Q36" s="28">
        <v>1364325.37</v>
      </c>
      <c r="R36" s="28">
        <v>29654.51</v>
      </c>
      <c r="S36" s="28">
        <v>2251.04</v>
      </c>
      <c r="T36" s="28"/>
      <c r="U36" s="28"/>
      <c r="V36" s="28">
        <v>694.15</v>
      </c>
      <c r="W36" s="28"/>
      <c r="X36" s="28"/>
      <c r="Y36" s="28"/>
      <c r="Z36" s="28"/>
      <c r="AA36" s="28"/>
      <c r="AB36" s="28"/>
      <c r="AC36" s="28">
        <v>5192.8100000000004</v>
      </c>
      <c r="AD36" s="28"/>
      <c r="AE36" s="28"/>
      <c r="AF36" s="28"/>
      <c r="AG36" s="28"/>
      <c r="AH36" s="28"/>
    </row>
    <row r="37" spans="1:34" ht="16.5" thickBot="1" x14ac:dyDescent="0.3">
      <c r="A37" s="18" t="s">
        <v>72</v>
      </c>
      <c r="B37" s="19" t="s">
        <v>73</v>
      </c>
      <c r="C37" s="20">
        <v>130740</v>
      </c>
      <c r="D37" s="21"/>
      <c r="E37" s="22">
        <f t="shared" si="0"/>
        <v>130740</v>
      </c>
      <c r="F37" s="22">
        <f t="shared" si="1"/>
        <v>130740</v>
      </c>
      <c r="G37" s="22">
        <f t="shared" si="2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>
        <v>62602.51</v>
      </c>
      <c r="R37" s="28"/>
      <c r="S37" s="28"/>
      <c r="T37" s="28">
        <v>68137.490000000005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6.5" thickBot="1" x14ac:dyDescent="0.3">
      <c r="A38" s="18" t="s">
        <v>74</v>
      </c>
      <c r="B38" s="19" t="s">
        <v>75</v>
      </c>
      <c r="C38" s="20">
        <v>119239</v>
      </c>
      <c r="D38" s="21"/>
      <c r="E38" s="22">
        <f t="shared" si="0"/>
        <v>119239</v>
      </c>
      <c r="F38" s="22">
        <f t="shared" si="1"/>
        <v>119239</v>
      </c>
      <c r="G38" s="22">
        <f t="shared" si="2"/>
        <v>0</v>
      </c>
      <c r="H38" s="28"/>
      <c r="I38" s="28"/>
      <c r="J38" s="28"/>
      <c r="K38" s="28"/>
      <c r="L38" s="28"/>
      <c r="M38" s="28"/>
      <c r="N38" s="28"/>
      <c r="O38" s="28"/>
      <c r="P38" s="28">
        <v>119239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ht="16.5" thickBot="1" x14ac:dyDescent="0.3">
      <c r="A39" s="18" t="s">
        <v>76</v>
      </c>
      <c r="B39" s="19" t="s">
        <v>77</v>
      </c>
      <c r="C39" s="20">
        <v>10890</v>
      </c>
      <c r="D39" s="21"/>
      <c r="E39" s="22">
        <f t="shared" si="0"/>
        <v>10890</v>
      </c>
      <c r="F39" s="22">
        <f t="shared" si="1"/>
        <v>0</v>
      </c>
      <c r="G39" s="22">
        <f t="shared" si="2"/>
        <v>10890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ht="16.5" thickBot="1" x14ac:dyDescent="0.3">
      <c r="A40" s="18" t="s">
        <v>78</v>
      </c>
      <c r="B40" s="19" t="s">
        <v>79</v>
      </c>
      <c r="C40" s="20">
        <v>39619</v>
      </c>
      <c r="D40" s="21"/>
      <c r="E40" s="22">
        <f t="shared" si="0"/>
        <v>39619</v>
      </c>
      <c r="F40" s="22">
        <f t="shared" si="1"/>
        <v>39619</v>
      </c>
      <c r="G40" s="22">
        <f t="shared" si="2"/>
        <v>0</v>
      </c>
      <c r="H40" s="28"/>
      <c r="I40" s="28"/>
      <c r="J40" s="28"/>
      <c r="K40" s="28"/>
      <c r="L40" s="28"/>
      <c r="M40" s="28"/>
      <c r="N40" s="28">
        <v>39619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ht="16.5" thickBot="1" x14ac:dyDescent="0.3">
      <c r="A41" s="18" t="s">
        <v>80</v>
      </c>
      <c r="B41" s="19" t="s">
        <v>81</v>
      </c>
      <c r="C41" s="20">
        <v>77929</v>
      </c>
      <c r="D41" s="21"/>
      <c r="E41" s="22">
        <f t="shared" si="0"/>
        <v>77929</v>
      </c>
      <c r="F41" s="22">
        <f t="shared" si="1"/>
        <v>77929</v>
      </c>
      <c r="G41" s="22">
        <f t="shared" si="2"/>
        <v>0</v>
      </c>
      <c r="H41" s="28"/>
      <c r="I41" s="28"/>
      <c r="J41" s="28"/>
      <c r="K41" s="28"/>
      <c r="L41" s="28"/>
      <c r="M41" s="28"/>
      <c r="N41" s="28"/>
      <c r="O41" s="28"/>
      <c r="P41" s="28">
        <v>15729.33</v>
      </c>
      <c r="Q41" s="28">
        <v>22756.95</v>
      </c>
      <c r="R41" s="28">
        <v>34281.79</v>
      </c>
      <c r="S41" s="28">
        <v>3236.12</v>
      </c>
      <c r="T41" s="28">
        <v>1924.81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16.5" thickBot="1" x14ac:dyDescent="0.3">
      <c r="A42" s="18" t="s">
        <v>82</v>
      </c>
      <c r="B42" s="19" t="s">
        <v>83</v>
      </c>
      <c r="C42" s="20">
        <v>240498</v>
      </c>
      <c r="D42" s="21"/>
      <c r="E42" s="22">
        <f t="shared" si="0"/>
        <v>240498</v>
      </c>
      <c r="F42" s="22">
        <f t="shared" si="1"/>
        <v>240498</v>
      </c>
      <c r="G42" s="22">
        <f t="shared" si="2"/>
        <v>0</v>
      </c>
      <c r="H42" s="28"/>
      <c r="I42" s="28"/>
      <c r="J42" s="28"/>
      <c r="K42" s="28"/>
      <c r="L42" s="28"/>
      <c r="M42" s="28">
        <v>78557.600000000006</v>
      </c>
      <c r="N42" s="28"/>
      <c r="O42" s="28"/>
      <c r="P42" s="28"/>
      <c r="Q42" s="28"/>
      <c r="R42" s="28"/>
      <c r="S42" s="28"/>
      <c r="T42" s="28"/>
      <c r="U42" s="28"/>
      <c r="V42" s="28">
        <v>134850.1</v>
      </c>
      <c r="W42" s="28"/>
      <c r="X42" s="28"/>
      <c r="Y42" s="28"/>
      <c r="Z42" s="28"/>
      <c r="AA42" s="28"/>
      <c r="AB42" s="28"/>
      <c r="AC42" s="28">
        <v>27090.3</v>
      </c>
      <c r="AD42" s="28"/>
      <c r="AE42" s="28"/>
      <c r="AF42" s="28"/>
      <c r="AG42" s="28"/>
      <c r="AH42" s="28"/>
    </row>
    <row r="43" spans="1:34" ht="16.5" thickBot="1" x14ac:dyDescent="0.3">
      <c r="A43" s="18" t="s">
        <v>84</v>
      </c>
      <c r="B43" s="19" t="s">
        <v>85</v>
      </c>
      <c r="C43" s="20">
        <v>60246</v>
      </c>
      <c r="D43" s="21"/>
      <c r="E43" s="22">
        <f t="shared" si="0"/>
        <v>60246</v>
      </c>
      <c r="F43" s="22">
        <f t="shared" si="1"/>
        <v>60246</v>
      </c>
      <c r="G43" s="22">
        <f t="shared" si="2"/>
        <v>0</v>
      </c>
      <c r="H43" s="28"/>
      <c r="I43" s="28"/>
      <c r="J43" s="28"/>
      <c r="K43" s="28"/>
      <c r="L43" s="28"/>
      <c r="M43" s="28"/>
      <c r="N43" s="28"/>
      <c r="O43" s="28"/>
      <c r="P43" s="28"/>
      <c r="Q43" s="28">
        <v>34668.36</v>
      </c>
      <c r="R43" s="28"/>
      <c r="S43" s="28"/>
      <c r="T43" s="28">
        <v>25557.64</v>
      </c>
      <c r="U43" s="28"/>
      <c r="V43" s="28"/>
      <c r="W43" s="28"/>
      <c r="X43" s="28">
        <v>20</v>
      </c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ht="16.5" thickBot="1" x14ac:dyDescent="0.3">
      <c r="A44" s="18" t="s">
        <v>86</v>
      </c>
      <c r="B44" s="19" t="s">
        <v>87</v>
      </c>
      <c r="C44" s="20">
        <v>116812</v>
      </c>
      <c r="D44" s="21"/>
      <c r="E44" s="22">
        <f t="shared" si="0"/>
        <v>116812</v>
      </c>
      <c r="F44" s="22">
        <f t="shared" si="1"/>
        <v>116812</v>
      </c>
      <c r="G44" s="22">
        <f t="shared" si="2"/>
        <v>0</v>
      </c>
      <c r="H44" s="28"/>
      <c r="I44" s="28"/>
      <c r="J44" s="28"/>
      <c r="K44" s="28"/>
      <c r="L44" s="28"/>
      <c r="M44" s="28"/>
      <c r="N44" s="28"/>
      <c r="O44" s="28"/>
      <c r="P44" s="28">
        <v>19254.009999999998</v>
      </c>
      <c r="Q44" s="28">
        <v>7764.47</v>
      </c>
      <c r="R44" s="28">
        <v>34518.71</v>
      </c>
      <c r="S44" s="28">
        <v>3537.47</v>
      </c>
      <c r="T44" s="28">
        <v>17794.05</v>
      </c>
      <c r="U44" s="28">
        <v>33943.29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6.5" thickBot="1" x14ac:dyDescent="0.3">
      <c r="A45" s="18" t="s">
        <v>88</v>
      </c>
      <c r="B45" s="19" t="s">
        <v>89</v>
      </c>
      <c r="C45" s="20">
        <v>127981</v>
      </c>
      <c r="D45" s="21"/>
      <c r="E45" s="22">
        <f t="shared" si="0"/>
        <v>127981</v>
      </c>
      <c r="F45" s="22">
        <f t="shared" si="1"/>
        <v>54917.42</v>
      </c>
      <c r="G45" s="22">
        <f t="shared" si="2"/>
        <v>73063.58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>
        <v>49835.040000000001</v>
      </c>
      <c r="W45" s="28">
        <v>5082.38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16.5" thickBot="1" x14ac:dyDescent="0.3">
      <c r="A46" s="18" t="s">
        <v>90</v>
      </c>
      <c r="B46" s="19" t="s">
        <v>91</v>
      </c>
      <c r="C46" s="20">
        <v>136371</v>
      </c>
      <c r="D46" s="21"/>
      <c r="E46" s="22">
        <f t="shared" si="0"/>
        <v>136371</v>
      </c>
      <c r="F46" s="22">
        <f t="shared" si="1"/>
        <v>136371</v>
      </c>
      <c r="G46" s="22">
        <f t="shared" si="2"/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>
        <v>94915.7</v>
      </c>
      <c r="S46" s="28">
        <v>41455.300000000003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ht="16.5" thickBot="1" x14ac:dyDescent="0.3">
      <c r="A47" s="18" t="s">
        <v>92</v>
      </c>
      <c r="B47" s="19" t="s">
        <v>93</v>
      </c>
      <c r="C47" s="20">
        <v>188103</v>
      </c>
      <c r="D47" s="21"/>
      <c r="E47" s="22">
        <f t="shared" si="0"/>
        <v>188103</v>
      </c>
      <c r="F47" s="22">
        <f t="shared" si="1"/>
        <v>188103</v>
      </c>
      <c r="G47" s="22">
        <f t="shared" si="2"/>
        <v>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>
        <v>108099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>
        <v>80004</v>
      </c>
      <c r="AF47" s="28"/>
      <c r="AG47" s="28"/>
      <c r="AH47" s="28"/>
    </row>
    <row r="48" spans="1:34" ht="16.5" thickBot="1" x14ac:dyDescent="0.3">
      <c r="A48" s="18" t="s">
        <v>94</v>
      </c>
      <c r="B48" s="19" t="s">
        <v>95</v>
      </c>
      <c r="C48" s="20">
        <v>97569</v>
      </c>
      <c r="D48" s="21"/>
      <c r="E48" s="22">
        <f t="shared" si="0"/>
        <v>97569</v>
      </c>
      <c r="F48" s="22">
        <f t="shared" si="1"/>
        <v>97569</v>
      </c>
      <c r="G48" s="22">
        <f t="shared" si="2"/>
        <v>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v>97569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6.5" thickBot="1" x14ac:dyDescent="0.3">
      <c r="A49" s="18" t="s">
        <v>96</v>
      </c>
      <c r="B49" s="19" t="s">
        <v>97</v>
      </c>
      <c r="C49" s="20">
        <v>788092</v>
      </c>
      <c r="D49" s="21"/>
      <c r="E49" s="22">
        <f t="shared" si="0"/>
        <v>788092</v>
      </c>
      <c r="F49" s="22">
        <f t="shared" si="1"/>
        <v>788034.8600000001</v>
      </c>
      <c r="G49" s="22">
        <f t="shared" si="2"/>
        <v>57.139999999897555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>
        <f>657390.98+19419.35</f>
        <v>676810.33</v>
      </c>
      <c r="W49" s="28"/>
      <c r="X49" s="28"/>
      <c r="Y49" s="28"/>
      <c r="Z49" s="28">
        <v>7846.27</v>
      </c>
      <c r="AA49" s="28">
        <v>5020.67</v>
      </c>
      <c r="AB49" s="28">
        <v>72373.16</v>
      </c>
      <c r="AC49" s="28">
        <v>1991.27</v>
      </c>
      <c r="AD49" s="28">
        <v>4600.6400000000003</v>
      </c>
      <c r="AE49" s="28">
        <v>6574.06</v>
      </c>
      <c r="AF49" s="28"/>
      <c r="AG49" s="28"/>
      <c r="AH49" s="28">
        <v>12818.46</v>
      </c>
    </row>
    <row r="50" spans="1:34" ht="16.5" thickBot="1" x14ac:dyDescent="0.3">
      <c r="A50" s="18" t="s">
        <v>98</v>
      </c>
      <c r="B50" s="19" t="s">
        <v>99</v>
      </c>
      <c r="C50" s="20">
        <v>22908618</v>
      </c>
      <c r="D50" s="21"/>
      <c r="E50" s="22">
        <f t="shared" si="0"/>
        <v>22908618</v>
      </c>
      <c r="F50" s="22">
        <f t="shared" si="1"/>
        <v>22560010.780000001</v>
      </c>
      <c r="G50" s="22">
        <f t="shared" si="2"/>
        <v>348607.21999999881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>
        <v>3450986.44</v>
      </c>
      <c r="S50" s="28"/>
      <c r="T50" s="28">
        <v>1651873.29</v>
      </c>
      <c r="U50" s="28"/>
      <c r="V50" s="28">
        <v>8585454.5</v>
      </c>
      <c r="W50" s="28">
        <v>8641546.3200000003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230150.23</v>
      </c>
    </row>
    <row r="51" spans="1:34" ht="16.5" thickBot="1" x14ac:dyDescent="0.3">
      <c r="A51" s="18" t="s">
        <v>100</v>
      </c>
      <c r="B51" s="19" t="s">
        <v>101</v>
      </c>
      <c r="C51" s="20">
        <v>40298</v>
      </c>
      <c r="D51" s="21"/>
      <c r="E51" s="22">
        <f t="shared" si="0"/>
        <v>40298</v>
      </c>
      <c r="F51" s="22">
        <f t="shared" si="1"/>
        <v>40298</v>
      </c>
      <c r="G51" s="22">
        <f t="shared" si="2"/>
        <v>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>
        <v>40298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ht="16.5" thickBot="1" x14ac:dyDescent="0.3">
      <c r="A52" s="18" t="s">
        <v>102</v>
      </c>
      <c r="B52" s="19" t="s">
        <v>103</v>
      </c>
      <c r="C52" s="20">
        <v>1279914</v>
      </c>
      <c r="D52" s="21"/>
      <c r="E52" s="22">
        <f t="shared" si="0"/>
        <v>1279914</v>
      </c>
      <c r="F52" s="22">
        <f t="shared" si="1"/>
        <v>1279914.0000000005</v>
      </c>
      <c r="G52" s="22">
        <f t="shared" si="2"/>
        <v>0</v>
      </c>
      <c r="H52" s="28"/>
      <c r="I52" s="28"/>
      <c r="J52" s="28"/>
      <c r="K52" s="28"/>
      <c r="L52" s="28"/>
      <c r="M52" s="28"/>
      <c r="N52" s="28"/>
      <c r="O52" s="28">
        <v>147394.65</v>
      </c>
      <c r="P52" s="28">
        <v>296584.53000000003</v>
      </c>
      <c r="Q52" s="28">
        <v>661249.48</v>
      </c>
      <c r="R52" s="28">
        <v>107559.6</v>
      </c>
      <c r="S52" s="28">
        <v>50111.27</v>
      </c>
      <c r="T52" s="28">
        <v>11872.58</v>
      </c>
      <c r="U52" s="28"/>
      <c r="V52" s="28"/>
      <c r="W52" s="28"/>
      <c r="X52" s="28"/>
      <c r="Y52" s="28"/>
      <c r="Z52" s="28"/>
      <c r="AA52" s="28"/>
      <c r="AB52" s="28"/>
      <c r="AC52" s="28">
        <v>2038.36</v>
      </c>
      <c r="AD52" s="28"/>
      <c r="AE52" s="28">
        <v>94.56</v>
      </c>
      <c r="AF52" s="28">
        <v>3008.97</v>
      </c>
      <c r="AG52" s="28"/>
      <c r="AH52" s="28"/>
    </row>
    <row r="53" spans="1:34" ht="16.5" thickBot="1" x14ac:dyDescent="0.3">
      <c r="A53" s="18" t="s">
        <v>104</v>
      </c>
      <c r="B53" s="19" t="s">
        <v>105</v>
      </c>
      <c r="C53" s="20">
        <v>488267</v>
      </c>
      <c r="D53" s="21"/>
      <c r="E53" s="22">
        <f t="shared" si="0"/>
        <v>488267</v>
      </c>
      <c r="F53" s="22">
        <f t="shared" si="1"/>
        <v>488266.99999999994</v>
      </c>
      <c r="G53" s="22">
        <f t="shared" si="2"/>
        <v>0</v>
      </c>
      <c r="H53" s="28"/>
      <c r="I53" s="28"/>
      <c r="J53" s="28"/>
      <c r="K53" s="28"/>
      <c r="L53" s="28"/>
      <c r="M53" s="28"/>
      <c r="N53" s="28"/>
      <c r="O53" s="28"/>
      <c r="P53" s="28"/>
      <c r="Q53" s="28">
        <f>2493.37+106174.68</f>
        <v>108668.04999999999</v>
      </c>
      <c r="R53" s="28">
        <v>97740.99</v>
      </c>
      <c r="S53" s="28"/>
      <c r="T53" s="28"/>
      <c r="U53" s="28"/>
      <c r="V53" s="28"/>
      <c r="W53" s="28"/>
      <c r="X53" s="28">
        <v>280263.36</v>
      </c>
      <c r="Y53" s="28"/>
      <c r="Z53" s="28"/>
      <c r="AA53" s="28"/>
      <c r="AB53" s="28"/>
      <c r="AC53" s="28"/>
      <c r="AD53" s="28"/>
      <c r="AE53" s="28">
        <v>1594.6</v>
      </c>
      <c r="AF53" s="28"/>
      <c r="AG53" s="28"/>
      <c r="AH53" s="28"/>
    </row>
    <row r="54" spans="1:34" ht="16.5" thickBot="1" x14ac:dyDescent="0.3">
      <c r="A54" s="18" t="s">
        <v>106</v>
      </c>
      <c r="B54" s="19" t="s">
        <v>107</v>
      </c>
      <c r="C54" s="20">
        <v>119554</v>
      </c>
      <c r="D54" s="21"/>
      <c r="E54" s="22">
        <f t="shared" si="0"/>
        <v>119554</v>
      </c>
      <c r="F54" s="22">
        <f t="shared" si="1"/>
        <v>119554</v>
      </c>
      <c r="G54" s="22">
        <f t="shared" si="2"/>
        <v>0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>
        <v>101357.67</v>
      </c>
      <c r="S54" s="28"/>
      <c r="T54" s="28">
        <v>18196.330000000002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ht="16.5" thickBot="1" x14ac:dyDescent="0.3">
      <c r="A55" s="18" t="s">
        <v>108</v>
      </c>
      <c r="B55" s="19" t="s">
        <v>109</v>
      </c>
      <c r="C55" s="20">
        <v>25516</v>
      </c>
      <c r="D55" s="21"/>
      <c r="E55" s="22">
        <f t="shared" si="0"/>
        <v>25516</v>
      </c>
      <c r="F55" s="22">
        <f t="shared" si="1"/>
        <v>25516</v>
      </c>
      <c r="G55" s="22">
        <f t="shared" si="2"/>
        <v>0</v>
      </c>
      <c r="H55" s="28"/>
      <c r="I55" s="28"/>
      <c r="J55" s="28"/>
      <c r="K55" s="28"/>
      <c r="L55" s="28"/>
      <c r="M55" s="28"/>
      <c r="N55" s="28"/>
      <c r="O55" s="28">
        <v>4048.68</v>
      </c>
      <c r="P55" s="28"/>
      <c r="Q55" s="28"/>
      <c r="R55" s="28"/>
      <c r="S55" s="28">
        <v>21467.32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:34" ht="16.5" thickBot="1" x14ac:dyDescent="0.3">
      <c r="A56" s="18" t="s">
        <v>110</v>
      </c>
      <c r="B56" s="19" t="s">
        <v>111</v>
      </c>
      <c r="C56" s="20">
        <v>29058</v>
      </c>
      <c r="D56" s="21"/>
      <c r="E56" s="22">
        <f t="shared" si="0"/>
        <v>29058</v>
      </c>
      <c r="F56" s="22">
        <f t="shared" si="1"/>
        <v>29058</v>
      </c>
      <c r="G56" s="22">
        <f t="shared" si="2"/>
        <v>0</v>
      </c>
      <c r="H56" s="28"/>
      <c r="I56" s="28"/>
      <c r="J56" s="28"/>
      <c r="K56" s="28"/>
      <c r="L56" s="28"/>
      <c r="M56" s="28"/>
      <c r="N56" s="28">
        <v>29058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ht="16.5" thickBot="1" x14ac:dyDescent="0.3">
      <c r="A57" s="18" t="s">
        <v>112</v>
      </c>
      <c r="B57" s="19" t="s">
        <v>113</v>
      </c>
      <c r="C57" s="20">
        <v>17421</v>
      </c>
      <c r="D57" s="21"/>
      <c r="E57" s="22">
        <f t="shared" si="0"/>
        <v>17421</v>
      </c>
      <c r="F57" s="22">
        <f t="shared" si="1"/>
        <v>17421</v>
      </c>
      <c r="G57" s="22">
        <f t="shared" si="2"/>
        <v>0</v>
      </c>
      <c r="H57" s="28">
        <v>17421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ht="16.5" thickBot="1" x14ac:dyDescent="0.3">
      <c r="A58" s="18" t="s">
        <v>114</v>
      </c>
      <c r="B58" s="19" t="s">
        <v>115</v>
      </c>
      <c r="C58" s="20">
        <v>7620</v>
      </c>
      <c r="D58" s="21"/>
      <c r="E58" s="22">
        <f t="shared" si="0"/>
        <v>7620</v>
      </c>
      <c r="F58" s="22">
        <f t="shared" si="1"/>
        <v>7620</v>
      </c>
      <c r="G58" s="22">
        <f t="shared" si="2"/>
        <v>0</v>
      </c>
      <c r="H58" s="28"/>
      <c r="I58" s="28"/>
      <c r="J58" s="28"/>
      <c r="K58" s="28"/>
      <c r="L58" s="28"/>
      <c r="M58" s="28"/>
      <c r="N58" s="28">
        <v>7620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ht="16.5" thickBot="1" x14ac:dyDescent="0.3">
      <c r="A59" s="18" t="s">
        <v>116</v>
      </c>
      <c r="B59" s="19" t="s">
        <v>117</v>
      </c>
      <c r="C59" s="20">
        <v>69205</v>
      </c>
      <c r="D59" s="21"/>
      <c r="E59" s="22">
        <f t="shared" si="0"/>
        <v>69205</v>
      </c>
      <c r="F59" s="22">
        <f t="shared" si="1"/>
        <v>69205</v>
      </c>
      <c r="G59" s="22">
        <f t="shared" si="2"/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>
        <v>68192.19</v>
      </c>
      <c r="X59" s="28"/>
      <c r="Y59" s="28">
        <v>1012.81</v>
      </c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ht="16.5" thickBot="1" x14ac:dyDescent="0.3">
      <c r="A60" s="18" t="s">
        <v>118</v>
      </c>
      <c r="B60" s="19" t="s">
        <v>119</v>
      </c>
      <c r="C60" s="20">
        <v>3372970</v>
      </c>
      <c r="D60" s="21"/>
      <c r="E60" s="22">
        <f t="shared" si="0"/>
        <v>3372970</v>
      </c>
      <c r="F60" s="22">
        <f t="shared" si="1"/>
        <v>2931701.79</v>
      </c>
      <c r="G60" s="22">
        <f t="shared" si="2"/>
        <v>441268.20999999996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>
        <v>1237205.33</v>
      </c>
      <c r="T60" s="28"/>
      <c r="U60" s="28"/>
      <c r="V60" s="28"/>
      <c r="W60" s="28"/>
      <c r="X60" s="28"/>
      <c r="Y60" s="28"/>
      <c r="Z60" s="28"/>
      <c r="AA60" s="28"/>
      <c r="AB60" s="28"/>
      <c r="AC60" s="28">
        <f>994496.46+700000</f>
        <v>1694496.46</v>
      </c>
      <c r="AD60" s="28"/>
      <c r="AE60" s="28"/>
      <c r="AF60" s="28"/>
      <c r="AG60" s="28"/>
      <c r="AH60" s="28"/>
    </row>
    <row r="61" spans="1:34" ht="16.5" thickBot="1" x14ac:dyDescent="0.3">
      <c r="A61" s="18" t="s">
        <v>120</v>
      </c>
      <c r="B61" s="19" t="s">
        <v>121</v>
      </c>
      <c r="C61" s="20">
        <v>1221390</v>
      </c>
      <c r="D61" s="21"/>
      <c r="E61" s="22">
        <f t="shared" si="0"/>
        <v>1221390</v>
      </c>
      <c r="F61" s="22">
        <f t="shared" si="1"/>
        <v>1221390</v>
      </c>
      <c r="G61" s="22">
        <f t="shared" si="2"/>
        <v>0</v>
      </c>
      <c r="H61" s="28"/>
      <c r="I61" s="28"/>
      <c r="J61" s="28"/>
      <c r="K61" s="28"/>
      <c r="L61" s="28"/>
      <c r="M61" s="28">
        <v>771635.52</v>
      </c>
      <c r="N61" s="28"/>
      <c r="O61" s="28">
        <v>274590.27</v>
      </c>
      <c r="P61" s="28">
        <v>43198.01</v>
      </c>
      <c r="Q61" s="28">
        <v>35711.040000000001</v>
      </c>
      <c r="R61" s="28"/>
      <c r="S61" s="28"/>
      <c r="T61" s="28"/>
      <c r="U61" s="28"/>
      <c r="V61" s="28"/>
      <c r="W61" s="28">
        <v>96255.16</v>
      </c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ht="16.5" thickBot="1" x14ac:dyDescent="0.3">
      <c r="A62" s="18" t="s">
        <v>122</v>
      </c>
      <c r="B62" s="19" t="s">
        <v>123</v>
      </c>
      <c r="C62" s="20">
        <v>1086768</v>
      </c>
      <c r="D62" s="21"/>
      <c r="E62" s="22">
        <f t="shared" si="0"/>
        <v>1086768</v>
      </c>
      <c r="F62" s="22">
        <f t="shared" si="1"/>
        <v>1086768</v>
      </c>
      <c r="G62" s="22">
        <f t="shared" si="2"/>
        <v>0</v>
      </c>
      <c r="H62" s="28"/>
      <c r="I62" s="28"/>
      <c r="J62" s="28"/>
      <c r="K62" s="28"/>
      <c r="L62" s="28">
        <v>133632</v>
      </c>
      <c r="M62" s="28"/>
      <c r="N62" s="28">
        <v>350317</v>
      </c>
      <c r="O62" s="28"/>
      <c r="P62" s="28"/>
      <c r="Q62" s="28"/>
      <c r="R62" s="28"/>
      <c r="S62" s="28">
        <v>516492</v>
      </c>
      <c r="T62" s="28"/>
      <c r="U62" s="28">
        <v>86327</v>
      </c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ht="16.5" thickBot="1" x14ac:dyDescent="0.3">
      <c r="A63" s="18" t="s">
        <v>124</v>
      </c>
      <c r="B63" s="19" t="s">
        <v>125</v>
      </c>
      <c r="C63" s="20">
        <v>5927394</v>
      </c>
      <c r="D63" s="21"/>
      <c r="E63" s="22">
        <f t="shared" si="0"/>
        <v>5927394</v>
      </c>
      <c r="F63" s="22">
        <f t="shared" si="1"/>
        <v>5806302.1000000006</v>
      </c>
      <c r="G63" s="22">
        <f t="shared" si="2"/>
        <v>121091.89999999944</v>
      </c>
      <c r="H63" s="28"/>
      <c r="I63" s="28"/>
      <c r="J63" s="28"/>
      <c r="K63" s="28"/>
      <c r="L63" s="28"/>
      <c r="M63" s="28"/>
      <c r="N63" s="28"/>
      <c r="O63" s="28"/>
      <c r="P63" s="28"/>
      <c r="Q63" s="28">
        <v>3204761.84</v>
      </c>
      <c r="R63" s="28"/>
      <c r="S63" s="28">
        <v>532012.71</v>
      </c>
      <c r="T63" s="28"/>
      <c r="U63" s="28">
        <v>954743.53</v>
      </c>
      <c r="V63" s="28">
        <v>364561.84</v>
      </c>
      <c r="W63" s="28">
        <v>58644.73</v>
      </c>
      <c r="X63" s="28">
        <f>632.5+54132.14</f>
        <v>54764.639999999999</v>
      </c>
      <c r="Y63" s="28"/>
      <c r="Z63" s="28">
        <v>129438.83</v>
      </c>
      <c r="AA63" s="28">
        <f>99342.63+93210.74</f>
        <v>192553.37</v>
      </c>
      <c r="AB63" s="28">
        <v>1440</v>
      </c>
      <c r="AC63" s="28">
        <v>9470</v>
      </c>
      <c r="AD63" s="28">
        <v>40293.19</v>
      </c>
      <c r="AE63" s="28">
        <v>3167.28</v>
      </c>
      <c r="AF63" s="28"/>
      <c r="AG63" s="28"/>
      <c r="AH63" s="28">
        <v>260450.14</v>
      </c>
    </row>
    <row r="64" spans="1:34" ht="16.5" thickBot="1" x14ac:dyDescent="0.3">
      <c r="A64" s="18" t="s">
        <v>126</v>
      </c>
      <c r="B64" s="19" t="s">
        <v>127</v>
      </c>
      <c r="C64" s="20">
        <v>213607</v>
      </c>
      <c r="D64" s="21"/>
      <c r="E64" s="22">
        <f t="shared" si="0"/>
        <v>213607</v>
      </c>
      <c r="F64" s="22">
        <f t="shared" si="1"/>
        <v>213607</v>
      </c>
      <c r="G64" s="22">
        <f t="shared" si="2"/>
        <v>0</v>
      </c>
      <c r="H64" s="28">
        <v>148269</v>
      </c>
      <c r="I64" s="28"/>
      <c r="J64" s="28"/>
      <c r="K64" s="28">
        <v>65338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ht="16.5" thickBot="1" x14ac:dyDescent="0.3">
      <c r="A65" s="18" t="s">
        <v>128</v>
      </c>
      <c r="B65" s="19" t="s">
        <v>129</v>
      </c>
      <c r="C65" s="20">
        <v>124377</v>
      </c>
      <c r="D65" s="21"/>
      <c r="E65" s="22">
        <f t="shared" si="0"/>
        <v>124377</v>
      </c>
      <c r="F65" s="22">
        <f t="shared" si="1"/>
        <v>124377</v>
      </c>
      <c r="G65" s="22">
        <f t="shared" si="2"/>
        <v>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124377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ht="16.5" thickBot="1" x14ac:dyDescent="0.3">
      <c r="A66" s="18" t="s">
        <v>130</v>
      </c>
      <c r="B66" s="19" t="s">
        <v>131</v>
      </c>
      <c r="C66" s="20">
        <v>861970</v>
      </c>
      <c r="D66" s="21"/>
      <c r="E66" s="22">
        <f t="shared" si="0"/>
        <v>861970</v>
      </c>
      <c r="F66" s="22">
        <f t="shared" si="1"/>
        <v>861970.00000000012</v>
      </c>
      <c r="G66" s="22">
        <f t="shared" si="2"/>
        <v>0</v>
      </c>
      <c r="H66" s="28"/>
      <c r="I66" s="28"/>
      <c r="J66" s="28"/>
      <c r="K66" s="28"/>
      <c r="L66" s="28"/>
      <c r="M66" s="28">
        <v>115474.07</v>
      </c>
      <c r="N66" s="28"/>
      <c r="O66" s="28"/>
      <c r="P66" s="28">
        <v>179710.85</v>
      </c>
      <c r="Q66" s="28"/>
      <c r="R66" s="28">
        <v>148881.49</v>
      </c>
      <c r="S66" s="28"/>
      <c r="T66" s="28"/>
      <c r="U66" s="28"/>
      <c r="V66" s="28">
        <v>245284.29</v>
      </c>
      <c r="W66" s="28">
        <v>100967.97</v>
      </c>
      <c r="X66" s="28"/>
      <c r="Y66" s="28"/>
      <c r="Z66" s="28"/>
      <c r="AA66" s="28">
        <v>34713.67</v>
      </c>
      <c r="AB66" s="28"/>
      <c r="AC66" s="28"/>
      <c r="AD66" s="28">
        <v>32471.55</v>
      </c>
      <c r="AE66" s="28">
        <v>4466.1099999999997</v>
      </c>
      <c r="AF66" s="28"/>
      <c r="AG66" s="28"/>
      <c r="AH66" s="28"/>
    </row>
    <row r="67" spans="1:34" ht="16.5" thickBot="1" x14ac:dyDescent="0.3">
      <c r="A67" s="18" t="s">
        <v>132</v>
      </c>
      <c r="B67" s="19" t="s">
        <v>133</v>
      </c>
      <c r="C67" s="20">
        <v>143987</v>
      </c>
      <c r="D67" s="21"/>
      <c r="E67" s="22">
        <f t="shared" si="0"/>
        <v>143987</v>
      </c>
      <c r="F67" s="22">
        <f t="shared" si="1"/>
        <v>143987</v>
      </c>
      <c r="G67" s="22">
        <f t="shared" si="2"/>
        <v>0</v>
      </c>
      <c r="H67" s="28"/>
      <c r="I67" s="28"/>
      <c r="J67" s="28"/>
      <c r="K67" s="28">
        <v>143987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ht="16.5" thickBot="1" x14ac:dyDescent="0.3">
      <c r="A68" s="18" t="s">
        <v>134</v>
      </c>
      <c r="B68" s="19" t="s">
        <v>135</v>
      </c>
      <c r="C68" s="20">
        <v>61393</v>
      </c>
      <c r="D68" s="21"/>
      <c r="E68" s="22">
        <f t="shared" si="0"/>
        <v>61393</v>
      </c>
      <c r="F68" s="22">
        <f t="shared" si="1"/>
        <v>61393</v>
      </c>
      <c r="G68" s="22">
        <f t="shared" si="2"/>
        <v>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>
        <f>50000+6002.84</f>
        <v>56002.84</v>
      </c>
      <c r="X68" s="28"/>
      <c r="Y68" s="28"/>
      <c r="Z68" s="28"/>
      <c r="AA68" s="28"/>
      <c r="AB68" s="28"/>
      <c r="AC68" s="28"/>
      <c r="AD68" s="28">
        <v>5390.16</v>
      </c>
      <c r="AE68" s="28"/>
      <c r="AF68" s="28"/>
      <c r="AG68" s="28"/>
      <c r="AH68" s="28"/>
    </row>
    <row r="69" spans="1:34" ht="16.5" thickBot="1" x14ac:dyDescent="0.3">
      <c r="A69" s="18" t="s">
        <v>136</v>
      </c>
      <c r="B69" s="19" t="s">
        <v>137</v>
      </c>
      <c r="C69" s="20">
        <v>43385</v>
      </c>
      <c r="D69" s="21"/>
      <c r="E69" s="22">
        <f t="shared" si="0"/>
        <v>43385</v>
      </c>
      <c r="F69" s="22">
        <f t="shared" si="1"/>
        <v>43385</v>
      </c>
      <c r="G69" s="22">
        <f t="shared" si="2"/>
        <v>0</v>
      </c>
      <c r="H69" s="28"/>
      <c r="I69" s="28"/>
      <c r="J69" s="28"/>
      <c r="K69" s="28"/>
      <c r="L69" s="28"/>
      <c r="M69" s="28"/>
      <c r="N69" s="28"/>
      <c r="O69" s="28"/>
      <c r="P69" s="28">
        <v>28350</v>
      </c>
      <c r="Q69" s="28"/>
      <c r="R69" s="28">
        <v>15035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ht="16.5" thickBot="1" x14ac:dyDescent="0.3">
      <c r="A70" s="18" t="s">
        <v>138</v>
      </c>
      <c r="B70" s="19" t="s">
        <v>139</v>
      </c>
      <c r="C70" s="20">
        <v>290578</v>
      </c>
      <c r="D70" s="21"/>
      <c r="E70" s="22">
        <f t="shared" si="0"/>
        <v>290578</v>
      </c>
      <c r="F70" s="22">
        <f t="shared" si="1"/>
        <v>290578</v>
      </c>
      <c r="G70" s="22">
        <f t="shared" si="2"/>
        <v>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>
        <v>271032</v>
      </c>
      <c r="W70" s="28"/>
      <c r="X70" s="28"/>
      <c r="Y70" s="28"/>
      <c r="Z70" s="28">
        <v>19546</v>
      </c>
      <c r="AA70" s="28"/>
      <c r="AB70" s="28"/>
      <c r="AC70" s="28"/>
      <c r="AD70" s="28"/>
      <c r="AE70" s="28"/>
      <c r="AF70" s="28"/>
      <c r="AG70" s="28"/>
      <c r="AH70" s="28"/>
    </row>
    <row r="71" spans="1:34" ht="16.5" thickBot="1" x14ac:dyDescent="0.3">
      <c r="A71" s="18" t="s">
        <v>140</v>
      </c>
      <c r="B71" s="19" t="s">
        <v>141</v>
      </c>
      <c r="C71" s="20">
        <v>1284287</v>
      </c>
      <c r="D71" s="21"/>
      <c r="E71" s="22">
        <f t="shared" si="0"/>
        <v>1284287</v>
      </c>
      <c r="F71" s="22">
        <f t="shared" si="1"/>
        <v>1267272.3600000001</v>
      </c>
      <c r="G71" s="22">
        <f t="shared" si="2"/>
        <v>17014.639999999898</v>
      </c>
      <c r="H71" s="28"/>
      <c r="I71" s="28"/>
      <c r="J71" s="28"/>
      <c r="K71" s="28"/>
      <c r="L71" s="28">
        <v>801339</v>
      </c>
      <c r="M71" s="28">
        <v>20133.36</v>
      </c>
      <c r="N71" s="28"/>
      <c r="O71" s="28"/>
      <c r="P71" s="28"/>
      <c r="Q71" s="28"/>
      <c r="R71" s="28"/>
      <c r="S71" s="28">
        <v>160697.44</v>
      </c>
      <c r="T71" s="28"/>
      <c r="U71" s="28">
        <v>283556</v>
      </c>
      <c r="V71" s="28"/>
      <c r="W71" s="28"/>
      <c r="X71" s="28"/>
      <c r="Y71" s="28"/>
      <c r="Z71" s="28"/>
      <c r="AA71" s="28"/>
      <c r="AB71" s="28"/>
      <c r="AC71" s="28"/>
      <c r="AD71" s="28"/>
      <c r="AE71" s="28">
        <f>204.75+1341.81</f>
        <v>1546.56</v>
      </c>
      <c r="AF71" s="28"/>
      <c r="AG71" s="28"/>
      <c r="AH71" s="28"/>
    </row>
    <row r="72" spans="1:34" ht="16.5" thickBot="1" x14ac:dyDescent="0.3">
      <c r="A72" s="18" t="s">
        <v>142</v>
      </c>
      <c r="B72" s="19" t="s">
        <v>143</v>
      </c>
      <c r="C72" s="20">
        <v>16549</v>
      </c>
      <c r="D72" s="21"/>
      <c r="E72" s="22">
        <f t="shared" si="0"/>
        <v>16549</v>
      </c>
      <c r="F72" s="22">
        <f t="shared" si="1"/>
        <v>16549</v>
      </c>
      <c r="G72" s="22">
        <f t="shared" si="2"/>
        <v>0</v>
      </c>
      <c r="H72" s="28"/>
      <c r="I72" s="28"/>
      <c r="J72" s="28"/>
      <c r="K72" s="28">
        <v>16549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ht="16.5" thickBot="1" x14ac:dyDescent="0.3">
      <c r="A73" s="18" t="s">
        <v>144</v>
      </c>
      <c r="B73" s="19" t="s">
        <v>145</v>
      </c>
      <c r="C73" s="20">
        <v>83404</v>
      </c>
      <c r="D73" s="21"/>
      <c r="E73" s="22">
        <f t="shared" si="0"/>
        <v>83404</v>
      </c>
      <c r="F73" s="22">
        <f t="shared" si="1"/>
        <v>83404</v>
      </c>
      <c r="G73" s="22">
        <f t="shared" si="2"/>
        <v>0</v>
      </c>
      <c r="H73" s="28"/>
      <c r="I73" s="28"/>
      <c r="J73" s="28"/>
      <c r="K73" s="28"/>
      <c r="L73" s="28"/>
      <c r="M73" s="28"/>
      <c r="N73" s="28">
        <v>53595</v>
      </c>
      <c r="O73" s="28"/>
      <c r="P73" s="28">
        <v>25124.55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>
        <v>4684.45</v>
      </c>
    </row>
    <row r="74" spans="1:34" ht="16.5" thickBot="1" x14ac:dyDescent="0.3">
      <c r="A74" s="18" t="s">
        <v>146</v>
      </c>
      <c r="B74" s="19" t="s">
        <v>147</v>
      </c>
      <c r="C74" s="20">
        <v>732267</v>
      </c>
      <c r="D74" s="21"/>
      <c r="E74" s="22">
        <f t="shared" si="0"/>
        <v>732267</v>
      </c>
      <c r="F74" s="22">
        <f t="shared" si="1"/>
        <v>732267</v>
      </c>
      <c r="G74" s="22">
        <f t="shared" si="2"/>
        <v>0</v>
      </c>
      <c r="H74" s="28"/>
      <c r="I74" s="28"/>
      <c r="J74" s="28"/>
      <c r="K74" s="28"/>
      <c r="L74" s="28">
        <v>115968</v>
      </c>
      <c r="M74" s="28"/>
      <c r="N74" s="28">
        <f>30350+116341</f>
        <v>146691</v>
      </c>
      <c r="O74" s="28"/>
      <c r="P74" s="28">
        <v>116312</v>
      </c>
      <c r="Q74" s="28"/>
      <c r="R74" s="28"/>
      <c r="S74" s="28">
        <v>174482</v>
      </c>
      <c r="T74" s="28"/>
      <c r="U74" s="28">
        <v>178814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:34" ht="16.5" thickBot="1" x14ac:dyDescent="0.3">
      <c r="A75" s="18" t="s">
        <v>148</v>
      </c>
      <c r="B75" s="19" t="s">
        <v>149</v>
      </c>
      <c r="C75" s="20">
        <v>282588</v>
      </c>
      <c r="D75" s="21"/>
      <c r="E75" s="22">
        <f t="shared" si="0"/>
        <v>282588</v>
      </c>
      <c r="F75" s="22">
        <f t="shared" si="1"/>
        <v>282588</v>
      </c>
      <c r="G75" s="22">
        <f t="shared" si="2"/>
        <v>0</v>
      </c>
      <c r="H75" s="28"/>
      <c r="I75" s="28"/>
      <c r="J75" s="28">
        <v>63883.56</v>
      </c>
      <c r="K75" s="28"/>
      <c r="L75" s="28"/>
      <c r="M75" s="28">
        <v>218704.44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:34" ht="16.5" thickBot="1" x14ac:dyDescent="0.3">
      <c r="A76" s="18" t="s">
        <v>150</v>
      </c>
      <c r="B76" s="19" t="s">
        <v>151</v>
      </c>
      <c r="C76" s="20">
        <v>46508</v>
      </c>
      <c r="D76" s="21"/>
      <c r="E76" s="22">
        <f t="shared" ref="E76:E139" si="3">C76</f>
        <v>46508</v>
      </c>
      <c r="F76" s="22">
        <f t="shared" ref="F76:F139" si="4">SUM(H76:AK76)</f>
        <v>46508</v>
      </c>
      <c r="G76" s="22">
        <f t="shared" ref="G76:G139" si="5">E76-(F76+AL76+AM76)</f>
        <v>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>
        <v>46508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ht="16.5" thickBot="1" x14ac:dyDescent="0.3">
      <c r="A77" s="18" t="s">
        <v>152</v>
      </c>
      <c r="B77" s="19" t="s">
        <v>153</v>
      </c>
      <c r="C77" s="20">
        <v>410296</v>
      </c>
      <c r="D77" s="21"/>
      <c r="E77" s="22">
        <f t="shared" si="3"/>
        <v>410296</v>
      </c>
      <c r="F77" s="22">
        <f t="shared" si="4"/>
        <v>365018.67</v>
      </c>
      <c r="G77" s="22">
        <f t="shared" si="5"/>
        <v>45277.330000000016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>
        <v>355270.8</v>
      </c>
      <c r="AB77" s="28">
        <v>9747.8700000000008</v>
      </c>
      <c r="AC77" s="28"/>
      <c r="AD77" s="28"/>
      <c r="AE77" s="28"/>
      <c r="AF77" s="28"/>
      <c r="AG77" s="28"/>
      <c r="AH77" s="28"/>
    </row>
    <row r="78" spans="1:34" ht="16.5" thickBot="1" x14ac:dyDescent="0.3">
      <c r="A78" s="18" t="s">
        <v>154</v>
      </c>
      <c r="B78" s="19" t="s">
        <v>155</v>
      </c>
      <c r="C78" s="20">
        <v>493875</v>
      </c>
      <c r="D78" s="21"/>
      <c r="E78" s="22">
        <f t="shared" si="3"/>
        <v>493875</v>
      </c>
      <c r="F78" s="22">
        <f t="shared" si="4"/>
        <v>493875.00000000006</v>
      </c>
      <c r="G78" s="22">
        <f t="shared" si="5"/>
        <v>0</v>
      </c>
      <c r="H78" s="28"/>
      <c r="I78" s="28"/>
      <c r="J78" s="28"/>
      <c r="K78" s="28"/>
      <c r="L78" s="28"/>
      <c r="M78" s="28"/>
      <c r="N78" s="28"/>
      <c r="O78" s="28"/>
      <c r="P78" s="28"/>
      <c r="Q78" s="28">
        <v>240648.35</v>
      </c>
      <c r="R78" s="28"/>
      <c r="S78" s="28">
        <v>250873.95</v>
      </c>
      <c r="T78" s="28"/>
      <c r="U78" s="28"/>
      <c r="V78" s="28"/>
      <c r="W78" s="28"/>
      <c r="X78" s="28">
        <v>2352.6999999999998</v>
      </c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ht="16.5" thickBot="1" x14ac:dyDescent="0.3">
      <c r="A79" s="18" t="s">
        <v>156</v>
      </c>
      <c r="B79" s="19" t="s">
        <v>157</v>
      </c>
      <c r="C79" s="20">
        <v>130458</v>
      </c>
      <c r="D79" s="21"/>
      <c r="E79" s="22">
        <f t="shared" si="3"/>
        <v>130458</v>
      </c>
      <c r="F79" s="22">
        <f t="shared" si="4"/>
        <v>130458</v>
      </c>
      <c r="G79" s="22">
        <f t="shared" si="5"/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>
        <v>78691.22</v>
      </c>
      <c r="T79" s="28"/>
      <c r="U79" s="28">
        <v>51766.78</v>
      </c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34" ht="16.5" thickBot="1" x14ac:dyDescent="0.3">
      <c r="A80" s="18" t="s">
        <v>158</v>
      </c>
      <c r="B80" s="19" t="s">
        <v>159</v>
      </c>
      <c r="C80" s="20">
        <v>17829</v>
      </c>
      <c r="D80" s="21"/>
      <c r="E80" s="22">
        <f t="shared" si="3"/>
        <v>17829</v>
      </c>
      <c r="F80" s="22">
        <f t="shared" si="4"/>
        <v>17829</v>
      </c>
      <c r="G80" s="22">
        <f t="shared" si="5"/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>
        <v>6400</v>
      </c>
      <c r="T80" s="28">
        <v>1731</v>
      </c>
      <c r="U80" s="28"/>
      <c r="V80" s="28"/>
      <c r="W80" s="28"/>
      <c r="X80" s="28"/>
      <c r="Y80" s="28">
        <v>2622</v>
      </c>
      <c r="Z80" s="28"/>
      <c r="AA80" s="28"/>
      <c r="AB80" s="28"/>
      <c r="AC80" s="28"/>
      <c r="AD80" s="28"/>
      <c r="AE80" s="28"/>
      <c r="AF80" s="28">
        <v>7076</v>
      </c>
      <c r="AG80" s="28"/>
      <c r="AH80" s="28"/>
    </row>
    <row r="81" spans="1:34" ht="16.5" thickBot="1" x14ac:dyDescent="0.3">
      <c r="A81" s="18" t="s">
        <v>160</v>
      </c>
      <c r="B81" s="19" t="s">
        <v>161</v>
      </c>
      <c r="C81" s="20">
        <v>60784</v>
      </c>
      <c r="D81" s="21"/>
      <c r="E81" s="22">
        <f t="shared" si="3"/>
        <v>60784</v>
      </c>
      <c r="F81" s="22">
        <f t="shared" si="4"/>
        <v>60784</v>
      </c>
      <c r="G81" s="22">
        <f t="shared" si="5"/>
        <v>0</v>
      </c>
      <c r="H81" s="28"/>
      <c r="I81" s="28"/>
      <c r="J81" s="28"/>
      <c r="K81" s="28"/>
      <c r="L81" s="28"/>
      <c r="M81" s="28"/>
      <c r="N81" s="28">
        <v>60784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ht="16.5" thickBot="1" x14ac:dyDescent="0.3">
      <c r="A82" s="18" t="s">
        <v>162</v>
      </c>
      <c r="B82" s="19" t="s">
        <v>163</v>
      </c>
      <c r="C82" s="20">
        <v>94148</v>
      </c>
      <c r="D82" s="21"/>
      <c r="E82" s="22">
        <f t="shared" si="3"/>
        <v>94148</v>
      </c>
      <c r="F82" s="22">
        <f t="shared" si="4"/>
        <v>94148</v>
      </c>
      <c r="G82" s="22">
        <f t="shared" si="5"/>
        <v>0</v>
      </c>
      <c r="H82" s="28"/>
      <c r="I82" s="28"/>
      <c r="J82" s="28"/>
      <c r="K82" s="28"/>
      <c r="L82" s="28">
        <v>94148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34" ht="16.5" thickBot="1" x14ac:dyDescent="0.3">
      <c r="A83" s="18" t="s">
        <v>164</v>
      </c>
      <c r="B83" s="19" t="s">
        <v>165</v>
      </c>
      <c r="C83" s="20">
        <v>184546</v>
      </c>
      <c r="D83" s="21"/>
      <c r="E83" s="22">
        <f t="shared" si="3"/>
        <v>184546</v>
      </c>
      <c r="F83" s="22">
        <f t="shared" si="4"/>
        <v>184546</v>
      </c>
      <c r="G83" s="22">
        <f t="shared" si="5"/>
        <v>0</v>
      </c>
      <c r="H83" s="28"/>
      <c r="I83" s="28"/>
      <c r="J83" s="28"/>
      <c r="K83" s="28"/>
      <c r="L83" s="28"/>
      <c r="M83" s="28"/>
      <c r="N83" s="28"/>
      <c r="O83" s="28">
        <v>19952.240000000002</v>
      </c>
      <c r="P83" s="28"/>
      <c r="Q83" s="28"/>
      <c r="R83" s="28">
        <v>164593.76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6.5" thickBot="1" x14ac:dyDescent="0.3">
      <c r="A84" s="18" t="s">
        <v>166</v>
      </c>
      <c r="B84" s="19" t="s">
        <v>167</v>
      </c>
      <c r="C84" s="20">
        <v>18672</v>
      </c>
      <c r="D84" s="21"/>
      <c r="E84" s="22">
        <f t="shared" si="3"/>
        <v>18672</v>
      </c>
      <c r="F84" s="22">
        <f t="shared" si="4"/>
        <v>18672</v>
      </c>
      <c r="G84" s="22">
        <f t="shared" si="5"/>
        <v>0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>
        <v>18672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1:34" ht="16.5" thickBot="1" x14ac:dyDescent="0.3">
      <c r="A85" s="18" t="s">
        <v>168</v>
      </c>
      <c r="B85" s="19" t="s">
        <v>169</v>
      </c>
      <c r="C85" s="20">
        <v>211667</v>
      </c>
      <c r="D85" s="21"/>
      <c r="E85" s="22">
        <f t="shared" si="3"/>
        <v>211667</v>
      </c>
      <c r="F85" s="22">
        <f t="shared" si="4"/>
        <v>211667</v>
      </c>
      <c r="G85" s="22">
        <f t="shared" si="5"/>
        <v>0</v>
      </c>
      <c r="H85" s="28"/>
      <c r="I85" s="28"/>
      <c r="J85" s="28"/>
      <c r="K85" s="28">
        <v>14975.05</v>
      </c>
      <c r="L85" s="28">
        <v>16390.41</v>
      </c>
      <c r="M85" s="28">
        <v>16384.68</v>
      </c>
      <c r="N85" s="28"/>
      <c r="O85" s="28">
        <v>32774.93</v>
      </c>
      <c r="P85" s="28">
        <f>16837.01+10652.19</f>
        <v>27489.199999999997</v>
      </c>
      <c r="Q85" s="28"/>
      <c r="R85" s="28"/>
      <c r="S85" s="28">
        <v>59582.23</v>
      </c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>
        <v>44070.5</v>
      </c>
      <c r="AF85" s="28"/>
      <c r="AG85" s="28"/>
      <c r="AH85" s="28"/>
    </row>
    <row r="86" spans="1:34" ht="16.5" thickBot="1" x14ac:dyDescent="0.3">
      <c r="A86" s="18" t="s">
        <v>170</v>
      </c>
      <c r="B86" s="19" t="s">
        <v>171</v>
      </c>
      <c r="C86" s="20">
        <v>87156</v>
      </c>
      <c r="D86" s="21"/>
      <c r="E86" s="22">
        <f t="shared" si="3"/>
        <v>87156</v>
      </c>
      <c r="F86" s="22">
        <f t="shared" si="4"/>
        <v>87156</v>
      </c>
      <c r="G86" s="22">
        <f t="shared" si="5"/>
        <v>0</v>
      </c>
      <c r="H86" s="28"/>
      <c r="I86" s="28"/>
      <c r="J86" s="28"/>
      <c r="K86" s="28"/>
      <c r="L86" s="28"/>
      <c r="M86" s="28"/>
      <c r="N86" s="28"/>
      <c r="O86" s="28"/>
      <c r="P86" s="28"/>
      <c r="Q86" s="28">
        <v>41369</v>
      </c>
      <c r="R86" s="28"/>
      <c r="S86" s="28">
        <v>34736</v>
      </c>
      <c r="T86" s="28"/>
      <c r="U86" s="28"/>
      <c r="V86" s="28">
        <v>11051</v>
      </c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1:34" ht="16.5" thickBot="1" x14ac:dyDescent="0.3">
      <c r="A87" s="18" t="s">
        <v>172</v>
      </c>
      <c r="B87" s="19" t="s">
        <v>173</v>
      </c>
      <c r="C87" s="20">
        <v>32173</v>
      </c>
      <c r="D87" s="21"/>
      <c r="E87" s="22">
        <f t="shared" si="3"/>
        <v>32173</v>
      </c>
      <c r="F87" s="22">
        <f t="shared" si="4"/>
        <v>32173</v>
      </c>
      <c r="G87" s="22">
        <f t="shared" si="5"/>
        <v>0</v>
      </c>
      <c r="H87" s="28"/>
      <c r="I87" s="28"/>
      <c r="J87" s="28"/>
      <c r="K87" s="28"/>
      <c r="L87" s="28"/>
      <c r="M87" s="28"/>
      <c r="N87" s="28"/>
      <c r="O87" s="28"/>
      <c r="P87" s="28"/>
      <c r="Q87" s="28">
        <v>8298.91</v>
      </c>
      <c r="R87" s="28"/>
      <c r="S87" s="28"/>
      <c r="T87" s="28"/>
      <c r="U87" s="28">
        <v>7782.27</v>
      </c>
      <c r="V87" s="28"/>
      <c r="W87" s="28">
        <v>16091.82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1:34" ht="16.5" thickBot="1" x14ac:dyDescent="0.3">
      <c r="A88" s="18" t="s">
        <v>174</v>
      </c>
      <c r="B88" s="19" t="s">
        <v>175</v>
      </c>
      <c r="C88" s="20">
        <v>7036605</v>
      </c>
      <c r="D88" s="21"/>
      <c r="E88" s="22">
        <f t="shared" si="3"/>
        <v>7036605</v>
      </c>
      <c r="F88" s="22">
        <f t="shared" si="4"/>
        <v>7036605</v>
      </c>
      <c r="G88" s="22">
        <f t="shared" si="5"/>
        <v>0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>
        <v>3695976.86</v>
      </c>
      <c r="T88" s="28">
        <v>1020641.42</v>
      </c>
      <c r="U88" s="28"/>
      <c r="V88" s="28"/>
      <c r="W88" s="28">
        <v>2277986.7200000002</v>
      </c>
      <c r="X88" s="28"/>
      <c r="Y88" s="28">
        <v>9428.07</v>
      </c>
      <c r="Z88" s="28"/>
      <c r="AA88" s="28"/>
      <c r="AB88" s="28">
        <v>6627.13</v>
      </c>
      <c r="AC88" s="28"/>
      <c r="AD88" s="28"/>
      <c r="AE88" s="28">
        <v>5858.27</v>
      </c>
      <c r="AF88" s="28"/>
      <c r="AG88" s="28">
        <v>20086.53</v>
      </c>
      <c r="AH88" s="28"/>
    </row>
    <row r="89" spans="1:34" ht="16.5" thickBot="1" x14ac:dyDescent="0.3">
      <c r="A89" s="18" t="s">
        <v>176</v>
      </c>
      <c r="B89" s="19" t="s">
        <v>177</v>
      </c>
      <c r="C89" s="20">
        <v>22965</v>
      </c>
      <c r="D89" s="21"/>
      <c r="E89" s="22">
        <f t="shared" si="3"/>
        <v>22965</v>
      </c>
      <c r="F89" s="22">
        <f t="shared" si="4"/>
        <v>22965</v>
      </c>
      <c r="G89" s="22">
        <f t="shared" si="5"/>
        <v>0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>
        <v>22815</v>
      </c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>
        <v>150</v>
      </c>
      <c r="AF89" s="28"/>
      <c r="AG89" s="28"/>
      <c r="AH89" s="28"/>
    </row>
    <row r="90" spans="1:34" ht="16.5" thickBot="1" x14ac:dyDescent="0.3">
      <c r="A90" s="18" t="s">
        <v>178</v>
      </c>
      <c r="B90" s="19" t="s">
        <v>179</v>
      </c>
      <c r="C90" s="20">
        <v>15655</v>
      </c>
      <c r="D90" s="21"/>
      <c r="E90" s="22">
        <f t="shared" si="3"/>
        <v>15655</v>
      </c>
      <c r="F90" s="22">
        <f t="shared" si="4"/>
        <v>15655</v>
      </c>
      <c r="G90" s="22">
        <f t="shared" si="5"/>
        <v>0</v>
      </c>
      <c r="H90" s="28"/>
      <c r="I90" s="28"/>
      <c r="J90" s="28"/>
      <c r="K90" s="28"/>
      <c r="L90" s="28"/>
      <c r="M90" s="28"/>
      <c r="N90" s="28"/>
      <c r="O90" s="28"/>
      <c r="P90" s="28">
        <v>15655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1:34" ht="16.5" thickBot="1" x14ac:dyDescent="0.3">
      <c r="A91" s="18" t="s">
        <v>180</v>
      </c>
      <c r="B91" s="19" t="s">
        <v>181</v>
      </c>
      <c r="C91" s="20">
        <v>25118</v>
      </c>
      <c r="D91" s="21"/>
      <c r="E91" s="22">
        <f t="shared" si="3"/>
        <v>25118</v>
      </c>
      <c r="F91" s="22">
        <f t="shared" si="4"/>
        <v>25118</v>
      </c>
      <c r="G91" s="22">
        <f t="shared" si="5"/>
        <v>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>
        <v>25118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ht="16.5" thickBot="1" x14ac:dyDescent="0.3">
      <c r="A92" s="18" t="s">
        <v>182</v>
      </c>
      <c r="B92" s="19" t="s">
        <v>183</v>
      </c>
      <c r="C92" s="20">
        <v>15428</v>
      </c>
      <c r="D92" s="21"/>
      <c r="E92" s="22">
        <f t="shared" si="3"/>
        <v>15428</v>
      </c>
      <c r="F92" s="22">
        <f t="shared" si="4"/>
        <v>15428</v>
      </c>
      <c r="G92" s="22">
        <f t="shared" si="5"/>
        <v>0</v>
      </c>
      <c r="H92" s="28"/>
      <c r="I92" s="28"/>
      <c r="J92" s="28"/>
      <c r="K92" s="28"/>
      <c r="L92" s="28"/>
      <c r="M92" s="28"/>
      <c r="N92" s="28"/>
      <c r="O92" s="28">
        <v>15428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34" ht="16.5" thickBot="1" x14ac:dyDescent="0.3">
      <c r="A93" s="18" t="s">
        <v>184</v>
      </c>
      <c r="B93" s="19" t="s">
        <v>185</v>
      </c>
      <c r="C93" s="20">
        <v>32155</v>
      </c>
      <c r="D93" s="21"/>
      <c r="E93" s="22">
        <f t="shared" si="3"/>
        <v>32155</v>
      </c>
      <c r="F93" s="22">
        <f t="shared" si="4"/>
        <v>32155</v>
      </c>
      <c r="G93" s="22">
        <f t="shared" si="5"/>
        <v>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>
        <v>32155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1:34" ht="16.5" thickBot="1" x14ac:dyDescent="0.3">
      <c r="A94" s="18" t="s">
        <v>186</v>
      </c>
      <c r="B94" s="19" t="s">
        <v>187</v>
      </c>
      <c r="C94" s="20">
        <v>14782</v>
      </c>
      <c r="D94" s="21"/>
      <c r="E94" s="22">
        <f t="shared" si="3"/>
        <v>14782</v>
      </c>
      <c r="F94" s="22">
        <f t="shared" si="4"/>
        <v>14782</v>
      </c>
      <c r="G94" s="22">
        <f t="shared" si="5"/>
        <v>0</v>
      </c>
      <c r="H94" s="28"/>
      <c r="I94" s="28"/>
      <c r="J94" s="28"/>
      <c r="K94" s="28"/>
      <c r="L94" s="28"/>
      <c r="M94" s="28"/>
      <c r="N94" s="28"/>
      <c r="O94" s="28">
        <v>4543.8999999999996</v>
      </c>
      <c r="P94" s="28">
        <v>5546.43</v>
      </c>
      <c r="Q94" s="28"/>
      <c r="R94" s="28">
        <v>4691.67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1:34" ht="16.5" thickBot="1" x14ac:dyDescent="0.3">
      <c r="A95" s="18" t="s">
        <v>188</v>
      </c>
      <c r="B95" s="19" t="s">
        <v>189</v>
      </c>
      <c r="C95" s="20">
        <v>129939</v>
      </c>
      <c r="D95" s="21"/>
      <c r="E95" s="22">
        <f t="shared" si="3"/>
        <v>129939</v>
      </c>
      <c r="F95" s="22">
        <f t="shared" si="4"/>
        <v>129939</v>
      </c>
      <c r="G95" s="22">
        <f t="shared" si="5"/>
        <v>0</v>
      </c>
      <c r="H95" s="28"/>
      <c r="I95" s="28"/>
      <c r="J95" s="28">
        <v>129939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1:34" ht="16.5" thickBot="1" x14ac:dyDescent="0.3">
      <c r="A96" s="18" t="s">
        <v>190</v>
      </c>
      <c r="B96" s="19" t="s">
        <v>191</v>
      </c>
      <c r="C96" s="20">
        <v>189618</v>
      </c>
      <c r="D96" s="21"/>
      <c r="E96" s="22">
        <f t="shared" si="3"/>
        <v>189618</v>
      </c>
      <c r="F96" s="22">
        <f t="shared" si="4"/>
        <v>189618.00000000003</v>
      </c>
      <c r="G96" s="22">
        <f t="shared" si="5"/>
        <v>0</v>
      </c>
      <c r="H96" s="28"/>
      <c r="I96" s="28"/>
      <c r="J96" s="28"/>
      <c r="K96" s="28"/>
      <c r="L96" s="28"/>
      <c r="M96" s="28"/>
      <c r="N96" s="28"/>
      <c r="O96" s="28">
        <f>101913+13786.16</f>
        <v>115699.16</v>
      </c>
      <c r="P96" s="28">
        <v>11208.58</v>
      </c>
      <c r="Q96" s="28"/>
      <c r="R96" s="28">
        <f>11795.39+11208.58</f>
        <v>23003.97</v>
      </c>
      <c r="S96" s="28">
        <v>39706.29</v>
      </c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ht="16.5" thickBot="1" x14ac:dyDescent="0.3">
      <c r="A97" s="18" t="s">
        <v>192</v>
      </c>
      <c r="B97" s="19" t="s">
        <v>193</v>
      </c>
      <c r="C97" s="20">
        <v>437998</v>
      </c>
      <c r="D97" s="21"/>
      <c r="E97" s="22">
        <f t="shared" si="3"/>
        <v>437998</v>
      </c>
      <c r="F97" s="22">
        <f t="shared" si="4"/>
        <v>163335.75</v>
      </c>
      <c r="G97" s="22">
        <f t="shared" si="5"/>
        <v>274662.25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>
        <v>33101.25</v>
      </c>
      <c r="T97" s="28"/>
      <c r="U97" s="28"/>
      <c r="V97" s="28">
        <v>9184.08</v>
      </c>
      <c r="W97" s="28"/>
      <c r="X97" s="28"/>
      <c r="Y97" s="28"/>
      <c r="Z97" s="28"/>
      <c r="AA97" s="28"/>
      <c r="AB97" s="28"/>
      <c r="AC97" s="28"/>
      <c r="AD97" s="28"/>
      <c r="AE97" s="28">
        <v>121050.42</v>
      </c>
      <c r="AF97" s="28"/>
      <c r="AG97" s="28"/>
      <c r="AH97" s="28"/>
    </row>
    <row r="98" spans="1:34" ht="16.5" thickBot="1" x14ac:dyDescent="0.3">
      <c r="A98" s="18" t="s">
        <v>194</v>
      </c>
      <c r="B98" s="19" t="s">
        <v>195</v>
      </c>
      <c r="C98" s="20">
        <v>80699</v>
      </c>
      <c r="D98" s="21"/>
      <c r="E98" s="22">
        <f t="shared" si="3"/>
        <v>80699</v>
      </c>
      <c r="F98" s="22">
        <f t="shared" si="4"/>
        <v>80699</v>
      </c>
      <c r="G98" s="22">
        <f t="shared" si="5"/>
        <v>0</v>
      </c>
      <c r="H98" s="28"/>
      <c r="I98" s="28"/>
      <c r="J98" s="28">
        <v>80699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1:34" ht="16.5" thickBot="1" x14ac:dyDescent="0.3">
      <c r="A99" s="18" t="s">
        <v>196</v>
      </c>
      <c r="B99" s="19" t="s">
        <v>197</v>
      </c>
      <c r="C99" s="20">
        <v>92257</v>
      </c>
      <c r="D99" s="21"/>
      <c r="E99" s="22">
        <f t="shared" si="3"/>
        <v>92257</v>
      </c>
      <c r="F99" s="22">
        <f t="shared" si="4"/>
        <v>92257</v>
      </c>
      <c r="G99" s="22">
        <f t="shared" si="5"/>
        <v>0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>
        <v>92257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1:34" ht="16.5" thickBot="1" x14ac:dyDescent="0.3">
      <c r="A100" s="18" t="s">
        <v>198</v>
      </c>
      <c r="B100" s="19" t="s">
        <v>199</v>
      </c>
      <c r="C100" s="20">
        <v>2160805</v>
      </c>
      <c r="D100" s="21"/>
      <c r="E100" s="22">
        <f t="shared" si="3"/>
        <v>2160805</v>
      </c>
      <c r="F100" s="22">
        <f t="shared" si="4"/>
        <v>2160805</v>
      </c>
      <c r="G100" s="22">
        <f t="shared" si="5"/>
        <v>0</v>
      </c>
      <c r="H100" s="28"/>
      <c r="I100" s="28"/>
      <c r="J100" s="28"/>
      <c r="K100" s="28"/>
      <c r="L100" s="28"/>
      <c r="M100" s="28"/>
      <c r="N100" s="28"/>
      <c r="O100" s="28">
        <v>4129.46</v>
      </c>
      <c r="P100" s="28"/>
      <c r="Q100" s="28"/>
      <c r="R100" s="28">
        <v>124019.37</v>
      </c>
      <c r="S100" s="28">
        <v>2019764.28</v>
      </c>
      <c r="T100" s="28"/>
      <c r="U100" s="28">
        <v>3094.83</v>
      </c>
      <c r="V100" s="28"/>
      <c r="W100" s="28"/>
      <c r="X100" s="28">
        <v>5381.87</v>
      </c>
      <c r="Y100" s="28"/>
      <c r="Z100" s="28"/>
      <c r="AA100" s="28">
        <v>4305.57</v>
      </c>
      <c r="AB100" s="28">
        <v>109.62</v>
      </c>
      <c r="AC100" s="28"/>
      <c r="AD100" s="28"/>
      <c r="AE100" s="28"/>
      <c r="AF100" s="28"/>
      <c r="AG100" s="28"/>
      <c r="AH100" s="28"/>
    </row>
    <row r="101" spans="1:34" ht="16.5" thickBot="1" x14ac:dyDescent="0.3">
      <c r="A101" s="18" t="s">
        <v>200</v>
      </c>
      <c r="B101" s="19" t="s">
        <v>201</v>
      </c>
      <c r="C101" s="20">
        <v>1290787</v>
      </c>
      <c r="D101" s="21"/>
      <c r="E101" s="22">
        <f t="shared" si="3"/>
        <v>1290787</v>
      </c>
      <c r="F101" s="22">
        <f t="shared" si="4"/>
        <v>1189215.69</v>
      </c>
      <c r="G101" s="22">
        <f t="shared" si="5"/>
        <v>101571.31000000006</v>
      </c>
      <c r="H101" s="28"/>
      <c r="I101" s="28"/>
      <c r="J101" s="28"/>
      <c r="K101" s="28"/>
      <c r="L101" s="28"/>
      <c r="M101" s="28"/>
      <c r="N101" s="28"/>
      <c r="O101" s="28">
        <v>103481.73</v>
      </c>
      <c r="P101" s="28"/>
      <c r="Q101" s="28">
        <v>62236.63</v>
      </c>
      <c r="R101" s="28"/>
      <c r="S101" s="28"/>
      <c r="T101" s="28">
        <v>647450.47</v>
      </c>
      <c r="U101" s="28"/>
      <c r="V101" s="28"/>
      <c r="W101" s="28">
        <v>117392.4</v>
      </c>
      <c r="X101" s="28"/>
      <c r="Y101" s="28"/>
      <c r="Z101" s="28"/>
      <c r="AA101" s="28">
        <v>961.25</v>
      </c>
      <c r="AB101" s="28"/>
      <c r="AC101" s="28"/>
      <c r="AD101" s="28"/>
      <c r="AE101" s="28"/>
      <c r="AF101" s="28">
        <f>991.25+256701.96</f>
        <v>257693.21</v>
      </c>
      <c r="AG101" s="28"/>
      <c r="AH101" s="28"/>
    </row>
    <row r="102" spans="1:34" ht="16.5" thickBot="1" x14ac:dyDescent="0.3">
      <c r="A102" s="18" t="s">
        <v>202</v>
      </c>
      <c r="B102" s="19" t="s">
        <v>203</v>
      </c>
      <c r="C102" s="20">
        <v>229356</v>
      </c>
      <c r="D102" s="21"/>
      <c r="E102" s="22">
        <f t="shared" si="3"/>
        <v>229356</v>
      </c>
      <c r="F102" s="22">
        <f t="shared" si="4"/>
        <v>229355.99000000002</v>
      </c>
      <c r="G102" s="22">
        <f t="shared" si="5"/>
        <v>9.9999999802093953E-3</v>
      </c>
      <c r="H102" s="28"/>
      <c r="I102" s="28"/>
      <c r="J102" s="28"/>
      <c r="K102" s="28"/>
      <c r="L102" s="28"/>
      <c r="M102" s="28">
        <v>91791.23</v>
      </c>
      <c r="N102" s="28">
        <v>41206.65</v>
      </c>
      <c r="O102" s="28">
        <v>20573.93</v>
      </c>
      <c r="P102" s="28">
        <v>20592.78</v>
      </c>
      <c r="Q102" s="28">
        <v>20592.79</v>
      </c>
      <c r="R102" s="28">
        <v>20592.79</v>
      </c>
      <c r="S102" s="28">
        <v>14005.82</v>
      </c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1:34" ht="16.5" thickBot="1" x14ac:dyDescent="0.3">
      <c r="A103" s="18" t="s">
        <v>204</v>
      </c>
      <c r="B103" s="19" t="s">
        <v>205</v>
      </c>
      <c r="C103" s="20">
        <v>298250</v>
      </c>
      <c r="D103" s="21"/>
      <c r="E103" s="22">
        <f t="shared" si="3"/>
        <v>298250</v>
      </c>
      <c r="F103" s="22">
        <f t="shared" si="4"/>
        <v>298250</v>
      </c>
      <c r="G103" s="22">
        <f t="shared" si="5"/>
        <v>0</v>
      </c>
      <c r="H103" s="28"/>
      <c r="I103" s="28"/>
      <c r="J103" s="28">
        <v>298250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1:34" ht="16.5" thickBot="1" x14ac:dyDescent="0.3">
      <c r="A104" s="18" t="s">
        <v>206</v>
      </c>
      <c r="B104" s="19" t="s">
        <v>207</v>
      </c>
      <c r="C104" s="20">
        <v>31251</v>
      </c>
      <c r="D104" s="21"/>
      <c r="E104" s="22">
        <f t="shared" si="3"/>
        <v>31251</v>
      </c>
      <c r="F104" s="22">
        <f t="shared" si="4"/>
        <v>31251</v>
      </c>
      <c r="G104" s="22">
        <f t="shared" si="5"/>
        <v>0</v>
      </c>
      <c r="H104" s="28"/>
      <c r="I104" s="28"/>
      <c r="J104" s="28"/>
      <c r="K104" s="28">
        <v>31251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16.5" thickBot="1" x14ac:dyDescent="0.3">
      <c r="A105" s="18" t="s">
        <v>208</v>
      </c>
      <c r="B105" s="19" t="s">
        <v>209</v>
      </c>
      <c r="C105" s="20">
        <v>60838</v>
      </c>
      <c r="D105" s="21"/>
      <c r="E105" s="22">
        <f t="shared" si="3"/>
        <v>60838</v>
      </c>
      <c r="F105" s="22">
        <f t="shared" si="4"/>
        <v>47542.28</v>
      </c>
      <c r="G105" s="22">
        <f t="shared" si="5"/>
        <v>13295.720000000001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>
        <v>29497.21</v>
      </c>
      <c r="R105" s="28"/>
      <c r="S105" s="28">
        <v>18045.07</v>
      </c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6.5" thickBot="1" x14ac:dyDescent="0.3">
      <c r="A106" s="18" t="s">
        <v>210</v>
      </c>
      <c r="B106" s="19" t="s">
        <v>211</v>
      </c>
      <c r="C106" s="20">
        <v>64646</v>
      </c>
      <c r="D106" s="21"/>
      <c r="E106" s="22">
        <f t="shared" si="3"/>
        <v>64646</v>
      </c>
      <c r="F106" s="22">
        <f t="shared" si="4"/>
        <v>64646</v>
      </c>
      <c r="G106" s="22">
        <f t="shared" si="5"/>
        <v>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>
        <v>64646</v>
      </c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6.5" thickBot="1" x14ac:dyDescent="0.3">
      <c r="A107" s="18" t="s">
        <v>212</v>
      </c>
      <c r="B107" s="19" t="s">
        <v>213</v>
      </c>
      <c r="C107" s="20">
        <v>10575</v>
      </c>
      <c r="D107" s="21"/>
      <c r="E107" s="22">
        <f t="shared" si="3"/>
        <v>10575</v>
      </c>
      <c r="F107" s="22">
        <f t="shared" si="4"/>
        <v>10575</v>
      </c>
      <c r="G107" s="22">
        <f t="shared" si="5"/>
        <v>0</v>
      </c>
      <c r="H107" s="28"/>
      <c r="I107" s="28"/>
      <c r="J107" s="28"/>
      <c r="K107" s="28"/>
      <c r="L107" s="28"/>
      <c r="M107" s="28"/>
      <c r="N107" s="28">
        <v>10575</v>
      </c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1:34" ht="16.5" thickBot="1" x14ac:dyDescent="0.3">
      <c r="A108" s="18" t="s">
        <v>214</v>
      </c>
      <c r="B108" s="19" t="s">
        <v>215</v>
      </c>
      <c r="C108" s="20">
        <v>1102</v>
      </c>
      <c r="D108" s="21"/>
      <c r="E108" s="22">
        <f t="shared" si="3"/>
        <v>1102</v>
      </c>
      <c r="F108" s="22">
        <f t="shared" si="4"/>
        <v>1102</v>
      </c>
      <c r="G108" s="22">
        <f t="shared" si="5"/>
        <v>0</v>
      </c>
      <c r="H108" s="28"/>
      <c r="I108" s="28"/>
      <c r="J108" s="28">
        <v>1102</v>
      </c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6.5" thickBot="1" x14ac:dyDescent="0.3">
      <c r="A109" s="18" t="s">
        <v>216</v>
      </c>
      <c r="B109" s="19" t="s">
        <v>217</v>
      </c>
      <c r="C109" s="20">
        <v>28690</v>
      </c>
      <c r="D109" s="21"/>
      <c r="E109" s="22">
        <f t="shared" si="3"/>
        <v>28690</v>
      </c>
      <c r="F109" s="22">
        <f t="shared" si="4"/>
        <v>28690</v>
      </c>
      <c r="G109" s="22">
        <f t="shared" si="5"/>
        <v>0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>
        <v>28690</v>
      </c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6.5" thickBot="1" x14ac:dyDescent="0.3">
      <c r="A110" s="18" t="s">
        <v>218</v>
      </c>
      <c r="B110" s="19" t="s">
        <v>219</v>
      </c>
      <c r="C110" s="20">
        <v>78262</v>
      </c>
      <c r="D110" s="21"/>
      <c r="E110" s="22">
        <f t="shared" si="3"/>
        <v>78262</v>
      </c>
      <c r="F110" s="22">
        <f t="shared" si="4"/>
        <v>78262</v>
      </c>
      <c r="G110" s="22">
        <f t="shared" si="5"/>
        <v>0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>
        <v>78262</v>
      </c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16.5" thickBot="1" x14ac:dyDescent="0.3">
      <c r="A111" s="18" t="s">
        <v>220</v>
      </c>
      <c r="B111" s="19" t="s">
        <v>221</v>
      </c>
      <c r="C111" s="20">
        <v>17054</v>
      </c>
      <c r="D111" s="21"/>
      <c r="E111" s="22">
        <f t="shared" si="3"/>
        <v>17054</v>
      </c>
      <c r="F111" s="22">
        <f t="shared" si="4"/>
        <v>6581.27</v>
      </c>
      <c r="G111" s="22">
        <f t="shared" si="5"/>
        <v>10472.73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>
        <v>6581.27</v>
      </c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6.5" thickBot="1" x14ac:dyDescent="0.3">
      <c r="A112" s="18" t="s">
        <v>222</v>
      </c>
      <c r="B112" s="19" t="s">
        <v>223</v>
      </c>
      <c r="C112" s="20">
        <v>341963</v>
      </c>
      <c r="D112" s="21"/>
      <c r="E112" s="22">
        <f t="shared" si="3"/>
        <v>341963</v>
      </c>
      <c r="F112" s="22">
        <f t="shared" si="4"/>
        <v>341963</v>
      </c>
      <c r="G112" s="22">
        <f t="shared" si="5"/>
        <v>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131559.51</v>
      </c>
      <c r="U112" s="28">
        <v>170252.33</v>
      </c>
      <c r="V112" s="28"/>
      <c r="W112" s="28"/>
      <c r="X112" s="28"/>
      <c r="Y112" s="28"/>
      <c r="Z112" s="28"/>
      <c r="AA112" s="28">
        <v>40151.160000000003</v>
      </c>
      <c r="AB112" s="28"/>
      <c r="AC112" s="28"/>
      <c r="AD112" s="28"/>
      <c r="AE112" s="28"/>
      <c r="AF112" s="28"/>
      <c r="AG112" s="28"/>
      <c r="AH112" s="28"/>
    </row>
    <row r="113" spans="1:34" ht="16.5" thickBot="1" x14ac:dyDescent="0.3">
      <c r="A113" s="18" t="s">
        <v>224</v>
      </c>
      <c r="B113" s="19" t="s">
        <v>225</v>
      </c>
      <c r="C113" s="20">
        <v>14226</v>
      </c>
      <c r="D113" s="21"/>
      <c r="E113" s="22">
        <f t="shared" si="3"/>
        <v>14226</v>
      </c>
      <c r="F113" s="22">
        <f t="shared" si="4"/>
        <v>14226</v>
      </c>
      <c r="G113" s="22">
        <f t="shared" si="5"/>
        <v>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>
        <v>14226</v>
      </c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</row>
    <row r="114" spans="1:34" ht="16.5" thickBot="1" x14ac:dyDescent="0.3">
      <c r="A114" s="18" t="s">
        <v>226</v>
      </c>
      <c r="B114" s="19" t="s">
        <v>227</v>
      </c>
      <c r="C114" s="20">
        <v>16810</v>
      </c>
      <c r="D114" s="21"/>
      <c r="E114" s="22">
        <f t="shared" si="3"/>
        <v>16810</v>
      </c>
      <c r="F114" s="22">
        <f t="shared" si="4"/>
        <v>16810</v>
      </c>
      <c r="G114" s="22">
        <f t="shared" si="5"/>
        <v>0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>
        <v>16810</v>
      </c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6.5" thickBot="1" x14ac:dyDescent="0.3">
      <c r="A115" s="18" t="s">
        <v>228</v>
      </c>
      <c r="B115" s="19" t="s">
        <v>229</v>
      </c>
      <c r="C115" s="20">
        <v>10098</v>
      </c>
      <c r="D115" s="21"/>
      <c r="E115" s="22">
        <f t="shared" si="3"/>
        <v>10098</v>
      </c>
      <c r="F115" s="22">
        <f t="shared" si="4"/>
        <v>10098</v>
      </c>
      <c r="G115" s="22">
        <f t="shared" si="5"/>
        <v>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>
        <v>10098</v>
      </c>
      <c r="AD115" s="28"/>
      <c r="AE115" s="28"/>
      <c r="AF115" s="28"/>
      <c r="AG115" s="28"/>
      <c r="AH115" s="28"/>
    </row>
    <row r="116" spans="1:34" ht="16.5" thickBot="1" x14ac:dyDescent="0.3">
      <c r="A116" s="18" t="s">
        <v>230</v>
      </c>
      <c r="B116" s="19" t="s">
        <v>231</v>
      </c>
      <c r="C116" s="20">
        <v>12233</v>
      </c>
      <c r="D116" s="21"/>
      <c r="E116" s="22">
        <f t="shared" si="3"/>
        <v>12233</v>
      </c>
      <c r="F116" s="22">
        <f t="shared" si="4"/>
        <v>12233</v>
      </c>
      <c r="G116" s="22">
        <f t="shared" si="5"/>
        <v>0</v>
      </c>
      <c r="H116" s="28"/>
      <c r="I116" s="28"/>
      <c r="J116" s="28"/>
      <c r="K116" s="28"/>
      <c r="L116" s="28"/>
      <c r="M116" s="28">
        <v>12233</v>
      </c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16.5" thickBot="1" x14ac:dyDescent="0.3">
      <c r="A117" s="18" t="s">
        <v>232</v>
      </c>
      <c r="B117" s="19" t="s">
        <v>233</v>
      </c>
      <c r="C117" s="20">
        <v>48794</v>
      </c>
      <c r="D117" s="21"/>
      <c r="E117" s="22">
        <f t="shared" si="3"/>
        <v>48794</v>
      </c>
      <c r="F117" s="22">
        <f t="shared" si="4"/>
        <v>48794.000000000007</v>
      </c>
      <c r="G117" s="22">
        <f t="shared" si="5"/>
        <v>0</v>
      </c>
      <c r="H117" s="28"/>
      <c r="I117" s="28"/>
      <c r="J117" s="28"/>
      <c r="K117" s="28"/>
      <c r="L117" s="28"/>
      <c r="M117" s="28"/>
      <c r="N117" s="28"/>
      <c r="O117" s="28"/>
      <c r="P117" s="28">
        <v>36536.230000000003</v>
      </c>
      <c r="Q117" s="28"/>
      <c r="R117" s="28"/>
      <c r="S117" s="28">
        <v>9535.34</v>
      </c>
      <c r="T117" s="28">
        <v>2722.43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6.5" thickBot="1" x14ac:dyDescent="0.3">
      <c r="A118" s="18" t="s">
        <v>234</v>
      </c>
      <c r="B118" s="19" t="s">
        <v>235</v>
      </c>
      <c r="C118" s="20">
        <v>3409529</v>
      </c>
      <c r="D118" s="21"/>
      <c r="E118" s="22">
        <f t="shared" si="3"/>
        <v>3409529</v>
      </c>
      <c r="F118" s="22">
        <f t="shared" si="4"/>
        <v>3409528.9999999995</v>
      </c>
      <c r="G118" s="22">
        <f t="shared" si="5"/>
        <v>0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>
        <v>144287.54999999999</v>
      </c>
      <c r="S118" s="28">
        <v>2732824.25</v>
      </c>
      <c r="T118" s="28">
        <v>226553.78</v>
      </c>
      <c r="U118" s="28">
        <v>2283.88</v>
      </c>
      <c r="V118" s="28">
        <v>303579.53999999998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6.5" thickBot="1" x14ac:dyDescent="0.3">
      <c r="A119" s="18" t="s">
        <v>236</v>
      </c>
      <c r="B119" s="19" t="s">
        <v>237</v>
      </c>
      <c r="C119" s="20">
        <v>1236</v>
      </c>
      <c r="D119" s="21"/>
      <c r="E119" s="22">
        <f t="shared" si="3"/>
        <v>1236</v>
      </c>
      <c r="F119" s="22">
        <f t="shared" si="4"/>
        <v>1236</v>
      </c>
      <c r="G119" s="22">
        <f t="shared" si="5"/>
        <v>0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>
        <v>1236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1:34" ht="16.5" thickBot="1" x14ac:dyDescent="0.3">
      <c r="A120" s="18" t="s">
        <v>238</v>
      </c>
      <c r="B120" s="19" t="s">
        <v>239</v>
      </c>
      <c r="C120" s="20">
        <v>261396</v>
      </c>
      <c r="D120" s="21"/>
      <c r="E120" s="22">
        <f t="shared" si="3"/>
        <v>261396</v>
      </c>
      <c r="F120" s="22">
        <f t="shared" si="4"/>
        <v>261396</v>
      </c>
      <c r="G120" s="22">
        <f t="shared" si="5"/>
        <v>0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>
        <v>261396</v>
      </c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6.5" thickBot="1" x14ac:dyDescent="0.3">
      <c r="A121" s="18" t="s">
        <v>240</v>
      </c>
      <c r="B121" s="19" t="s">
        <v>241</v>
      </c>
      <c r="C121" s="20">
        <v>718384</v>
      </c>
      <c r="D121" s="21"/>
      <c r="E121" s="22">
        <f t="shared" si="3"/>
        <v>718384</v>
      </c>
      <c r="F121" s="22">
        <f t="shared" si="4"/>
        <v>671159.77999999991</v>
      </c>
      <c r="G121" s="22">
        <f t="shared" si="5"/>
        <v>47224.220000000088</v>
      </c>
      <c r="H121" s="28"/>
      <c r="I121" s="28"/>
      <c r="J121" s="28"/>
      <c r="K121" s="28">
        <v>100693.75</v>
      </c>
      <c r="L121" s="28">
        <v>30195.040000000001</v>
      </c>
      <c r="M121" s="28">
        <f>30195.04+4378.84</f>
        <v>34573.880000000005</v>
      </c>
      <c r="N121" s="28">
        <v>31696.04</v>
      </c>
      <c r="O121" s="28">
        <v>39493.339999999997</v>
      </c>
      <c r="P121" s="28">
        <v>26391.14</v>
      </c>
      <c r="Q121" s="28">
        <v>62993.57</v>
      </c>
      <c r="R121" s="28">
        <f>93390.63</f>
        <v>93390.63</v>
      </c>
      <c r="S121" s="28">
        <v>77718.84</v>
      </c>
      <c r="T121" s="28">
        <v>45346.63</v>
      </c>
      <c r="U121" s="28">
        <v>1592.91</v>
      </c>
      <c r="V121" s="28"/>
      <c r="W121" s="28">
        <f>11231.82+2589.4</f>
        <v>13821.22</v>
      </c>
      <c r="X121" s="28">
        <f>3587.68+2019.18</f>
        <v>5606.86</v>
      </c>
      <c r="Y121" s="28">
        <v>8395.6</v>
      </c>
      <c r="Z121" s="28">
        <v>2621.87</v>
      </c>
      <c r="AA121" s="28">
        <v>12075.38</v>
      </c>
      <c r="AB121" s="28">
        <v>2334.37</v>
      </c>
      <c r="AC121" s="28">
        <v>30823.09</v>
      </c>
      <c r="AD121" s="28"/>
      <c r="AE121" s="28"/>
      <c r="AF121" s="28">
        <f>23567.42+27828.2</f>
        <v>51395.619999999995</v>
      </c>
      <c r="AG121" s="28"/>
      <c r="AH121" s="28"/>
    </row>
    <row r="122" spans="1:34" ht="16.5" thickBot="1" x14ac:dyDescent="0.3">
      <c r="A122" s="18" t="s">
        <v>242</v>
      </c>
      <c r="B122" s="19" t="s">
        <v>243</v>
      </c>
      <c r="C122" s="20">
        <v>66956</v>
      </c>
      <c r="D122" s="21"/>
      <c r="E122" s="22">
        <f t="shared" si="3"/>
        <v>66956</v>
      </c>
      <c r="F122" s="22">
        <f t="shared" si="4"/>
        <v>66956</v>
      </c>
      <c r="G122" s="22">
        <f t="shared" si="5"/>
        <v>0</v>
      </c>
      <c r="H122" s="28"/>
      <c r="I122" s="28"/>
      <c r="J122" s="28">
        <v>66956</v>
      </c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6.5" thickBot="1" x14ac:dyDescent="0.3">
      <c r="A123" s="18" t="s">
        <v>244</v>
      </c>
      <c r="B123" s="19" t="s">
        <v>245</v>
      </c>
      <c r="C123" s="20">
        <v>87571</v>
      </c>
      <c r="D123" s="21"/>
      <c r="E123" s="22">
        <f t="shared" si="3"/>
        <v>87571</v>
      </c>
      <c r="F123" s="22">
        <f t="shared" si="4"/>
        <v>87571</v>
      </c>
      <c r="G123" s="22">
        <f t="shared" si="5"/>
        <v>0</v>
      </c>
      <c r="H123" s="28"/>
      <c r="I123" s="28"/>
      <c r="J123" s="28">
        <v>87571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6.5" thickBot="1" x14ac:dyDescent="0.3">
      <c r="A124" s="18" t="s">
        <v>246</v>
      </c>
      <c r="B124" s="19" t="s">
        <v>247</v>
      </c>
      <c r="C124" s="20">
        <v>1007381</v>
      </c>
      <c r="D124" s="21"/>
      <c r="E124" s="22">
        <f t="shared" si="3"/>
        <v>1007381</v>
      </c>
      <c r="F124" s="22">
        <f t="shared" si="4"/>
        <v>1007380.9999999999</v>
      </c>
      <c r="G124" s="22">
        <f t="shared" si="5"/>
        <v>0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>
        <v>211480.73</v>
      </c>
      <c r="R124" s="28">
        <v>48346.87</v>
      </c>
      <c r="S124" s="28">
        <v>73047.39</v>
      </c>
      <c r="T124" s="28">
        <v>162448.16</v>
      </c>
      <c r="U124" s="28">
        <v>67246.3</v>
      </c>
      <c r="V124" s="28"/>
      <c r="W124" s="28">
        <f>31515.65+198801.68</f>
        <v>230317.33</v>
      </c>
      <c r="X124" s="28">
        <f>101872.77+53463.97</f>
        <v>155336.74</v>
      </c>
      <c r="Y124" s="28">
        <v>10797.28</v>
      </c>
      <c r="Z124" s="28">
        <v>10500.95</v>
      </c>
      <c r="AA124" s="28">
        <v>6772.48</v>
      </c>
      <c r="AB124" s="28">
        <v>15580.19</v>
      </c>
      <c r="AC124" s="28">
        <v>15506.58</v>
      </c>
      <c r="AD124" s="28"/>
      <c r="AE124" s="28"/>
      <c r="AF124" s="28"/>
      <c r="AG124" s="28"/>
      <c r="AH124" s="28"/>
    </row>
    <row r="125" spans="1:34" ht="16.5" thickBot="1" x14ac:dyDescent="0.3">
      <c r="A125" s="18" t="s">
        <v>248</v>
      </c>
      <c r="B125" s="19" t="s">
        <v>249</v>
      </c>
      <c r="C125" s="20">
        <v>52869</v>
      </c>
      <c r="D125" s="21"/>
      <c r="E125" s="22">
        <f t="shared" si="3"/>
        <v>52869</v>
      </c>
      <c r="F125" s="22">
        <f t="shared" si="4"/>
        <v>45279.12</v>
      </c>
      <c r="G125" s="22">
        <f t="shared" si="5"/>
        <v>7589.8799999999974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>
        <v>45279.12</v>
      </c>
      <c r="AG125" s="28"/>
      <c r="AH125" s="28"/>
    </row>
    <row r="126" spans="1:34" ht="16.5" thickBot="1" x14ac:dyDescent="0.3">
      <c r="A126" s="18" t="s">
        <v>250</v>
      </c>
      <c r="B126" s="19" t="s">
        <v>251</v>
      </c>
      <c r="C126" s="20">
        <v>144626</v>
      </c>
      <c r="D126" s="21"/>
      <c r="E126" s="22">
        <f t="shared" si="3"/>
        <v>144626</v>
      </c>
      <c r="F126" s="22">
        <f t="shared" si="4"/>
        <v>144626</v>
      </c>
      <c r="G126" s="22">
        <f t="shared" si="5"/>
        <v>0</v>
      </c>
      <c r="H126" s="28"/>
      <c r="I126" s="28"/>
      <c r="J126" s="28"/>
      <c r="K126" s="28"/>
      <c r="L126" s="28"/>
      <c r="M126" s="28"/>
      <c r="N126" s="39">
        <v>64295</v>
      </c>
      <c r="O126" s="28">
        <v>7977.38</v>
      </c>
      <c r="P126" s="28">
        <v>6475.72</v>
      </c>
      <c r="Q126" s="28"/>
      <c r="R126" s="28"/>
      <c r="S126" s="28"/>
      <c r="T126" s="28">
        <v>65877.899999999994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</row>
    <row r="127" spans="1:34" ht="16.5" thickBot="1" x14ac:dyDescent="0.3">
      <c r="A127" s="18" t="s">
        <v>252</v>
      </c>
      <c r="B127" s="19" t="s">
        <v>253</v>
      </c>
      <c r="C127" s="20">
        <v>402371</v>
      </c>
      <c r="D127" s="21"/>
      <c r="E127" s="22">
        <f t="shared" si="3"/>
        <v>402371</v>
      </c>
      <c r="F127" s="22">
        <f t="shared" si="4"/>
        <v>402371</v>
      </c>
      <c r="G127" s="22">
        <f t="shared" si="5"/>
        <v>0</v>
      </c>
      <c r="H127" s="28"/>
      <c r="I127" s="28"/>
      <c r="J127" s="28"/>
      <c r="K127" s="28">
        <v>20813.849999999999</v>
      </c>
      <c r="L127" s="28">
        <v>20818.72</v>
      </c>
      <c r="M127" s="28">
        <v>21568.73</v>
      </c>
      <c r="N127" s="39">
        <v>20818.919999999998</v>
      </c>
      <c r="O127" s="28">
        <v>106768.65</v>
      </c>
      <c r="P127" s="28">
        <v>21939.21</v>
      </c>
      <c r="Q127" s="28">
        <v>20855.97</v>
      </c>
      <c r="R127" s="28">
        <v>38801.43</v>
      </c>
      <c r="S127" s="28">
        <v>31208.61</v>
      </c>
      <c r="T127" s="28"/>
      <c r="U127" s="28">
        <v>84103.76</v>
      </c>
      <c r="V127" s="28">
        <v>14673.15</v>
      </c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</row>
    <row r="128" spans="1:34" ht="16.5" thickBot="1" x14ac:dyDescent="0.3">
      <c r="A128" s="18" t="s">
        <v>254</v>
      </c>
      <c r="B128" s="19" t="s">
        <v>255</v>
      </c>
      <c r="C128" s="20">
        <v>11465</v>
      </c>
      <c r="D128" s="21"/>
      <c r="E128" s="22">
        <f t="shared" si="3"/>
        <v>11465</v>
      </c>
      <c r="F128" s="22">
        <f t="shared" si="4"/>
        <v>11464.999999999998</v>
      </c>
      <c r="G128" s="22">
        <f t="shared" si="5"/>
        <v>0</v>
      </c>
      <c r="H128" s="28"/>
      <c r="I128" s="28"/>
      <c r="J128" s="28"/>
      <c r="K128" s="28"/>
      <c r="L128" s="28"/>
      <c r="M128" s="28"/>
      <c r="N128" s="39"/>
      <c r="O128" s="28"/>
      <c r="P128" s="28"/>
      <c r="Q128" s="28"/>
      <c r="R128" s="28">
        <f>7601.28+2780</f>
        <v>10381.279999999999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>
        <v>1083.72</v>
      </c>
      <c r="AF128" s="28"/>
      <c r="AG128" s="28"/>
      <c r="AH128" s="28"/>
    </row>
    <row r="129" spans="1:34" ht="16.5" thickBot="1" x14ac:dyDescent="0.3">
      <c r="A129" s="18" t="s">
        <v>256</v>
      </c>
      <c r="B129" s="19" t="s">
        <v>257</v>
      </c>
      <c r="C129" s="20">
        <v>87834</v>
      </c>
      <c r="D129" s="21"/>
      <c r="E129" s="22">
        <f t="shared" si="3"/>
        <v>87834</v>
      </c>
      <c r="F129" s="22">
        <f t="shared" si="4"/>
        <v>87834</v>
      </c>
      <c r="G129" s="22">
        <f t="shared" si="5"/>
        <v>0</v>
      </c>
      <c r="H129" s="28"/>
      <c r="I129" s="28"/>
      <c r="J129" s="28"/>
      <c r="K129" s="28">
        <v>59875</v>
      </c>
      <c r="L129" s="28"/>
      <c r="M129" s="28"/>
      <c r="N129" s="39"/>
      <c r="O129" s="28">
        <v>7108.52</v>
      </c>
      <c r="P129" s="28"/>
      <c r="Q129" s="28"/>
      <c r="R129" s="28">
        <v>11094.87</v>
      </c>
      <c r="S129" s="28"/>
      <c r="T129" s="28">
        <v>2647.09</v>
      </c>
      <c r="U129" s="28"/>
      <c r="V129" s="28"/>
      <c r="W129" s="28"/>
      <c r="X129" s="28">
        <v>7108.52</v>
      </c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</row>
    <row r="130" spans="1:34" ht="16.5" thickBot="1" x14ac:dyDescent="0.3">
      <c r="A130" s="18" t="s">
        <v>258</v>
      </c>
      <c r="B130" s="19" t="s">
        <v>259</v>
      </c>
      <c r="C130" s="20">
        <v>455329</v>
      </c>
      <c r="D130" s="21"/>
      <c r="E130" s="22">
        <f t="shared" si="3"/>
        <v>455329</v>
      </c>
      <c r="F130" s="22">
        <f t="shared" si="4"/>
        <v>356550.85</v>
      </c>
      <c r="G130" s="22">
        <f t="shared" si="5"/>
        <v>98778.150000000023</v>
      </c>
      <c r="H130" s="28"/>
      <c r="I130" s="28"/>
      <c r="J130" s="28"/>
      <c r="K130" s="28"/>
      <c r="L130" s="28"/>
      <c r="M130" s="28"/>
      <c r="N130" s="39"/>
      <c r="O130" s="28"/>
      <c r="P130" s="28"/>
      <c r="Q130" s="28"/>
      <c r="R130" s="28"/>
      <c r="S130" s="28">
        <v>156190.49</v>
      </c>
      <c r="T130" s="28"/>
      <c r="U130" s="28"/>
      <c r="V130" s="28"/>
      <c r="W130" s="28"/>
      <c r="X130" s="28"/>
      <c r="Y130" s="28"/>
      <c r="Z130" s="28"/>
      <c r="AA130" s="28"/>
      <c r="AB130" s="28">
        <v>187177.46</v>
      </c>
      <c r="AC130" s="28"/>
      <c r="AD130" s="28"/>
      <c r="AE130" s="28">
        <v>13182.9</v>
      </c>
      <c r="AF130" s="28"/>
      <c r="AG130" s="28"/>
      <c r="AH130" s="28"/>
    </row>
    <row r="131" spans="1:34" ht="16.5" thickBot="1" x14ac:dyDescent="0.3">
      <c r="A131" s="18" t="s">
        <v>260</v>
      </c>
      <c r="B131" s="19" t="s">
        <v>261</v>
      </c>
      <c r="C131" s="20">
        <v>319582</v>
      </c>
      <c r="D131" s="21"/>
      <c r="E131" s="22">
        <f t="shared" si="3"/>
        <v>319582</v>
      </c>
      <c r="F131" s="22">
        <f t="shared" si="4"/>
        <v>319582</v>
      </c>
      <c r="G131" s="22">
        <f t="shared" si="5"/>
        <v>0</v>
      </c>
      <c r="H131" s="28"/>
      <c r="I131" s="28"/>
      <c r="J131" s="28"/>
      <c r="K131" s="28"/>
      <c r="L131" s="28"/>
      <c r="M131" s="28"/>
      <c r="N131" s="39"/>
      <c r="O131" s="28"/>
      <c r="P131" s="28"/>
      <c r="Q131" s="28"/>
      <c r="R131" s="28"/>
      <c r="S131" s="28">
        <v>251454</v>
      </c>
      <c r="T131" s="28"/>
      <c r="U131" s="28"/>
      <c r="V131" s="28"/>
      <c r="W131" s="28"/>
      <c r="X131" s="28"/>
      <c r="Y131" s="28">
        <v>68128</v>
      </c>
      <c r="Z131" s="28"/>
      <c r="AA131" s="28"/>
      <c r="AB131" s="28"/>
      <c r="AC131" s="28"/>
      <c r="AD131" s="28"/>
      <c r="AE131" s="28"/>
      <c r="AF131" s="28"/>
      <c r="AG131" s="28"/>
      <c r="AH131" s="28"/>
    </row>
    <row r="132" spans="1:34" ht="16.5" thickBot="1" x14ac:dyDescent="0.3">
      <c r="A132" s="18" t="s">
        <v>262</v>
      </c>
      <c r="B132" s="19" t="s">
        <v>263</v>
      </c>
      <c r="C132" s="20">
        <v>63304</v>
      </c>
      <c r="D132" s="21"/>
      <c r="E132" s="22">
        <f t="shared" si="3"/>
        <v>63304</v>
      </c>
      <c r="F132" s="22">
        <f t="shared" si="4"/>
        <v>63304</v>
      </c>
      <c r="G132" s="22">
        <f t="shared" si="5"/>
        <v>0</v>
      </c>
      <c r="H132" s="28"/>
      <c r="I132" s="28"/>
      <c r="J132" s="28"/>
      <c r="K132" s="28"/>
      <c r="L132" s="28"/>
      <c r="M132" s="28"/>
      <c r="N132" s="39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>
        <v>63304</v>
      </c>
      <c r="AF132" s="28"/>
      <c r="AG132" s="28"/>
      <c r="AH132" s="28"/>
    </row>
    <row r="133" spans="1:34" ht="16.5" thickBot="1" x14ac:dyDescent="0.3">
      <c r="A133" s="18" t="s">
        <v>264</v>
      </c>
      <c r="B133" s="19" t="s">
        <v>265</v>
      </c>
      <c r="C133" s="20">
        <v>77173</v>
      </c>
      <c r="D133" s="21"/>
      <c r="E133" s="22">
        <f t="shared" si="3"/>
        <v>77173</v>
      </c>
      <c r="F133" s="22">
        <f t="shared" si="4"/>
        <v>77173</v>
      </c>
      <c r="G133" s="22">
        <f t="shared" si="5"/>
        <v>0</v>
      </c>
      <c r="H133" s="28"/>
      <c r="I133" s="28"/>
      <c r="J133" s="28"/>
      <c r="K133" s="28"/>
      <c r="L133" s="28"/>
      <c r="M133" s="28"/>
      <c r="N133" s="39"/>
      <c r="O133" s="28"/>
      <c r="P133" s="28"/>
      <c r="Q133" s="28"/>
      <c r="R133" s="28"/>
      <c r="S133" s="28"/>
      <c r="T133" s="28"/>
      <c r="U133" s="28"/>
      <c r="V133" s="28"/>
      <c r="W133" s="28">
        <v>77173</v>
      </c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</row>
    <row r="134" spans="1:34" ht="16.5" thickBot="1" x14ac:dyDescent="0.3">
      <c r="A134" s="18" t="s">
        <v>266</v>
      </c>
      <c r="B134" s="19" t="s">
        <v>267</v>
      </c>
      <c r="C134" s="20">
        <v>18834</v>
      </c>
      <c r="D134" s="21"/>
      <c r="E134" s="22">
        <f t="shared" si="3"/>
        <v>18834</v>
      </c>
      <c r="F134" s="22">
        <f t="shared" si="4"/>
        <v>18834</v>
      </c>
      <c r="G134" s="22">
        <f t="shared" si="5"/>
        <v>0</v>
      </c>
      <c r="H134" s="28"/>
      <c r="I134" s="28"/>
      <c r="J134" s="28"/>
      <c r="K134" s="28"/>
      <c r="L134" s="28"/>
      <c r="M134" s="28"/>
      <c r="N134" s="39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>
        <v>18834</v>
      </c>
      <c r="AF134" s="28"/>
      <c r="AG134" s="28"/>
      <c r="AH134" s="28"/>
    </row>
    <row r="135" spans="1:34" ht="16.5" thickBot="1" x14ac:dyDescent="0.3">
      <c r="A135" s="18" t="s">
        <v>268</v>
      </c>
      <c r="B135" s="19" t="s">
        <v>269</v>
      </c>
      <c r="C135" s="20">
        <v>54547</v>
      </c>
      <c r="D135" s="21"/>
      <c r="E135" s="22">
        <f t="shared" si="3"/>
        <v>54547</v>
      </c>
      <c r="F135" s="22">
        <f t="shared" si="4"/>
        <v>54547</v>
      </c>
      <c r="G135" s="22">
        <f t="shared" si="5"/>
        <v>0</v>
      </c>
      <c r="H135" s="28"/>
      <c r="I135" s="28"/>
      <c r="J135" s="28"/>
      <c r="K135" s="28"/>
      <c r="L135" s="28"/>
      <c r="M135" s="28"/>
      <c r="N135" s="39"/>
      <c r="O135" s="28"/>
      <c r="P135" s="28">
        <v>17083</v>
      </c>
      <c r="Q135" s="28"/>
      <c r="R135" s="28">
        <v>19070</v>
      </c>
      <c r="S135" s="28">
        <v>6551</v>
      </c>
      <c r="T135" s="28"/>
      <c r="U135" s="28">
        <v>11843</v>
      </c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</row>
    <row r="136" spans="1:34" ht="16.5" thickBot="1" x14ac:dyDescent="0.3">
      <c r="A136" s="18" t="s">
        <v>270</v>
      </c>
      <c r="B136" s="19" t="s">
        <v>271</v>
      </c>
      <c r="C136" s="20">
        <v>18237</v>
      </c>
      <c r="D136" s="21"/>
      <c r="E136" s="22">
        <f t="shared" si="3"/>
        <v>18237</v>
      </c>
      <c r="F136" s="22">
        <f t="shared" si="4"/>
        <v>18237</v>
      </c>
      <c r="G136" s="22">
        <f t="shared" si="5"/>
        <v>0</v>
      </c>
      <c r="H136" s="28"/>
      <c r="I136" s="28"/>
      <c r="J136" s="28"/>
      <c r="K136" s="28"/>
      <c r="L136" s="28"/>
      <c r="M136" s="28"/>
      <c r="N136" s="39"/>
      <c r="O136" s="28"/>
      <c r="P136" s="28"/>
      <c r="Q136" s="28"/>
      <c r="R136" s="28"/>
      <c r="S136" s="28">
        <v>18237</v>
      </c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1:34" ht="16.5" thickBot="1" x14ac:dyDescent="0.3">
      <c r="A137" s="18" t="s">
        <v>272</v>
      </c>
      <c r="B137" s="19" t="s">
        <v>273</v>
      </c>
      <c r="C137" s="20">
        <v>26405</v>
      </c>
      <c r="D137" s="21"/>
      <c r="E137" s="22">
        <f t="shared" si="3"/>
        <v>26405</v>
      </c>
      <c r="F137" s="22">
        <f t="shared" si="4"/>
        <v>26405</v>
      </c>
      <c r="G137" s="22">
        <f t="shared" si="5"/>
        <v>0</v>
      </c>
      <c r="H137" s="28"/>
      <c r="I137" s="28"/>
      <c r="J137" s="28"/>
      <c r="K137" s="28"/>
      <c r="L137" s="28"/>
      <c r="M137" s="28"/>
      <c r="N137" s="39"/>
      <c r="O137" s="28"/>
      <c r="P137" s="28"/>
      <c r="Q137" s="28"/>
      <c r="R137" s="28">
        <v>26405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1:34" ht="16.5" thickBot="1" x14ac:dyDescent="0.3">
      <c r="A138" s="18" t="s">
        <v>274</v>
      </c>
      <c r="B138" s="19" t="s">
        <v>275</v>
      </c>
      <c r="C138" s="20">
        <v>98329</v>
      </c>
      <c r="D138" s="21"/>
      <c r="E138" s="22">
        <f t="shared" si="3"/>
        <v>98329</v>
      </c>
      <c r="F138" s="22">
        <f t="shared" si="4"/>
        <v>98329</v>
      </c>
      <c r="G138" s="22">
        <f t="shared" si="5"/>
        <v>0</v>
      </c>
      <c r="H138" s="28"/>
      <c r="I138" s="28"/>
      <c r="J138" s="28"/>
      <c r="K138" s="28"/>
      <c r="L138" s="28"/>
      <c r="M138" s="28"/>
      <c r="N138" s="39"/>
      <c r="O138" s="28"/>
      <c r="P138" s="28"/>
      <c r="Q138" s="28"/>
      <c r="R138" s="28">
        <v>34145.21</v>
      </c>
      <c r="S138" s="28">
        <v>57562.47</v>
      </c>
      <c r="T138" s="28"/>
      <c r="U138" s="28"/>
      <c r="V138" s="28"/>
      <c r="W138" s="28"/>
      <c r="X138" s="28">
        <v>6621.32</v>
      </c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1:34" ht="16.5" thickBot="1" x14ac:dyDescent="0.3">
      <c r="A139" s="18" t="s">
        <v>276</v>
      </c>
      <c r="B139" s="19" t="s">
        <v>277</v>
      </c>
      <c r="C139" s="20">
        <v>88606</v>
      </c>
      <c r="D139" s="21"/>
      <c r="E139" s="22">
        <f t="shared" si="3"/>
        <v>88606</v>
      </c>
      <c r="F139" s="22">
        <f t="shared" si="4"/>
        <v>88606</v>
      </c>
      <c r="G139" s="22">
        <f t="shared" si="5"/>
        <v>0</v>
      </c>
      <c r="H139" s="28"/>
      <c r="I139" s="28"/>
      <c r="J139" s="28"/>
      <c r="K139" s="28"/>
      <c r="L139" s="28"/>
      <c r="M139" s="28"/>
      <c r="N139" s="39"/>
      <c r="O139" s="28">
        <v>88606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1:34" ht="16.5" thickBot="1" x14ac:dyDescent="0.3">
      <c r="A140" s="18" t="s">
        <v>278</v>
      </c>
      <c r="B140" s="19" t="s">
        <v>279</v>
      </c>
      <c r="C140" s="20">
        <v>70279</v>
      </c>
      <c r="D140" s="21"/>
      <c r="E140" s="22">
        <f t="shared" ref="E140:E190" si="6">C140</f>
        <v>70279</v>
      </c>
      <c r="F140" s="22">
        <f t="shared" ref="F140:F190" si="7">SUM(H140:AK140)</f>
        <v>70279</v>
      </c>
      <c r="G140" s="22">
        <f t="shared" ref="G140:G190" si="8">E140-(F140+AL140+AM140)</f>
        <v>0</v>
      </c>
      <c r="H140" s="28"/>
      <c r="I140" s="28"/>
      <c r="J140" s="28"/>
      <c r="K140" s="28"/>
      <c r="L140" s="28"/>
      <c r="M140" s="28"/>
      <c r="N140" s="39">
        <v>70279</v>
      </c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1:34" ht="16.5" thickBot="1" x14ac:dyDescent="0.3">
      <c r="A141" s="18" t="s">
        <v>280</v>
      </c>
      <c r="B141" s="19" t="s">
        <v>281</v>
      </c>
      <c r="C141" s="20">
        <v>25634</v>
      </c>
      <c r="D141" s="21"/>
      <c r="E141" s="22">
        <f t="shared" si="6"/>
        <v>25634</v>
      </c>
      <c r="F141" s="22">
        <f t="shared" si="7"/>
        <v>25634</v>
      </c>
      <c r="G141" s="22">
        <f t="shared" si="8"/>
        <v>0</v>
      </c>
      <c r="H141" s="28"/>
      <c r="I141" s="28"/>
      <c r="J141" s="28"/>
      <c r="K141" s="28"/>
      <c r="L141" s="28"/>
      <c r="M141" s="28"/>
      <c r="N141" s="39"/>
      <c r="O141" s="28"/>
      <c r="P141" s="28"/>
      <c r="Q141" s="28"/>
      <c r="R141" s="28">
        <v>25634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</row>
    <row r="142" spans="1:34" ht="16.5" thickBot="1" x14ac:dyDescent="0.3">
      <c r="A142" s="18" t="s">
        <v>282</v>
      </c>
      <c r="B142" s="19" t="s">
        <v>283</v>
      </c>
      <c r="C142" s="20">
        <v>31139</v>
      </c>
      <c r="D142" s="21"/>
      <c r="E142" s="22">
        <f t="shared" si="6"/>
        <v>31139</v>
      </c>
      <c r="F142" s="22">
        <f t="shared" si="7"/>
        <v>0</v>
      </c>
      <c r="G142" s="22">
        <f t="shared" si="8"/>
        <v>31139</v>
      </c>
      <c r="H142" s="28"/>
      <c r="I142" s="28"/>
      <c r="J142" s="28"/>
      <c r="K142" s="28"/>
      <c r="L142" s="28"/>
      <c r="M142" s="28"/>
      <c r="N142" s="39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</row>
    <row r="143" spans="1:34" ht="16.5" thickBot="1" x14ac:dyDescent="0.3">
      <c r="A143" s="18" t="s">
        <v>284</v>
      </c>
      <c r="B143" s="19" t="s">
        <v>285</v>
      </c>
      <c r="C143" s="20">
        <v>43596</v>
      </c>
      <c r="D143" s="21"/>
      <c r="E143" s="22">
        <f t="shared" si="6"/>
        <v>43596</v>
      </c>
      <c r="F143" s="22">
        <f t="shared" si="7"/>
        <v>43569</v>
      </c>
      <c r="G143" s="22">
        <f t="shared" si="8"/>
        <v>27</v>
      </c>
      <c r="H143" s="28"/>
      <c r="I143" s="28"/>
      <c r="J143" s="28"/>
      <c r="K143" s="28"/>
      <c r="L143" s="28"/>
      <c r="M143" s="28"/>
      <c r="N143" s="39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>
        <v>43569</v>
      </c>
      <c r="AE143" s="28"/>
      <c r="AF143" s="28"/>
      <c r="AG143" s="28"/>
      <c r="AH143" s="28"/>
    </row>
    <row r="144" spans="1:34" ht="16.5" thickBot="1" x14ac:dyDescent="0.3">
      <c r="A144" s="18" t="s">
        <v>286</v>
      </c>
      <c r="B144" s="19" t="s">
        <v>287</v>
      </c>
      <c r="C144" s="20">
        <v>369916</v>
      </c>
      <c r="D144" s="21"/>
      <c r="E144" s="22">
        <f t="shared" si="6"/>
        <v>369916</v>
      </c>
      <c r="F144" s="22">
        <f t="shared" si="7"/>
        <v>369916</v>
      </c>
      <c r="G144" s="22">
        <f t="shared" si="8"/>
        <v>0</v>
      </c>
      <c r="H144" s="28"/>
      <c r="I144" s="28"/>
      <c r="J144" s="28"/>
      <c r="K144" s="28"/>
      <c r="L144" s="28">
        <v>25632</v>
      </c>
      <c r="M144" s="28">
        <f>27581+25632</f>
        <v>53213</v>
      </c>
      <c r="N144" s="39"/>
      <c r="O144" s="28">
        <v>26045</v>
      </c>
      <c r="P144" s="28">
        <f>27693+31987</f>
        <v>59680</v>
      </c>
      <c r="Q144" s="28">
        <v>42811</v>
      </c>
      <c r="R144" s="28">
        <v>28416</v>
      </c>
      <c r="S144" s="28">
        <v>28426</v>
      </c>
      <c r="T144" s="28"/>
      <c r="U144" s="28">
        <v>85196</v>
      </c>
      <c r="V144" s="28"/>
      <c r="W144" s="28"/>
      <c r="X144" s="28"/>
      <c r="Y144" s="28"/>
      <c r="Z144" s="28"/>
      <c r="AA144" s="28">
        <v>1215</v>
      </c>
      <c r="AB144" s="28">
        <v>2927</v>
      </c>
      <c r="AC144" s="28">
        <f>1340+1604</f>
        <v>2944</v>
      </c>
      <c r="AD144" s="28">
        <v>1340</v>
      </c>
      <c r="AE144" s="28">
        <f>1604+1677</f>
        <v>3281</v>
      </c>
      <c r="AF144" s="28"/>
      <c r="AG144" s="28">
        <v>8790</v>
      </c>
      <c r="AH144" s="28"/>
    </row>
    <row r="145" spans="1:34" ht="16.5" thickBot="1" x14ac:dyDescent="0.3">
      <c r="A145" s="18" t="s">
        <v>288</v>
      </c>
      <c r="B145" s="19" t="s">
        <v>289</v>
      </c>
      <c r="C145" s="20">
        <v>57061</v>
      </c>
      <c r="D145" s="21"/>
      <c r="E145" s="22">
        <f t="shared" si="6"/>
        <v>57061</v>
      </c>
      <c r="F145" s="22">
        <f t="shared" si="7"/>
        <v>57061</v>
      </c>
      <c r="G145" s="22">
        <f t="shared" si="8"/>
        <v>0</v>
      </c>
      <c r="H145" s="28"/>
      <c r="I145" s="28"/>
      <c r="J145" s="28"/>
      <c r="K145" s="28"/>
      <c r="L145" s="28"/>
      <c r="M145" s="28"/>
      <c r="N145" s="39"/>
      <c r="O145" s="28"/>
      <c r="P145" s="28"/>
      <c r="Q145" s="28"/>
      <c r="R145" s="28"/>
      <c r="S145" s="28"/>
      <c r="T145" s="28">
        <v>18591.150000000001</v>
      </c>
      <c r="U145" s="28"/>
      <c r="V145" s="28"/>
      <c r="W145" s="28"/>
      <c r="X145" s="28"/>
      <c r="Y145" s="28"/>
      <c r="Z145" s="28"/>
      <c r="AA145" s="28"/>
      <c r="AB145" s="28">
        <v>38469.85</v>
      </c>
      <c r="AC145" s="28"/>
      <c r="AD145" s="28"/>
      <c r="AE145" s="28"/>
      <c r="AF145" s="28"/>
      <c r="AG145" s="28"/>
      <c r="AH145" s="28"/>
    </row>
    <row r="146" spans="1:34" ht="16.5" thickBot="1" x14ac:dyDescent="0.3">
      <c r="A146" s="18" t="s">
        <v>290</v>
      </c>
      <c r="B146" s="19" t="s">
        <v>291</v>
      </c>
      <c r="C146" s="20">
        <v>29345</v>
      </c>
      <c r="D146" s="21"/>
      <c r="E146" s="22">
        <f t="shared" si="6"/>
        <v>29345</v>
      </c>
      <c r="F146" s="22">
        <f t="shared" si="7"/>
        <v>29345</v>
      </c>
      <c r="G146" s="22">
        <f t="shared" si="8"/>
        <v>0</v>
      </c>
      <c r="H146" s="28"/>
      <c r="I146" s="28"/>
      <c r="J146" s="28">
        <v>29345</v>
      </c>
      <c r="K146" s="28"/>
      <c r="L146" s="28"/>
      <c r="M146" s="28"/>
      <c r="N146" s="39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</row>
    <row r="147" spans="1:34" ht="16.5" thickBot="1" x14ac:dyDescent="0.3">
      <c r="A147" s="18" t="s">
        <v>292</v>
      </c>
      <c r="B147" s="19" t="s">
        <v>293</v>
      </c>
      <c r="C147" s="20">
        <v>4697577</v>
      </c>
      <c r="D147" s="21"/>
      <c r="E147" s="22">
        <f t="shared" si="6"/>
        <v>4697577</v>
      </c>
      <c r="F147" s="22">
        <f t="shared" si="7"/>
        <v>4697577.0000000009</v>
      </c>
      <c r="G147" s="22">
        <f t="shared" si="8"/>
        <v>0</v>
      </c>
      <c r="H147" s="28"/>
      <c r="I147" s="28"/>
      <c r="J147" s="28"/>
      <c r="K147" s="28"/>
      <c r="L147" s="28"/>
      <c r="M147" s="28"/>
      <c r="N147" s="39"/>
      <c r="O147" s="28">
        <v>380860.97</v>
      </c>
      <c r="P147" s="28">
        <v>14525.27</v>
      </c>
      <c r="Q147" s="28">
        <v>317016.90999999997</v>
      </c>
      <c r="R147" s="28">
        <v>97098.27</v>
      </c>
      <c r="S147" s="28">
        <v>51406.02</v>
      </c>
      <c r="T147" s="28"/>
      <c r="U147" s="28"/>
      <c r="V147" s="28">
        <v>1386078.73</v>
      </c>
      <c r="W147" s="28"/>
      <c r="X147" s="28">
        <f>103369.54+225790.32</f>
        <v>329159.86</v>
      </c>
      <c r="Y147" s="28">
        <v>40439.81</v>
      </c>
      <c r="Z147" s="28"/>
      <c r="AA147" s="28">
        <v>187975.16</v>
      </c>
      <c r="AB147" s="28">
        <v>1435649.7</v>
      </c>
      <c r="AC147" s="28">
        <v>82621.570000000007</v>
      </c>
      <c r="AD147" s="28">
        <v>186018</v>
      </c>
      <c r="AE147" s="28">
        <v>41422.120000000003</v>
      </c>
      <c r="AF147" s="28"/>
      <c r="AG147" s="28">
        <v>147304.60999999999</v>
      </c>
      <c r="AH147" s="28"/>
    </row>
    <row r="148" spans="1:34" ht="16.5" thickBot="1" x14ac:dyDescent="0.3">
      <c r="A148" s="18" t="s">
        <v>294</v>
      </c>
      <c r="B148" s="19" t="s">
        <v>295</v>
      </c>
      <c r="C148" s="20">
        <v>864966</v>
      </c>
      <c r="D148" s="21"/>
      <c r="E148" s="22">
        <f t="shared" si="6"/>
        <v>864966</v>
      </c>
      <c r="F148" s="22">
        <f t="shared" si="7"/>
        <v>864930.08</v>
      </c>
      <c r="G148" s="22">
        <f t="shared" si="8"/>
        <v>35.92000000004191</v>
      </c>
      <c r="H148" s="28"/>
      <c r="I148" s="28"/>
      <c r="J148" s="28"/>
      <c r="K148" s="28"/>
      <c r="L148" s="28"/>
      <c r="M148" s="28"/>
      <c r="N148" s="39"/>
      <c r="O148" s="28"/>
      <c r="P148" s="28">
        <v>300855.46999999997</v>
      </c>
      <c r="Q148" s="28">
        <v>51314.28</v>
      </c>
      <c r="R148" s="28">
        <v>50858.86</v>
      </c>
      <c r="S148" s="28">
        <v>48735.82</v>
      </c>
      <c r="T148" s="28">
        <v>56356.44</v>
      </c>
      <c r="U148" s="28">
        <v>119348.57</v>
      </c>
      <c r="V148" s="28"/>
      <c r="W148" s="28"/>
      <c r="X148" s="28"/>
      <c r="Y148" s="28">
        <v>88481.49</v>
      </c>
      <c r="Z148" s="28"/>
      <c r="AA148" s="28"/>
      <c r="AB148" s="28"/>
      <c r="AC148" s="28">
        <v>77265.899999999994</v>
      </c>
      <c r="AD148" s="28">
        <v>26376.28</v>
      </c>
      <c r="AE148" s="28">
        <v>35237.46</v>
      </c>
      <c r="AF148" s="28">
        <v>6733.14</v>
      </c>
      <c r="AG148" s="28">
        <v>3366.37</v>
      </c>
      <c r="AH148" s="28"/>
    </row>
    <row r="149" spans="1:34" ht="16.5" thickBot="1" x14ac:dyDescent="0.3">
      <c r="A149" s="18" t="s">
        <v>296</v>
      </c>
      <c r="B149" s="19" t="s">
        <v>297</v>
      </c>
      <c r="C149" s="20">
        <v>76613</v>
      </c>
      <c r="D149" s="21"/>
      <c r="E149" s="22">
        <f t="shared" si="6"/>
        <v>76613</v>
      </c>
      <c r="F149" s="22">
        <f t="shared" si="7"/>
        <v>76613</v>
      </c>
      <c r="G149" s="22">
        <f t="shared" si="8"/>
        <v>0</v>
      </c>
      <c r="H149" s="28"/>
      <c r="I149" s="28"/>
      <c r="J149" s="28">
        <v>76613</v>
      </c>
      <c r="K149" s="28"/>
      <c r="L149" s="28"/>
      <c r="M149" s="28"/>
      <c r="N149" s="39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</row>
    <row r="150" spans="1:34" ht="16.5" thickBot="1" x14ac:dyDescent="0.3">
      <c r="A150" s="18" t="s">
        <v>298</v>
      </c>
      <c r="B150" s="19" t="s">
        <v>299</v>
      </c>
      <c r="C150" s="20">
        <v>32805</v>
      </c>
      <c r="D150" s="21"/>
      <c r="E150" s="22">
        <f t="shared" si="6"/>
        <v>32805</v>
      </c>
      <c r="F150" s="22">
        <f t="shared" si="7"/>
        <v>32805</v>
      </c>
      <c r="G150" s="22">
        <f t="shared" si="8"/>
        <v>0</v>
      </c>
      <c r="H150" s="28"/>
      <c r="I150" s="28"/>
      <c r="J150" s="28"/>
      <c r="K150" s="28"/>
      <c r="L150" s="28"/>
      <c r="M150" s="28"/>
      <c r="N150" s="39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>
        <v>32805</v>
      </c>
      <c r="AC150" s="28"/>
      <c r="AD150" s="28"/>
      <c r="AE150" s="28"/>
      <c r="AF150" s="28"/>
      <c r="AG150" s="28"/>
      <c r="AH150" s="28"/>
    </row>
    <row r="151" spans="1:34" ht="16.5" thickBot="1" x14ac:dyDescent="0.3">
      <c r="A151" s="18" t="s">
        <v>300</v>
      </c>
      <c r="B151" s="19" t="s">
        <v>301</v>
      </c>
      <c r="C151" s="20">
        <v>176593</v>
      </c>
      <c r="D151" s="21"/>
      <c r="E151" s="22">
        <f t="shared" si="6"/>
        <v>176593</v>
      </c>
      <c r="F151" s="22">
        <f t="shared" si="7"/>
        <v>176593.00000000003</v>
      </c>
      <c r="G151" s="22">
        <f t="shared" si="8"/>
        <v>0</v>
      </c>
      <c r="H151" s="28"/>
      <c r="I151" s="28"/>
      <c r="J151" s="28"/>
      <c r="K151" s="28"/>
      <c r="L151" s="28"/>
      <c r="M151" s="28">
        <v>27004</v>
      </c>
      <c r="N151" s="39"/>
      <c r="O151" s="28"/>
      <c r="P151" s="28">
        <v>8545.83</v>
      </c>
      <c r="Q151" s="28"/>
      <c r="R151" s="28">
        <v>58278.14</v>
      </c>
      <c r="S151" s="28"/>
      <c r="T151" s="28"/>
      <c r="U151" s="28"/>
      <c r="V151" s="28">
        <v>80734.11</v>
      </c>
      <c r="W151" s="28"/>
      <c r="X151" s="28"/>
      <c r="Y151" s="28"/>
      <c r="Z151" s="28"/>
      <c r="AA151" s="28"/>
      <c r="AB151" s="28"/>
      <c r="AC151" s="28">
        <v>2030.92</v>
      </c>
      <c r="AD151" s="28"/>
      <c r="AE151" s="28"/>
      <c r="AF151" s="28"/>
      <c r="AG151" s="28"/>
      <c r="AH151" s="28"/>
    </row>
    <row r="152" spans="1:34" ht="16.5" thickBot="1" x14ac:dyDescent="0.3">
      <c r="A152" s="18" t="s">
        <v>302</v>
      </c>
      <c r="B152" s="19" t="s">
        <v>303</v>
      </c>
      <c r="C152" s="20">
        <v>228592</v>
      </c>
      <c r="D152" s="21"/>
      <c r="E152" s="22">
        <f t="shared" si="6"/>
        <v>228592</v>
      </c>
      <c r="F152" s="22">
        <f t="shared" si="7"/>
        <v>228592</v>
      </c>
      <c r="G152" s="22">
        <f t="shared" si="8"/>
        <v>0</v>
      </c>
      <c r="H152" s="28"/>
      <c r="I152" s="28"/>
      <c r="J152" s="28"/>
      <c r="K152" s="28"/>
      <c r="L152" s="28"/>
      <c r="M152" s="28">
        <v>49182</v>
      </c>
      <c r="N152" s="39">
        <v>17400</v>
      </c>
      <c r="O152" s="28">
        <v>17234</v>
      </c>
      <c r="P152" s="28">
        <v>17171</v>
      </c>
      <c r="Q152" s="28">
        <v>17185</v>
      </c>
      <c r="R152" s="28">
        <v>17099</v>
      </c>
      <c r="S152" s="28">
        <v>17135</v>
      </c>
      <c r="T152" s="28">
        <v>10697</v>
      </c>
      <c r="U152" s="28">
        <v>23365</v>
      </c>
      <c r="V152" s="28">
        <v>42124</v>
      </c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</row>
    <row r="153" spans="1:34" ht="16.5" thickBot="1" x14ac:dyDescent="0.3">
      <c r="A153" s="18" t="s">
        <v>304</v>
      </c>
      <c r="B153" s="19" t="s">
        <v>305</v>
      </c>
      <c r="C153" s="20">
        <v>34253</v>
      </c>
      <c r="D153" s="21"/>
      <c r="E153" s="22">
        <f t="shared" si="6"/>
        <v>34253</v>
      </c>
      <c r="F153" s="22">
        <f t="shared" si="7"/>
        <v>34253</v>
      </c>
      <c r="G153" s="22">
        <f t="shared" si="8"/>
        <v>0</v>
      </c>
      <c r="H153" s="28"/>
      <c r="I153" s="28"/>
      <c r="J153" s="28"/>
      <c r="K153" s="28"/>
      <c r="L153" s="28"/>
      <c r="M153" s="28"/>
      <c r="N153" s="39"/>
      <c r="O153" s="28"/>
      <c r="P153" s="28"/>
      <c r="Q153" s="28"/>
      <c r="R153" s="28"/>
      <c r="S153" s="28"/>
      <c r="T153" s="28">
        <v>30978.86</v>
      </c>
      <c r="U153" s="28"/>
      <c r="V153" s="28"/>
      <c r="W153" s="28"/>
      <c r="X153" s="28"/>
      <c r="Y153" s="28"/>
      <c r="Z153" s="28">
        <v>3274.14</v>
      </c>
      <c r="AA153" s="28"/>
      <c r="AB153" s="28"/>
      <c r="AC153" s="28"/>
      <c r="AD153" s="28"/>
      <c r="AE153" s="28"/>
      <c r="AF153" s="28"/>
      <c r="AG153" s="28"/>
      <c r="AH153" s="28"/>
    </row>
    <row r="154" spans="1:34" ht="16.5" thickBot="1" x14ac:dyDescent="0.3">
      <c r="A154" s="18" t="s">
        <v>306</v>
      </c>
      <c r="B154" s="19" t="s">
        <v>307</v>
      </c>
      <c r="C154" s="20">
        <v>20388</v>
      </c>
      <c r="D154" s="21"/>
      <c r="E154" s="22">
        <f t="shared" si="6"/>
        <v>20388</v>
      </c>
      <c r="F154" s="22">
        <f t="shared" si="7"/>
        <v>20388</v>
      </c>
      <c r="G154" s="22">
        <f t="shared" si="8"/>
        <v>0</v>
      </c>
      <c r="H154" s="28"/>
      <c r="I154" s="28"/>
      <c r="J154" s="28"/>
      <c r="K154" s="28"/>
      <c r="L154" s="28"/>
      <c r="M154" s="28"/>
      <c r="N154" s="39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>
        <v>20388</v>
      </c>
      <c r="AB154" s="28"/>
      <c r="AC154" s="28"/>
      <c r="AD154" s="28"/>
      <c r="AE154" s="28"/>
      <c r="AF154" s="28"/>
      <c r="AG154" s="28"/>
      <c r="AH154" s="28"/>
    </row>
    <row r="155" spans="1:34" ht="16.5" thickBot="1" x14ac:dyDescent="0.3">
      <c r="A155" s="18" t="s">
        <v>308</v>
      </c>
      <c r="B155" s="19" t="s">
        <v>309</v>
      </c>
      <c r="C155" s="20">
        <v>98181</v>
      </c>
      <c r="D155" s="21"/>
      <c r="E155" s="22">
        <f t="shared" si="6"/>
        <v>98181</v>
      </c>
      <c r="F155" s="22">
        <f t="shared" si="7"/>
        <v>98181</v>
      </c>
      <c r="G155" s="22">
        <f t="shared" si="8"/>
        <v>0</v>
      </c>
      <c r="H155" s="28"/>
      <c r="I155" s="28"/>
      <c r="J155" s="28"/>
      <c r="K155" s="28"/>
      <c r="L155" s="28"/>
      <c r="M155" s="28"/>
      <c r="N155" s="39"/>
      <c r="O155" s="28"/>
      <c r="P155" s="28"/>
      <c r="Q155" s="28"/>
      <c r="R155" s="28"/>
      <c r="S155" s="28"/>
      <c r="T155" s="28">
        <v>98181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</row>
    <row r="156" spans="1:34" ht="16.5" thickBot="1" x14ac:dyDescent="0.3">
      <c r="A156" s="18" t="s">
        <v>310</v>
      </c>
      <c r="B156" s="19" t="s">
        <v>311</v>
      </c>
      <c r="C156" s="20">
        <v>99765</v>
      </c>
      <c r="D156" s="21"/>
      <c r="E156" s="22">
        <f t="shared" si="6"/>
        <v>99765</v>
      </c>
      <c r="F156" s="22">
        <f t="shared" si="7"/>
        <v>99765</v>
      </c>
      <c r="G156" s="22">
        <f t="shared" si="8"/>
        <v>0</v>
      </c>
      <c r="H156" s="28"/>
      <c r="I156" s="28"/>
      <c r="J156" s="28"/>
      <c r="K156" s="28"/>
      <c r="L156" s="28"/>
      <c r="M156" s="28"/>
      <c r="N156" s="39"/>
      <c r="O156" s="28"/>
      <c r="P156" s="28"/>
      <c r="Q156" s="28"/>
      <c r="R156" s="28">
        <v>99765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</row>
    <row r="157" spans="1:34" ht="16.5" thickBot="1" x14ac:dyDescent="0.3">
      <c r="A157" s="18" t="s">
        <v>312</v>
      </c>
      <c r="B157" s="19" t="s">
        <v>313</v>
      </c>
      <c r="C157" s="20">
        <v>67015</v>
      </c>
      <c r="D157" s="21"/>
      <c r="E157" s="22">
        <f t="shared" si="6"/>
        <v>67015</v>
      </c>
      <c r="F157" s="22">
        <f t="shared" si="7"/>
        <v>67015</v>
      </c>
      <c r="G157" s="22">
        <f t="shared" si="8"/>
        <v>0</v>
      </c>
      <c r="H157" s="28"/>
      <c r="I157" s="28"/>
      <c r="J157" s="28"/>
      <c r="K157" s="28"/>
      <c r="L157" s="28"/>
      <c r="M157" s="28"/>
      <c r="N157" s="39"/>
      <c r="O157" s="28"/>
      <c r="P157" s="28"/>
      <c r="Q157" s="28"/>
      <c r="R157" s="28"/>
      <c r="S157" s="28"/>
      <c r="T157" s="28"/>
      <c r="U157" s="28"/>
      <c r="V157" s="28"/>
      <c r="W157" s="28">
        <v>67015</v>
      </c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</row>
    <row r="158" spans="1:34" ht="16.5" thickBot="1" x14ac:dyDescent="0.3">
      <c r="A158" s="18" t="s">
        <v>314</v>
      </c>
      <c r="B158" s="19" t="s">
        <v>315</v>
      </c>
      <c r="C158" s="20">
        <v>101895</v>
      </c>
      <c r="D158" s="21"/>
      <c r="E158" s="22">
        <f t="shared" si="6"/>
        <v>101895</v>
      </c>
      <c r="F158" s="22">
        <f t="shared" si="7"/>
        <v>101894.99999999999</v>
      </c>
      <c r="G158" s="22">
        <f t="shared" si="8"/>
        <v>0</v>
      </c>
      <c r="H158" s="28"/>
      <c r="I158" s="28"/>
      <c r="J158" s="28"/>
      <c r="K158" s="28"/>
      <c r="L158" s="28"/>
      <c r="M158" s="28"/>
      <c r="N158" s="39"/>
      <c r="O158" s="28">
        <v>31226.400000000001</v>
      </c>
      <c r="P158" s="28">
        <v>13034.82</v>
      </c>
      <c r="Q158" s="28">
        <v>11751.04</v>
      </c>
      <c r="R158" s="28">
        <v>9346.74</v>
      </c>
      <c r="S158" s="28">
        <v>15994.55</v>
      </c>
      <c r="T158" s="28">
        <v>2560.67</v>
      </c>
      <c r="U158" s="28">
        <v>3731.01</v>
      </c>
      <c r="V158" s="28">
        <v>2956.34</v>
      </c>
      <c r="W158" s="28"/>
      <c r="X158" s="28">
        <v>5788.94</v>
      </c>
      <c r="Y158" s="28">
        <v>1438.45</v>
      </c>
      <c r="Z158" s="28"/>
      <c r="AA158" s="28"/>
      <c r="AB158" s="28">
        <v>3427.87</v>
      </c>
      <c r="AC158" s="28">
        <v>638.16999999999996</v>
      </c>
      <c r="AD158" s="28"/>
      <c r="AE158" s="28"/>
      <c r="AF158" s="28"/>
      <c r="AG158" s="28"/>
      <c r="AH158" s="28"/>
    </row>
    <row r="159" spans="1:34" ht="16.5" thickBot="1" x14ac:dyDescent="0.3">
      <c r="A159" s="18" t="s">
        <v>316</v>
      </c>
      <c r="B159" s="19" t="s">
        <v>317</v>
      </c>
      <c r="C159" s="20">
        <v>314694</v>
      </c>
      <c r="D159" s="21"/>
      <c r="E159" s="22">
        <f t="shared" si="6"/>
        <v>314694</v>
      </c>
      <c r="F159" s="22">
        <f t="shared" si="7"/>
        <v>314694</v>
      </c>
      <c r="G159" s="22">
        <f t="shared" si="8"/>
        <v>0</v>
      </c>
      <c r="H159" s="28"/>
      <c r="I159" s="28"/>
      <c r="J159" s="28"/>
      <c r="K159" s="28"/>
      <c r="L159" s="28"/>
      <c r="M159" s="28"/>
      <c r="N159" s="39">
        <v>110786.42</v>
      </c>
      <c r="O159" s="28"/>
      <c r="P159" s="28">
        <v>56019.6</v>
      </c>
      <c r="Q159" s="28"/>
      <c r="R159" s="28"/>
      <c r="S159" s="28"/>
      <c r="T159" s="28">
        <v>111181.66</v>
      </c>
      <c r="U159" s="28"/>
      <c r="V159" s="28">
        <v>36706.32</v>
      </c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</row>
    <row r="160" spans="1:34" ht="16.5" thickBot="1" x14ac:dyDescent="0.3">
      <c r="A160" s="18" t="s">
        <v>318</v>
      </c>
      <c r="B160" s="19" t="s">
        <v>319</v>
      </c>
      <c r="C160" s="20">
        <v>16549</v>
      </c>
      <c r="D160" s="21"/>
      <c r="E160" s="22">
        <f t="shared" si="6"/>
        <v>16549</v>
      </c>
      <c r="F160" s="22">
        <f t="shared" si="7"/>
        <v>16549</v>
      </c>
      <c r="G160" s="22">
        <f t="shared" si="8"/>
        <v>0</v>
      </c>
      <c r="H160" s="28"/>
      <c r="I160" s="28"/>
      <c r="J160" s="28"/>
      <c r="K160" s="28"/>
      <c r="L160" s="28"/>
      <c r="M160" s="28"/>
      <c r="N160" s="39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>
        <v>16549</v>
      </c>
      <c r="Z160" s="28"/>
      <c r="AA160" s="28"/>
      <c r="AB160" s="28"/>
      <c r="AC160" s="28"/>
      <c r="AD160" s="28"/>
      <c r="AE160" s="28"/>
      <c r="AF160" s="28"/>
      <c r="AG160" s="28"/>
      <c r="AH160" s="28"/>
    </row>
    <row r="161" spans="1:34" ht="16.5" thickBot="1" x14ac:dyDescent="0.3">
      <c r="A161" s="18" t="s">
        <v>320</v>
      </c>
      <c r="B161" s="19" t="s">
        <v>321</v>
      </c>
      <c r="C161" s="20">
        <v>54037</v>
      </c>
      <c r="D161" s="21"/>
      <c r="E161" s="22">
        <f t="shared" si="6"/>
        <v>54037</v>
      </c>
      <c r="F161" s="22">
        <f t="shared" si="7"/>
        <v>54037</v>
      </c>
      <c r="G161" s="22">
        <f t="shared" si="8"/>
        <v>0</v>
      </c>
      <c r="H161" s="28"/>
      <c r="I161" s="28"/>
      <c r="J161" s="28"/>
      <c r="K161" s="28"/>
      <c r="L161" s="28"/>
      <c r="M161" s="28"/>
      <c r="N161" s="39"/>
      <c r="O161" s="28"/>
      <c r="P161" s="28"/>
      <c r="Q161" s="28"/>
      <c r="R161" s="28"/>
      <c r="S161" s="28">
        <v>54037</v>
      </c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</row>
    <row r="162" spans="1:34" ht="16.5" thickBot="1" x14ac:dyDescent="0.3">
      <c r="A162" s="18" t="s">
        <v>322</v>
      </c>
      <c r="B162" s="19" t="s">
        <v>323</v>
      </c>
      <c r="C162" s="20">
        <v>42162</v>
      </c>
      <c r="D162" s="21"/>
      <c r="E162" s="22">
        <f t="shared" si="6"/>
        <v>42162</v>
      </c>
      <c r="F162" s="22">
        <f t="shared" si="7"/>
        <v>42162</v>
      </c>
      <c r="G162" s="22">
        <f t="shared" si="8"/>
        <v>0</v>
      </c>
      <c r="H162" s="28"/>
      <c r="I162" s="28"/>
      <c r="J162" s="28"/>
      <c r="K162" s="28"/>
      <c r="L162" s="28"/>
      <c r="M162" s="28"/>
      <c r="N162" s="39"/>
      <c r="O162" s="28">
        <v>40050.019999999997</v>
      </c>
      <c r="P162" s="28"/>
      <c r="Q162" s="28"/>
      <c r="R162" s="28">
        <v>2111.98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</row>
    <row r="163" spans="1:34" ht="16.5" thickBot="1" x14ac:dyDescent="0.3">
      <c r="A163" s="18" t="s">
        <v>324</v>
      </c>
      <c r="B163" s="19" t="s">
        <v>325</v>
      </c>
      <c r="C163" s="20">
        <v>61871</v>
      </c>
      <c r="D163" s="21"/>
      <c r="E163" s="22">
        <f t="shared" si="6"/>
        <v>61871</v>
      </c>
      <c r="F163" s="22">
        <f t="shared" si="7"/>
        <v>61871</v>
      </c>
      <c r="G163" s="22">
        <f t="shared" si="8"/>
        <v>0</v>
      </c>
      <c r="H163" s="28"/>
      <c r="I163" s="28"/>
      <c r="J163" s="28"/>
      <c r="K163" s="28"/>
      <c r="L163" s="28"/>
      <c r="M163" s="28">
        <v>61871</v>
      </c>
      <c r="N163" s="39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</row>
    <row r="164" spans="1:34" ht="16.5" thickBot="1" x14ac:dyDescent="0.3">
      <c r="A164" s="18" t="s">
        <v>326</v>
      </c>
      <c r="B164" s="19" t="s">
        <v>327</v>
      </c>
      <c r="C164" s="20">
        <v>20067</v>
      </c>
      <c r="D164" s="21"/>
      <c r="E164" s="22">
        <f t="shared" si="6"/>
        <v>20067</v>
      </c>
      <c r="F164" s="22">
        <f t="shared" si="7"/>
        <v>20067</v>
      </c>
      <c r="G164" s="22">
        <f t="shared" si="8"/>
        <v>0</v>
      </c>
      <c r="H164" s="28"/>
      <c r="I164" s="28"/>
      <c r="J164" s="28">
        <f>11157+3444.69</f>
        <v>14601.69</v>
      </c>
      <c r="K164" s="28"/>
      <c r="L164" s="28">
        <v>5465.31</v>
      </c>
      <c r="M164" s="28"/>
      <c r="N164" s="39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</row>
    <row r="165" spans="1:34" ht="16.5" thickBot="1" x14ac:dyDescent="0.3">
      <c r="A165" s="18" t="s">
        <v>328</v>
      </c>
      <c r="B165" s="19" t="s">
        <v>329</v>
      </c>
      <c r="C165" s="20">
        <v>182739</v>
      </c>
      <c r="D165" s="21"/>
      <c r="E165" s="22">
        <f t="shared" si="6"/>
        <v>182739</v>
      </c>
      <c r="F165" s="22">
        <f t="shared" si="7"/>
        <v>182739</v>
      </c>
      <c r="G165" s="22">
        <f t="shared" si="8"/>
        <v>0</v>
      </c>
      <c r="H165" s="28"/>
      <c r="I165" s="28"/>
      <c r="J165" s="28"/>
      <c r="K165" s="28"/>
      <c r="L165" s="28"/>
      <c r="M165" s="28"/>
      <c r="N165" s="39"/>
      <c r="O165" s="28"/>
      <c r="P165" s="28"/>
      <c r="Q165" s="28"/>
      <c r="R165" s="28"/>
      <c r="S165" s="28"/>
      <c r="T165" s="28">
        <v>160363.98000000001</v>
      </c>
      <c r="U165" s="28"/>
      <c r="V165" s="28"/>
      <c r="W165" s="28">
        <v>22375.02</v>
      </c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1:34" ht="16.5" thickBot="1" x14ac:dyDescent="0.3">
      <c r="A166" s="18" t="s">
        <v>330</v>
      </c>
      <c r="B166" s="19" t="s">
        <v>331</v>
      </c>
      <c r="C166" s="20">
        <v>73125</v>
      </c>
      <c r="D166" s="21"/>
      <c r="E166" s="22">
        <f t="shared" si="6"/>
        <v>73125</v>
      </c>
      <c r="F166" s="22">
        <f t="shared" si="7"/>
        <v>73125</v>
      </c>
      <c r="G166" s="22">
        <f t="shared" si="8"/>
        <v>0</v>
      </c>
      <c r="H166" s="28"/>
      <c r="I166" s="28"/>
      <c r="J166" s="28"/>
      <c r="K166" s="28"/>
      <c r="L166" s="28"/>
      <c r="M166" s="28"/>
      <c r="N166" s="39"/>
      <c r="O166" s="28"/>
      <c r="P166" s="28"/>
      <c r="Q166" s="28"/>
      <c r="R166" s="28"/>
      <c r="S166" s="28">
        <v>26246.21</v>
      </c>
      <c r="T166" s="28"/>
      <c r="U166" s="28"/>
      <c r="V166" s="28"/>
      <c r="W166" s="28"/>
      <c r="X166" s="28"/>
      <c r="Y166" s="28"/>
      <c r="Z166" s="28"/>
      <c r="AA166" s="28"/>
      <c r="AB166" s="28">
        <v>46878.79</v>
      </c>
      <c r="AC166" s="28"/>
      <c r="AD166" s="28"/>
      <c r="AE166" s="28"/>
      <c r="AF166" s="28"/>
      <c r="AG166" s="28"/>
      <c r="AH166" s="28"/>
    </row>
    <row r="167" spans="1:34" ht="16.5" thickBot="1" x14ac:dyDescent="0.3">
      <c r="A167" s="18" t="s">
        <v>332</v>
      </c>
      <c r="B167" s="19" t="s">
        <v>333</v>
      </c>
      <c r="C167" s="20">
        <v>218375</v>
      </c>
      <c r="D167" s="21"/>
      <c r="E167" s="22">
        <f t="shared" si="6"/>
        <v>218375</v>
      </c>
      <c r="F167" s="22">
        <f t="shared" si="7"/>
        <v>218375</v>
      </c>
      <c r="G167" s="22">
        <f t="shared" si="8"/>
        <v>0</v>
      </c>
      <c r="H167" s="28"/>
      <c r="I167" s="28"/>
      <c r="J167" s="28"/>
      <c r="K167" s="28"/>
      <c r="L167" s="28"/>
      <c r="M167" s="28"/>
      <c r="N167" s="39"/>
      <c r="O167" s="28"/>
      <c r="P167" s="28"/>
      <c r="Q167" s="28"/>
      <c r="R167" s="28"/>
      <c r="S167" s="28">
        <v>143420</v>
      </c>
      <c r="T167" s="28">
        <f>26468+48487</f>
        <v>74955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1:34" ht="16.5" thickBot="1" x14ac:dyDescent="0.3">
      <c r="A168" s="18" t="s">
        <v>334</v>
      </c>
      <c r="B168" s="19" t="s">
        <v>335</v>
      </c>
      <c r="C168" s="20">
        <v>58890</v>
      </c>
      <c r="D168" s="21"/>
      <c r="E168" s="22">
        <f t="shared" si="6"/>
        <v>58890</v>
      </c>
      <c r="F168" s="22">
        <f t="shared" si="7"/>
        <v>58890</v>
      </c>
      <c r="G168" s="22">
        <f t="shared" si="8"/>
        <v>0</v>
      </c>
      <c r="H168" s="28"/>
      <c r="I168" s="28"/>
      <c r="J168" s="28"/>
      <c r="K168" s="28">
        <f>2110+56780</f>
        <v>58890</v>
      </c>
      <c r="L168" s="28"/>
      <c r="M168" s="28"/>
      <c r="N168" s="39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1:34" ht="16.5" thickBot="1" x14ac:dyDescent="0.3">
      <c r="A169" s="18" t="s">
        <v>336</v>
      </c>
      <c r="B169" s="19" t="s">
        <v>337</v>
      </c>
      <c r="C169" s="20">
        <v>14745</v>
      </c>
      <c r="D169" s="21"/>
      <c r="E169" s="22">
        <f t="shared" si="6"/>
        <v>14745</v>
      </c>
      <c r="F169" s="22">
        <f t="shared" si="7"/>
        <v>0</v>
      </c>
      <c r="G169" s="22">
        <f t="shared" si="8"/>
        <v>14745</v>
      </c>
      <c r="H169" s="28"/>
      <c r="I169" s="28"/>
      <c r="J169" s="28"/>
      <c r="K169" s="28"/>
      <c r="L169" s="28"/>
      <c r="M169" s="28"/>
      <c r="N169" s="39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1:34" ht="16.5" thickBot="1" x14ac:dyDescent="0.3">
      <c r="A170" s="18" t="s">
        <v>338</v>
      </c>
      <c r="B170" s="19" t="s">
        <v>339</v>
      </c>
      <c r="C170" s="20">
        <v>17995</v>
      </c>
      <c r="D170" s="21"/>
      <c r="E170" s="22">
        <f t="shared" si="6"/>
        <v>17995</v>
      </c>
      <c r="F170" s="22">
        <f t="shared" si="7"/>
        <v>17995</v>
      </c>
      <c r="G170" s="22">
        <f t="shared" si="8"/>
        <v>0</v>
      </c>
      <c r="H170" s="28"/>
      <c r="I170" s="28"/>
      <c r="J170" s="28"/>
      <c r="K170" s="28"/>
      <c r="L170" s="28"/>
      <c r="M170" s="28"/>
      <c r="N170" s="39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>
        <f>14130.48+3864.52</f>
        <v>17995</v>
      </c>
    </row>
    <row r="171" spans="1:34" ht="16.5" thickBot="1" x14ac:dyDescent="0.3">
      <c r="A171" s="18" t="s">
        <v>340</v>
      </c>
      <c r="B171" s="19" t="s">
        <v>341</v>
      </c>
      <c r="C171" s="20">
        <v>7233</v>
      </c>
      <c r="D171" s="21"/>
      <c r="E171" s="22">
        <f t="shared" si="6"/>
        <v>7233</v>
      </c>
      <c r="F171" s="22">
        <f t="shared" si="7"/>
        <v>7233</v>
      </c>
      <c r="G171" s="22">
        <f t="shared" si="8"/>
        <v>0</v>
      </c>
      <c r="H171" s="28"/>
      <c r="I171" s="28"/>
      <c r="J171" s="28"/>
      <c r="K171" s="28"/>
      <c r="L171" s="28"/>
      <c r="M171" s="28"/>
      <c r="N171" s="39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>
        <v>7233</v>
      </c>
      <c r="AG171" s="28"/>
      <c r="AH171" s="28"/>
    </row>
    <row r="172" spans="1:34" ht="16.5" thickBot="1" x14ac:dyDescent="0.3">
      <c r="A172" s="18" t="s">
        <v>342</v>
      </c>
      <c r="B172" s="19" t="s">
        <v>343</v>
      </c>
      <c r="C172" s="20">
        <v>22651</v>
      </c>
      <c r="D172" s="21"/>
      <c r="E172" s="22">
        <f t="shared" si="6"/>
        <v>22651</v>
      </c>
      <c r="F172" s="22">
        <f t="shared" si="7"/>
        <v>22427.39</v>
      </c>
      <c r="G172" s="22">
        <f t="shared" si="8"/>
        <v>223.61000000000058</v>
      </c>
      <c r="H172" s="28"/>
      <c r="I172" s="28"/>
      <c r="J172" s="28"/>
      <c r="K172" s="28"/>
      <c r="L172" s="28"/>
      <c r="M172" s="28"/>
      <c r="N172" s="39"/>
      <c r="O172" s="28">
        <v>5363.57</v>
      </c>
      <c r="P172" s="28"/>
      <c r="Q172" s="28"/>
      <c r="R172" s="28"/>
      <c r="S172" s="28">
        <v>17063.82</v>
      </c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</row>
    <row r="173" spans="1:34" ht="16.5" thickBot="1" x14ac:dyDescent="0.3">
      <c r="A173" s="18" t="s">
        <v>344</v>
      </c>
      <c r="B173" s="19" t="s">
        <v>345</v>
      </c>
      <c r="C173" s="20">
        <v>238230</v>
      </c>
      <c r="D173" s="21"/>
      <c r="E173" s="22">
        <f t="shared" si="6"/>
        <v>238230</v>
      </c>
      <c r="F173" s="22">
        <f t="shared" si="7"/>
        <v>222850</v>
      </c>
      <c r="G173" s="22">
        <f t="shared" si="8"/>
        <v>15380</v>
      </c>
      <c r="H173" s="28"/>
      <c r="I173" s="28"/>
      <c r="J173" s="28"/>
      <c r="K173" s="28"/>
      <c r="L173" s="28"/>
      <c r="M173" s="28"/>
      <c r="N173" s="39"/>
      <c r="O173" s="28"/>
      <c r="P173" s="28"/>
      <c r="Q173" s="28">
        <v>222850</v>
      </c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</row>
    <row r="174" spans="1:34" ht="16.5" thickBot="1" x14ac:dyDescent="0.3">
      <c r="A174" s="18" t="s">
        <v>346</v>
      </c>
      <c r="B174" s="19" t="s">
        <v>347</v>
      </c>
      <c r="C174" s="20">
        <v>108706</v>
      </c>
      <c r="D174" s="21"/>
      <c r="E174" s="22">
        <f t="shared" si="6"/>
        <v>108706</v>
      </c>
      <c r="F174" s="22">
        <f t="shared" si="7"/>
        <v>108706</v>
      </c>
      <c r="G174" s="22">
        <f t="shared" si="8"/>
        <v>0</v>
      </c>
      <c r="H174" s="28"/>
      <c r="I174" s="28"/>
      <c r="J174" s="28"/>
      <c r="K174" s="28"/>
      <c r="L174" s="28"/>
      <c r="M174" s="28"/>
      <c r="N174" s="39"/>
      <c r="O174" s="28"/>
      <c r="P174" s="28"/>
      <c r="Q174" s="28"/>
      <c r="R174" s="28">
        <v>108706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</row>
    <row r="175" spans="1:34" ht="16.5" thickBot="1" x14ac:dyDescent="0.3">
      <c r="A175" s="18" t="s">
        <v>348</v>
      </c>
      <c r="B175" s="19" t="s">
        <v>349</v>
      </c>
      <c r="C175" s="20">
        <v>378049</v>
      </c>
      <c r="D175" s="21"/>
      <c r="E175" s="22">
        <f t="shared" si="6"/>
        <v>378049</v>
      </c>
      <c r="F175" s="22">
        <f t="shared" si="7"/>
        <v>378049</v>
      </c>
      <c r="G175" s="22">
        <f t="shared" si="8"/>
        <v>0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>
        <v>295523.87</v>
      </c>
      <c r="T175" s="28"/>
      <c r="U175" s="28"/>
      <c r="V175" s="28"/>
      <c r="W175" s="28"/>
      <c r="X175" s="28"/>
      <c r="Y175" s="28"/>
      <c r="Z175" s="28">
        <v>82525.13</v>
      </c>
      <c r="AA175" s="28"/>
      <c r="AB175" s="28"/>
      <c r="AC175" s="28"/>
      <c r="AD175" s="28"/>
      <c r="AE175" s="28"/>
      <c r="AF175" s="28"/>
      <c r="AG175" s="28"/>
      <c r="AH175" s="28"/>
    </row>
    <row r="176" spans="1:34" ht="16.5" thickBot="1" x14ac:dyDescent="0.3">
      <c r="A176" s="18" t="s">
        <v>350</v>
      </c>
      <c r="B176" s="19" t="s">
        <v>351</v>
      </c>
      <c r="C176" s="20">
        <v>201970</v>
      </c>
      <c r="D176" s="21"/>
      <c r="E176" s="22">
        <f t="shared" si="6"/>
        <v>201970</v>
      </c>
      <c r="F176" s="22">
        <f t="shared" si="7"/>
        <v>201970</v>
      </c>
      <c r="G176" s="22">
        <f t="shared" si="8"/>
        <v>0</v>
      </c>
      <c r="H176" s="28"/>
      <c r="I176" s="28"/>
      <c r="J176" s="28">
        <v>26675.08</v>
      </c>
      <c r="K176" s="28">
        <v>13575.05</v>
      </c>
      <c r="L176" s="28">
        <v>13575.05</v>
      </c>
      <c r="M176" s="28">
        <v>13575.05</v>
      </c>
      <c r="N176" s="28"/>
      <c r="O176" s="28">
        <v>27150.080000000002</v>
      </c>
      <c r="P176" s="28">
        <v>13575.04</v>
      </c>
      <c r="Q176" s="28">
        <v>61712.01</v>
      </c>
      <c r="R176" s="28">
        <v>13145.3</v>
      </c>
      <c r="S176" s="28">
        <v>13145.16</v>
      </c>
      <c r="T176" s="28"/>
      <c r="U176" s="28">
        <v>5842.18</v>
      </c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</row>
    <row r="177" spans="1:34" ht="16.5" thickBot="1" x14ac:dyDescent="0.3">
      <c r="A177" s="18" t="s">
        <v>352</v>
      </c>
      <c r="B177" s="19" t="s">
        <v>353</v>
      </c>
      <c r="C177" s="20">
        <v>175701</v>
      </c>
      <c r="D177" s="21"/>
      <c r="E177" s="22">
        <f t="shared" si="6"/>
        <v>175701</v>
      </c>
      <c r="F177" s="22">
        <f t="shared" si="7"/>
        <v>175701</v>
      </c>
      <c r="G177" s="22">
        <f t="shared" si="8"/>
        <v>0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>
        <v>175701</v>
      </c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</row>
    <row r="178" spans="1:34" ht="16.5" thickBot="1" x14ac:dyDescent="0.3">
      <c r="A178" s="18" t="s">
        <v>354</v>
      </c>
      <c r="B178" s="19" t="s">
        <v>355</v>
      </c>
      <c r="C178" s="20">
        <v>3480346</v>
      </c>
      <c r="D178" s="21"/>
      <c r="E178" s="22">
        <f t="shared" si="6"/>
        <v>3480346</v>
      </c>
      <c r="F178" s="22">
        <f t="shared" si="7"/>
        <v>3480346</v>
      </c>
      <c r="G178" s="22">
        <f t="shared" si="8"/>
        <v>0</v>
      </c>
      <c r="H178" s="28"/>
      <c r="I178" s="28"/>
      <c r="J178" s="28"/>
      <c r="K178" s="28"/>
      <c r="L178" s="28"/>
      <c r="M178" s="28"/>
      <c r="N178" s="28"/>
      <c r="O178" s="28"/>
      <c r="P178" s="28">
        <v>1326279.8600000001</v>
      </c>
      <c r="Q178" s="28">
        <v>266257.64</v>
      </c>
      <c r="R178" s="28">
        <v>1171264.83</v>
      </c>
      <c r="S178" s="28">
        <v>223025.45</v>
      </c>
      <c r="T178" s="28">
        <v>428555.55</v>
      </c>
      <c r="U178" s="28"/>
      <c r="V178" s="28"/>
      <c r="W178" s="28">
        <v>37770.18</v>
      </c>
      <c r="X178" s="28">
        <v>17305.34</v>
      </c>
      <c r="Y178" s="28">
        <v>1807.65</v>
      </c>
      <c r="Z178" s="28"/>
      <c r="AA178" s="28"/>
      <c r="AB178" s="28"/>
      <c r="AC178" s="28"/>
      <c r="AD178" s="28">
        <v>2199.4299999999998</v>
      </c>
      <c r="AE178" s="28">
        <v>2420</v>
      </c>
      <c r="AF178" s="28">
        <v>3460.07</v>
      </c>
      <c r="AG178" s="28"/>
      <c r="AH178" s="28"/>
    </row>
    <row r="179" spans="1:34" ht="16.5" thickBot="1" x14ac:dyDescent="0.3">
      <c r="A179" s="18" t="s">
        <v>356</v>
      </c>
      <c r="B179" s="19" t="s">
        <v>357</v>
      </c>
      <c r="C179" s="20">
        <v>102868</v>
      </c>
      <c r="D179" s="21"/>
      <c r="E179" s="22">
        <f t="shared" si="6"/>
        <v>102868</v>
      </c>
      <c r="F179" s="22">
        <f t="shared" si="7"/>
        <v>102868</v>
      </c>
      <c r="G179" s="22">
        <f t="shared" si="8"/>
        <v>0</v>
      </c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>
        <v>102868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</row>
    <row r="180" spans="1:34" ht="16.5" thickBot="1" x14ac:dyDescent="0.3">
      <c r="A180" s="18" t="s">
        <v>358</v>
      </c>
      <c r="B180" s="19" t="s">
        <v>359</v>
      </c>
      <c r="C180" s="20">
        <v>315983</v>
      </c>
      <c r="D180" s="21"/>
      <c r="E180" s="22">
        <f t="shared" si="6"/>
        <v>315983</v>
      </c>
      <c r="F180" s="22">
        <f t="shared" si="7"/>
        <v>315983</v>
      </c>
      <c r="G180" s="22">
        <f t="shared" si="8"/>
        <v>0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>
        <v>220785.99</v>
      </c>
      <c r="T180" s="28">
        <v>80355.66</v>
      </c>
      <c r="U180" s="28"/>
      <c r="V180" s="28">
        <v>14841.35</v>
      </c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</row>
    <row r="181" spans="1:34" ht="16.5" thickBot="1" x14ac:dyDescent="0.3">
      <c r="A181" s="18" t="s">
        <v>360</v>
      </c>
      <c r="B181" s="19" t="s">
        <v>361</v>
      </c>
      <c r="C181" s="20">
        <v>114017</v>
      </c>
      <c r="D181" s="21"/>
      <c r="E181" s="22">
        <f t="shared" si="6"/>
        <v>114017</v>
      </c>
      <c r="F181" s="22">
        <f t="shared" si="7"/>
        <v>114017</v>
      </c>
      <c r="G181" s="22">
        <f t="shared" si="8"/>
        <v>0</v>
      </c>
      <c r="H181" s="28"/>
      <c r="I181" s="28"/>
      <c r="J181" s="28"/>
      <c r="K181" s="28"/>
      <c r="L181" s="28"/>
      <c r="M181" s="28"/>
      <c r="N181" s="28"/>
      <c r="O181" s="28"/>
      <c r="P181" s="28">
        <f>48204.65+9640.93</f>
        <v>57845.58</v>
      </c>
      <c r="Q181" s="28"/>
      <c r="R181" s="28">
        <v>19281.86</v>
      </c>
      <c r="S181" s="28">
        <v>9640.93</v>
      </c>
      <c r="T181" s="28"/>
      <c r="U181" s="28"/>
      <c r="V181" s="28">
        <v>27248.63</v>
      </c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</row>
    <row r="182" spans="1:34" ht="16.5" thickBot="1" x14ac:dyDescent="0.3">
      <c r="A182" s="18" t="s">
        <v>362</v>
      </c>
      <c r="B182" s="19" t="s">
        <v>363</v>
      </c>
      <c r="C182" s="20">
        <v>10191</v>
      </c>
      <c r="D182" s="21"/>
      <c r="E182" s="22">
        <f t="shared" si="6"/>
        <v>10191</v>
      </c>
      <c r="F182" s="22">
        <f t="shared" si="7"/>
        <v>10191</v>
      </c>
      <c r="G182" s="22">
        <f t="shared" si="8"/>
        <v>0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>
        <v>10191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</row>
    <row r="183" spans="1:34" ht="16.5" thickBot="1" x14ac:dyDescent="0.3">
      <c r="A183" s="18" t="s">
        <v>364</v>
      </c>
      <c r="B183" s="19" t="s">
        <v>365</v>
      </c>
      <c r="C183" s="20">
        <v>0</v>
      </c>
      <c r="D183" s="21"/>
      <c r="E183" s="22">
        <f t="shared" si="6"/>
        <v>0</v>
      </c>
      <c r="F183" s="22">
        <f t="shared" si="7"/>
        <v>0</v>
      </c>
      <c r="G183" s="22">
        <f t="shared" si="8"/>
        <v>0</v>
      </c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</row>
    <row r="184" spans="1:34" ht="16.5" thickBot="1" x14ac:dyDescent="0.3">
      <c r="A184" s="18" t="s">
        <v>366</v>
      </c>
      <c r="B184" s="19" t="s">
        <v>367</v>
      </c>
      <c r="C184" s="20">
        <v>13980</v>
      </c>
      <c r="D184" s="21"/>
      <c r="E184" s="22">
        <f t="shared" si="6"/>
        <v>13980</v>
      </c>
      <c r="F184" s="22">
        <f t="shared" si="7"/>
        <v>13980</v>
      </c>
      <c r="G184" s="22">
        <f t="shared" si="8"/>
        <v>0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>
        <v>13980</v>
      </c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</row>
    <row r="185" spans="1:34" ht="16.5" thickBot="1" x14ac:dyDescent="0.3">
      <c r="A185" s="18" t="s">
        <v>368</v>
      </c>
      <c r="B185" s="19" t="s">
        <v>369</v>
      </c>
      <c r="C185" s="20">
        <v>114592</v>
      </c>
      <c r="D185" s="21"/>
      <c r="E185" s="22">
        <f t="shared" si="6"/>
        <v>114592</v>
      </c>
      <c r="F185" s="22">
        <f t="shared" si="7"/>
        <v>114592</v>
      </c>
      <c r="G185" s="22">
        <f t="shared" si="8"/>
        <v>0</v>
      </c>
      <c r="H185" s="28"/>
      <c r="I185" s="28"/>
      <c r="J185" s="28"/>
      <c r="K185" s="28"/>
      <c r="L185" s="28"/>
      <c r="M185" s="28"/>
      <c r="N185" s="28"/>
      <c r="O185" s="28"/>
      <c r="P185" s="28">
        <v>114592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</row>
    <row r="186" spans="1:34" ht="16.5" thickBot="1" x14ac:dyDescent="0.3">
      <c r="A186" s="18" t="s">
        <v>370</v>
      </c>
      <c r="B186" s="19" t="s">
        <v>371</v>
      </c>
      <c r="C186" s="20">
        <v>94832</v>
      </c>
      <c r="D186" s="21"/>
      <c r="E186" s="22">
        <f t="shared" si="6"/>
        <v>94832</v>
      </c>
      <c r="F186" s="22">
        <f t="shared" si="7"/>
        <v>94832</v>
      </c>
      <c r="G186" s="22">
        <f t="shared" si="8"/>
        <v>0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>
        <v>94832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</row>
    <row r="187" spans="1:34" ht="16.5" thickBot="1" x14ac:dyDescent="0.3">
      <c r="A187" s="18" t="s">
        <v>372</v>
      </c>
      <c r="B187" s="19" t="s">
        <v>373</v>
      </c>
      <c r="C187" s="20">
        <v>24406</v>
      </c>
      <c r="D187" s="21"/>
      <c r="E187" s="22">
        <f t="shared" si="6"/>
        <v>24406</v>
      </c>
      <c r="F187" s="22">
        <f t="shared" si="7"/>
        <v>24406</v>
      </c>
      <c r="G187" s="22">
        <f t="shared" si="8"/>
        <v>0</v>
      </c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>
        <v>24406</v>
      </c>
      <c r="AD187" s="28"/>
      <c r="AE187" s="28"/>
      <c r="AF187" s="28"/>
      <c r="AG187" s="28"/>
      <c r="AH187" s="28"/>
    </row>
    <row r="188" spans="1:34" ht="16.5" thickBot="1" x14ac:dyDescent="0.3">
      <c r="A188" s="18" t="s">
        <v>374</v>
      </c>
      <c r="B188" s="19" t="s">
        <v>375</v>
      </c>
      <c r="C188" s="20">
        <v>776</v>
      </c>
      <c r="D188" s="21"/>
      <c r="E188" s="22">
        <f t="shared" si="6"/>
        <v>776</v>
      </c>
      <c r="F188" s="22">
        <f t="shared" si="7"/>
        <v>776</v>
      </c>
      <c r="G188" s="22">
        <f t="shared" si="8"/>
        <v>0</v>
      </c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>
        <v>776</v>
      </c>
    </row>
    <row r="189" spans="1:34" ht="16.5" thickBot="1" x14ac:dyDescent="0.3">
      <c r="A189" s="18" t="s">
        <v>376</v>
      </c>
      <c r="B189" s="19" t="s">
        <v>377</v>
      </c>
      <c r="C189" s="20">
        <v>1502146</v>
      </c>
      <c r="D189" s="21"/>
      <c r="E189" s="22">
        <f t="shared" si="6"/>
        <v>1502146</v>
      </c>
      <c r="F189" s="22">
        <f t="shared" si="7"/>
        <v>1500625.71</v>
      </c>
      <c r="G189" s="22">
        <f t="shared" si="8"/>
        <v>1520.2900000000373</v>
      </c>
      <c r="H189" s="28"/>
      <c r="I189" s="28"/>
      <c r="J189" s="28"/>
      <c r="K189" s="28"/>
      <c r="L189" s="28"/>
      <c r="M189" s="28"/>
      <c r="N189" s="28"/>
      <c r="O189" s="28"/>
      <c r="P189" s="28"/>
      <c r="Q189" s="28">
        <v>123971.75</v>
      </c>
      <c r="R189" s="28">
        <v>431311.96</v>
      </c>
      <c r="S189" s="28"/>
      <c r="T189" s="28">
        <f>240428+240710</f>
        <v>481138</v>
      </c>
      <c r="U189" s="28">
        <v>205103</v>
      </c>
      <c r="V189" s="28">
        <v>131161</v>
      </c>
      <c r="W189" s="28"/>
      <c r="X189" s="28"/>
      <c r="Y189" s="28">
        <v>44240</v>
      </c>
      <c r="Z189" s="28">
        <v>16522</v>
      </c>
      <c r="AA189" s="28">
        <v>91</v>
      </c>
      <c r="AB189" s="28">
        <v>19505</v>
      </c>
      <c r="AC189" s="28">
        <v>462</v>
      </c>
      <c r="AD189" s="28">
        <v>46686</v>
      </c>
      <c r="AE189" s="28">
        <v>434</v>
      </c>
      <c r="AF189" s="28"/>
      <c r="AG189" s="28"/>
      <c r="AH189" s="28"/>
    </row>
    <row r="190" spans="1:34" ht="16.5" thickBot="1" x14ac:dyDescent="0.3">
      <c r="A190" s="18" t="s">
        <v>378</v>
      </c>
      <c r="B190" s="19" t="s">
        <v>379</v>
      </c>
      <c r="C190" s="20">
        <v>50973</v>
      </c>
      <c r="D190" s="21"/>
      <c r="E190" s="22">
        <f t="shared" si="6"/>
        <v>50973</v>
      </c>
      <c r="F190" s="22">
        <f t="shared" si="7"/>
        <v>50973</v>
      </c>
      <c r="G190" s="22">
        <f t="shared" si="8"/>
        <v>0</v>
      </c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>
        <v>35712.959999999999</v>
      </c>
      <c r="V190" s="28"/>
      <c r="W190" s="28"/>
      <c r="X190" s="28"/>
      <c r="Y190" s="28"/>
      <c r="Z190" s="28"/>
      <c r="AA190" s="28"/>
      <c r="AB190" s="28"/>
      <c r="AC190" s="28"/>
      <c r="AD190" s="28"/>
      <c r="AE190" s="28">
        <v>15260.04</v>
      </c>
      <c r="AF190" s="28"/>
      <c r="AG190" s="28"/>
      <c r="AH190" s="28"/>
    </row>
    <row r="191" spans="1:34" ht="16.5" thickBot="1" x14ac:dyDescent="0.3">
      <c r="A191" s="23" t="s">
        <v>380</v>
      </c>
      <c r="B191" s="24"/>
      <c r="C191" s="25">
        <f t="shared" ref="C191:AH191" si="9">SUM(C11:C190)</f>
        <v>108894406</v>
      </c>
      <c r="D191" s="25">
        <f t="shared" si="9"/>
        <v>0</v>
      </c>
      <c r="E191" s="25">
        <f t="shared" si="9"/>
        <v>108894406</v>
      </c>
      <c r="F191" s="25">
        <f t="shared" si="9"/>
        <v>106797791.45999999</v>
      </c>
      <c r="G191" s="25">
        <f t="shared" si="9"/>
        <v>2096614.5399999989</v>
      </c>
      <c r="H191" s="25">
        <f t="shared" si="9"/>
        <v>165690</v>
      </c>
      <c r="I191" s="25">
        <f t="shared" si="9"/>
        <v>0</v>
      </c>
      <c r="J191" s="25">
        <f t="shared" si="9"/>
        <v>945217.33</v>
      </c>
      <c r="K191" s="25">
        <f t="shared" si="9"/>
        <v>557249.69999999995</v>
      </c>
      <c r="L191" s="25">
        <f t="shared" si="9"/>
        <v>1502188.41</v>
      </c>
      <c r="M191" s="25">
        <f t="shared" si="9"/>
        <v>1824206.2</v>
      </c>
      <c r="N191" s="25">
        <f t="shared" si="9"/>
        <v>1373524.58</v>
      </c>
      <c r="O191" s="25">
        <f t="shared" si="9"/>
        <v>1759361.03</v>
      </c>
      <c r="P191" s="25">
        <f t="shared" si="9"/>
        <v>5433045.0500000007</v>
      </c>
      <c r="Q191" s="25">
        <f t="shared" si="9"/>
        <v>8471767.129999999</v>
      </c>
      <c r="R191" s="25">
        <f t="shared" si="9"/>
        <v>10207404.230000002</v>
      </c>
      <c r="S191" s="25">
        <f t="shared" si="9"/>
        <v>17164144.759999998</v>
      </c>
      <c r="T191" s="25">
        <f t="shared" si="9"/>
        <v>16100869.770000005</v>
      </c>
      <c r="U191" s="25">
        <f t="shared" si="9"/>
        <v>3378738.1799999992</v>
      </c>
      <c r="V191" s="25">
        <f t="shared" si="9"/>
        <v>14020058.939999999</v>
      </c>
      <c r="W191" s="25">
        <f t="shared" si="9"/>
        <v>13064448.490000002</v>
      </c>
      <c r="X191" s="25">
        <f t="shared" si="9"/>
        <v>2377651.1</v>
      </c>
      <c r="Y191" s="25">
        <f t="shared" si="9"/>
        <v>499786.77</v>
      </c>
      <c r="Z191" s="25">
        <f t="shared" si="9"/>
        <v>361852.98000000004</v>
      </c>
      <c r="AA191" s="25">
        <f t="shared" si="9"/>
        <v>950467.27</v>
      </c>
      <c r="AB191" s="25">
        <f t="shared" si="9"/>
        <v>1982384.31</v>
      </c>
      <c r="AC191" s="25">
        <f t="shared" si="9"/>
        <v>2085303.24</v>
      </c>
      <c r="AD191" s="25">
        <f t="shared" si="9"/>
        <v>482956.12000000005</v>
      </c>
      <c r="AE191" s="25">
        <f t="shared" si="9"/>
        <v>871884.59</v>
      </c>
      <c r="AF191" s="25">
        <f t="shared" si="9"/>
        <v>382145.58</v>
      </c>
      <c r="AG191" s="25">
        <f t="shared" si="9"/>
        <v>308571.42</v>
      </c>
      <c r="AH191" s="25">
        <f t="shared" si="9"/>
        <v>526874.28</v>
      </c>
    </row>
    <row r="192" spans="1:34" ht="15.75" x14ac:dyDescent="0.25"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</row>
    <row r="193" spans="8:34" ht="15.75" x14ac:dyDescent="0.25"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8:34" ht="15.75" x14ac:dyDescent="0.25"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8:34" ht="15.75" x14ac:dyDescent="0.25"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8:34" ht="15.75" x14ac:dyDescent="0.25"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8:34" ht="15.75" x14ac:dyDescent="0.25"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8:34" ht="15.75" x14ac:dyDescent="0.25"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8:34" ht="15.75" x14ac:dyDescent="0.25"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</row>
    <row r="200" spans="8:34" ht="15.75" x14ac:dyDescent="0.25"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</row>
    <row r="201" spans="8:34" ht="15.75" x14ac:dyDescent="0.25"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</row>
    <row r="202" spans="8:34" ht="15.75" x14ac:dyDescent="0.25"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</row>
    <row r="203" spans="8:34" ht="15.75" x14ac:dyDescent="0.25"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</row>
    <row r="204" spans="8:34" ht="15.75" x14ac:dyDescent="0.25"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</row>
    <row r="205" spans="8:34" ht="15.75" x14ac:dyDescent="0.25"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</row>
  </sheetData>
  <sheetProtection algorithmName="SHA-512" hashValue="8OsWXrP3kz2+1pbQGUT+fZO2ybQe7KbP71DAfYssZLT0W//yckcJfBHVLH0B47fXk8MCNhb96NSnlhouooptdw==" saltValue="Z3mwdb1lAzCw+z952zwiRg==" spinCount="100000" sheet="1" objects="1" scenarios="1"/>
  <phoneticPr fontId="1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F0E1-196D-4B3B-B986-2ABBDF2BFB8A}">
  <dimension ref="A1:AJ130"/>
  <sheetViews>
    <sheetView tabSelected="1" topLeftCell="A78" workbookViewId="0">
      <pane xSplit="7" topLeftCell="AG1" activePane="topRight" state="frozen"/>
      <selection pane="topRight" activeCell="G94" sqref="G94"/>
    </sheetView>
  </sheetViews>
  <sheetFormatPr defaultRowHeight="15" x14ac:dyDescent="0.25"/>
  <cols>
    <col min="1" max="1" width="17.28515625" customWidth="1"/>
    <col min="2" max="2" width="51.5703125" customWidth="1"/>
    <col min="3" max="3" width="20.42578125" customWidth="1"/>
    <col min="4" max="4" width="12.7109375" customWidth="1"/>
    <col min="5" max="5" width="17.28515625" customWidth="1"/>
    <col min="6" max="6" width="16.140625" customWidth="1"/>
    <col min="7" max="7" width="15.85546875" customWidth="1"/>
    <col min="8" max="8" width="15.28515625" customWidth="1"/>
    <col min="9" max="9" width="12" customWidth="1"/>
    <col min="10" max="10" width="14.42578125" customWidth="1"/>
    <col min="11" max="11" width="12.5703125" customWidth="1"/>
    <col min="12" max="12" width="13.28515625" customWidth="1"/>
    <col min="13" max="13" width="14" customWidth="1"/>
    <col min="14" max="14" width="18" customWidth="1"/>
    <col min="15" max="15" width="13.7109375" customWidth="1"/>
    <col min="16" max="16" width="14.42578125" customWidth="1"/>
    <col min="17" max="17" width="13.5703125" customWidth="1"/>
    <col min="18" max="18" width="13.28515625" customWidth="1"/>
    <col min="19" max="19" width="13.140625" customWidth="1"/>
    <col min="20" max="20" width="12.7109375" customWidth="1"/>
    <col min="21" max="21" width="15.28515625" customWidth="1"/>
    <col min="22" max="22" width="15" customWidth="1"/>
    <col min="23" max="23" width="12.5703125" customWidth="1"/>
    <col min="24" max="24" width="14.140625" customWidth="1"/>
    <col min="25" max="25" width="15.42578125" customWidth="1"/>
    <col min="26" max="26" width="14.5703125" customWidth="1"/>
    <col min="27" max="27" width="12.85546875" customWidth="1"/>
    <col min="28" max="28" width="15.140625" customWidth="1"/>
    <col min="29" max="29" width="14.28515625" customWidth="1"/>
    <col min="30" max="30" width="13.5703125" customWidth="1"/>
    <col min="31" max="31" width="14.140625" customWidth="1"/>
    <col min="32" max="32" width="15.42578125" customWidth="1"/>
    <col min="33" max="33" width="12.7109375" customWidth="1"/>
    <col min="34" max="34" width="13.5703125" customWidth="1"/>
    <col min="35" max="35" width="12.85546875" customWidth="1"/>
    <col min="36" max="36" width="14.42578125" customWidth="1"/>
  </cols>
  <sheetData>
    <row r="1" spans="1:36" ht="21" x14ac:dyDescent="0.35">
      <c r="A1" s="1" t="s">
        <v>0</v>
      </c>
      <c r="B1" s="2"/>
      <c r="C1" s="1" t="s">
        <v>409</v>
      </c>
      <c r="D1" s="3"/>
      <c r="E1" s="1"/>
      <c r="F1" s="4"/>
      <c r="G1" s="4"/>
    </row>
    <row r="2" spans="1:36" ht="15.75" x14ac:dyDescent="0.25">
      <c r="A2" s="5" t="s">
        <v>2</v>
      </c>
      <c r="B2" s="2"/>
      <c r="C2" s="6" t="s">
        <v>3</v>
      </c>
      <c r="D2" s="7"/>
      <c r="E2" s="6"/>
      <c r="F2" s="8"/>
      <c r="G2" s="8"/>
    </row>
    <row r="3" spans="1:36" ht="15.75" x14ac:dyDescent="0.25">
      <c r="A3" s="5" t="s">
        <v>4</v>
      </c>
      <c r="B3" s="2"/>
      <c r="C3" s="5">
        <v>5425</v>
      </c>
      <c r="D3" s="9"/>
      <c r="E3" s="5"/>
      <c r="F3" s="8"/>
      <c r="G3" s="8"/>
    </row>
    <row r="4" spans="1:36" ht="15.75" x14ac:dyDescent="0.25">
      <c r="A4" s="5" t="s">
        <v>5</v>
      </c>
      <c r="B4" s="2"/>
      <c r="C4" s="8" t="s">
        <v>6</v>
      </c>
      <c r="D4" s="10"/>
      <c r="E4" s="8"/>
      <c r="F4" s="8"/>
      <c r="G4" s="11"/>
    </row>
    <row r="5" spans="1:36" ht="15.75" x14ac:dyDescent="0.25">
      <c r="A5" s="5" t="s">
        <v>7</v>
      </c>
      <c r="B5" s="2"/>
      <c r="C5" s="8" t="s">
        <v>8</v>
      </c>
      <c r="D5" s="10"/>
      <c r="E5" s="8"/>
      <c r="F5" s="8"/>
      <c r="G5" s="11"/>
    </row>
    <row r="6" spans="1:36" ht="15.75" x14ac:dyDescent="0.25">
      <c r="A6" s="5"/>
      <c r="B6" s="2"/>
      <c r="C6" s="8" t="s">
        <v>9</v>
      </c>
      <c r="D6" s="10"/>
      <c r="E6" s="8"/>
      <c r="F6" s="8"/>
      <c r="G6" s="11"/>
    </row>
    <row r="7" spans="1:36" ht="15.75" x14ac:dyDescent="0.25">
      <c r="A7" s="5" t="s">
        <v>10</v>
      </c>
      <c r="B7" s="2"/>
      <c r="C7" s="8" t="s">
        <v>446</v>
      </c>
      <c r="D7" s="10"/>
      <c r="E7" s="8"/>
      <c r="F7" s="8"/>
      <c r="G7" s="11"/>
    </row>
    <row r="8" spans="1:36" ht="15.75" x14ac:dyDescent="0.25">
      <c r="A8" s="5" t="s">
        <v>11</v>
      </c>
      <c r="B8" s="2"/>
      <c r="C8" s="8" t="s">
        <v>448</v>
      </c>
      <c r="D8" s="10"/>
      <c r="E8" s="8"/>
      <c r="F8" s="8"/>
      <c r="G8" s="11"/>
    </row>
    <row r="9" spans="1:36" ht="16.5" thickBot="1" x14ac:dyDescent="0.3">
      <c r="A9" s="5" t="s">
        <v>12</v>
      </c>
      <c r="B9" s="2"/>
      <c r="C9" s="8" t="s">
        <v>408</v>
      </c>
      <c r="D9" s="10"/>
      <c r="E9" s="8"/>
      <c r="F9" s="8"/>
      <c r="G9" s="11"/>
    </row>
    <row r="10" spans="1:36" ht="45.75" thickBot="1" x14ac:dyDescent="0.3">
      <c r="A10" s="12" t="s">
        <v>13</v>
      </c>
      <c r="B10" s="13" t="s">
        <v>14</v>
      </c>
      <c r="C10" s="13" t="s">
        <v>15</v>
      </c>
      <c r="D10" s="14" t="s">
        <v>16</v>
      </c>
      <c r="E10" s="15" t="s">
        <v>17</v>
      </c>
      <c r="F10" s="16" t="s">
        <v>18</v>
      </c>
      <c r="G10" s="17" t="s">
        <v>19</v>
      </c>
      <c r="H10" s="26" t="s">
        <v>381</v>
      </c>
      <c r="I10" s="26" t="s">
        <v>382</v>
      </c>
      <c r="J10" s="26" t="s">
        <v>383</v>
      </c>
      <c r="K10" s="26" t="s">
        <v>384</v>
      </c>
      <c r="L10" s="26" t="s">
        <v>385</v>
      </c>
      <c r="M10" s="26" t="s">
        <v>386</v>
      </c>
      <c r="N10" s="26" t="s">
        <v>387</v>
      </c>
      <c r="O10" s="26" t="s">
        <v>388</v>
      </c>
      <c r="P10" s="26" t="s">
        <v>389</v>
      </c>
      <c r="Q10" s="26" t="s">
        <v>390</v>
      </c>
      <c r="R10" s="26" t="s">
        <v>391</v>
      </c>
      <c r="S10" s="26" t="s">
        <v>392</v>
      </c>
      <c r="T10" s="26" t="s">
        <v>393</v>
      </c>
      <c r="U10" s="26" t="s">
        <v>394</v>
      </c>
      <c r="V10" s="26" t="s">
        <v>395</v>
      </c>
      <c r="W10" s="26" t="s">
        <v>396</v>
      </c>
      <c r="X10" s="26" t="s">
        <v>397</v>
      </c>
      <c r="Y10" s="26" t="s">
        <v>398</v>
      </c>
      <c r="Z10" s="26" t="s">
        <v>399</v>
      </c>
      <c r="AA10" s="26" t="s">
        <v>400</v>
      </c>
      <c r="AB10" s="26" t="s">
        <v>401</v>
      </c>
      <c r="AC10" s="26" t="s">
        <v>402</v>
      </c>
      <c r="AD10" s="26" t="s">
        <v>403</v>
      </c>
      <c r="AE10" s="26" t="s">
        <v>404</v>
      </c>
      <c r="AF10" s="26" t="s">
        <v>405</v>
      </c>
      <c r="AG10" s="26" t="s">
        <v>406</v>
      </c>
      <c r="AH10" s="26" t="s">
        <v>407</v>
      </c>
      <c r="AI10" s="26" t="s">
        <v>609</v>
      </c>
      <c r="AJ10" s="26" t="s">
        <v>608</v>
      </c>
    </row>
    <row r="11" spans="1:36" ht="16.5" thickBot="1" x14ac:dyDescent="0.3">
      <c r="A11" s="18" t="s">
        <v>20</v>
      </c>
      <c r="B11" s="19" t="s">
        <v>21</v>
      </c>
      <c r="C11" s="20">
        <v>169091</v>
      </c>
      <c r="D11" s="21"/>
      <c r="E11" s="22">
        <f>C11</f>
        <v>169091</v>
      </c>
      <c r="F11" s="22">
        <f>SUM(H11:AK11)</f>
        <v>169091</v>
      </c>
      <c r="G11" s="22">
        <f>E11-(F11+AL11+AM11)</f>
        <v>0</v>
      </c>
      <c r="H11" s="28"/>
      <c r="I11" s="28"/>
      <c r="J11" s="28"/>
      <c r="K11" s="28"/>
      <c r="L11" s="28"/>
      <c r="M11" s="28"/>
      <c r="N11" s="28"/>
      <c r="O11" s="28"/>
      <c r="P11" s="28">
        <v>79076.5</v>
      </c>
      <c r="Q11" s="28">
        <v>42608.639999999999</v>
      </c>
      <c r="R11" s="28">
        <v>38042.080000000002</v>
      </c>
      <c r="S11" s="28">
        <v>9213.7800000000007</v>
      </c>
      <c r="T11" s="28">
        <v>150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70"/>
    </row>
    <row r="12" spans="1:36" ht="16.5" thickBot="1" x14ac:dyDescent="0.3">
      <c r="A12" s="18" t="s">
        <v>22</v>
      </c>
      <c r="B12" s="19" t="s">
        <v>23</v>
      </c>
      <c r="C12" s="20">
        <v>18200</v>
      </c>
      <c r="D12" s="21"/>
      <c r="E12" s="22">
        <f t="shared" ref="E12:E63" si="0">C12</f>
        <v>18200</v>
      </c>
      <c r="F12" s="22">
        <f t="shared" ref="F12:F63" si="1">SUM(H12:AK12)</f>
        <v>13627.669999999998</v>
      </c>
      <c r="G12" s="22">
        <f t="shared" ref="G12:G75" si="2">E12-(F12+AL12+AM12)</f>
        <v>4572.3300000000017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>
        <v>5968.53</v>
      </c>
      <c r="Y12" s="28">
        <v>1250.27</v>
      </c>
      <c r="Z12" s="28">
        <v>358.65</v>
      </c>
      <c r="AA12" s="28">
        <v>61.73</v>
      </c>
      <c r="AB12" s="28"/>
      <c r="AC12" s="28"/>
      <c r="AD12" s="28">
        <v>267.14</v>
      </c>
      <c r="AE12" s="28">
        <v>4021.26</v>
      </c>
      <c r="AF12" s="28"/>
      <c r="AG12" s="28">
        <v>1700.09</v>
      </c>
      <c r="AH12" s="28"/>
    </row>
    <row r="13" spans="1:36" ht="16.5" thickBot="1" x14ac:dyDescent="0.3">
      <c r="A13" s="18" t="s">
        <v>46</v>
      </c>
      <c r="B13" s="19" t="s">
        <v>47</v>
      </c>
      <c r="C13" s="20">
        <v>8949</v>
      </c>
      <c r="D13" s="21"/>
      <c r="E13" s="22">
        <f t="shared" si="0"/>
        <v>8949</v>
      </c>
      <c r="F13" s="22">
        <f t="shared" si="1"/>
        <v>8949</v>
      </c>
      <c r="G13" s="22">
        <f t="shared" si="2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>
        <v>8928.73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>
        <v>20.27</v>
      </c>
      <c r="AE13" s="28"/>
      <c r="AF13" s="28"/>
      <c r="AG13" s="28"/>
      <c r="AH13" s="28"/>
    </row>
    <row r="14" spans="1:36" ht="16.5" thickBot="1" x14ac:dyDescent="0.3">
      <c r="A14" s="18" t="s">
        <v>48</v>
      </c>
      <c r="B14" s="19" t="s">
        <v>49</v>
      </c>
      <c r="C14" s="20">
        <v>6600</v>
      </c>
      <c r="D14" s="21"/>
      <c r="E14" s="22">
        <f t="shared" si="0"/>
        <v>6600</v>
      </c>
      <c r="F14" s="22">
        <f t="shared" si="1"/>
        <v>0</v>
      </c>
      <c r="G14" s="22">
        <f t="shared" si="2"/>
        <v>6600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6" ht="16.5" thickBot="1" x14ac:dyDescent="0.3">
      <c r="A15" s="18" t="s">
        <v>56</v>
      </c>
      <c r="B15" s="19" t="s">
        <v>57</v>
      </c>
      <c r="C15" s="20">
        <v>17187</v>
      </c>
      <c r="D15" s="21"/>
      <c r="E15" s="22">
        <f t="shared" si="0"/>
        <v>17187</v>
      </c>
      <c r="F15" s="22">
        <f t="shared" si="1"/>
        <v>0</v>
      </c>
      <c r="G15" s="22">
        <f t="shared" si="2"/>
        <v>17187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6" ht="16.5" thickBot="1" x14ac:dyDescent="0.3">
      <c r="A16" s="18" t="s">
        <v>60</v>
      </c>
      <c r="B16" s="19" t="s">
        <v>61</v>
      </c>
      <c r="C16" s="20">
        <v>12579</v>
      </c>
      <c r="D16" s="21"/>
      <c r="E16" s="22">
        <f t="shared" si="0"/>
        <v>12579</v>
      </c>
      <c r="F16" s="22">
        <f t="shared" si="1"/>
        <v>12579</v>
      </c>
      <c r="G16" s="22">
        <f t="shared" si="2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>
        <v>11383.71</v>
      </c>
      <c r="U16" s="28"/>
      <c r="V16" s="28"/>
      <c r="W16" s="28"/>
      <c r="X16" s="28"/>
      <c r="Y16" s="28"/>
      <c r="Z16" s="28"/>
      <c r="AA16" s="28"/>
      <c r="AB16" s="28"/>
      <c r="AC16" s="28"/>
      <c r="AD16" s="28">
        <v>1195.29</v>
      </c>
      <c r="AE16" s="28"/>
      <c r="AF16" s="28"/>
      <c r="AG16" s="28"/>
      <c r="AH16" s="28"/>
    </row>
    <row r="17" spans="1:34" ht="16.5" thickBot="1" x14ac:dyDescent="0.3">
      <c r="A17" s="18" t="s">
        <v>62</v>
      </c>
      <c r="B17" s="19" t="s">
        <v>63</v>
      </c>
      <c r="C17" s="20">
        <v>25000</v>
      </c>
      <c r="D17" s="21"/>
      <c r="E17" s="22">
        <f t="shared" si="0"/>
        <v>25000</v>
      </c>
      <c r="F17" s="22">
        <f t="shared" si="1"/>
        <v>25000</v>
      </c>
      <c r="G17" s="22">
        <f t="shared" si="2"/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>
        <v>25000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16.5" thickBot="1" x14ac:dyDescent="0.3">
      <c r="A18" s="18" t="s">
        <v>70</v>
      </c>
      <c r="B18" s="19" t="s">
        <v>71</v>
      </c>
      <c r="C18" s="20">
        <v>8600</v>
      </c>
      <c r="D18" s="21"/>
      <c r="E18" s="22">
        <f t="shared" si="0"/>
        <v>8600</v>
      </c>
      <c r="F18" s="22">
        <f t="shared" si="1"/>
        <v>8600</v>
      </c>
      <c r="G18" s="22">
        <f t="shared" si="2"/>
        <v>0</v>
      </c>
      <c r="H18" s="28"/>
      <c r="I18" s="28"/>
      <c r="J18" s="28"/>
      <c r="K18" s="28"/>
      <c r="L18" s="28"/>
      <c r="M18" s="28"/>
      <c r="N18" s="28">
        <v>109.8</v>
      </c>
      <c r="O18" s="28">
        <v>528.71</v>
      </c>
      <c r="P18" s="28"/>
      <c r="Q18" s="28">
        <v>527.73</v>
      </c>
      <c r="R18" s="28"/>
      <c r="S18" s="28">
        <v>874.43</v>
      </c>
      <c r="T18" s="28"/>
      <c r="U18" s="28"/>
      <c r="V18" s="28">
        <v>1162.3399999999999</v>
      </c>
      <c r="W18" s="28">
        <v>1847.41</v>
      </c>
      <c r="X18" s="28"/>
      <c r="Y18" s="28">
        <v>837.14</v>
      </c>
      <c r="Z18" s="28"/>
      <c r="AA18" s="28"/>
      <c r="AB18" s="28"/>
      <c r="AC18" s="28">
        <v>2712.44</v>
      </c>
      <c r="AD18" s="28"/>
      <c r="AE18" s="28"/>
      <c r="AF18" s="28"/>
      <c r="AG18" s="28"/>
      <c r="AH18" s="28"/>
    </row>
    <row r="19" spans="1:34" ht="16.5" thickBot="1" x14ac:dyDescent="0.3">
      <c r="A19" s="18" t="s">
        <v>76</v>
      </c>
      <c r="B19" s="19" t="s">
        <v>77</v>
      </c>
      <c r="C19" s="20">
        <v>4110</v>
      </c>
      <c r="D19" s="21"/>
      <c r="E19" s="22">
        <f t="shared" si="0"/>
        <v>4110</v>
      </c>
      <c r="F19" s="22">
        <f t="shared" si="1"/>
        <v>0</v>
      </c>
      <c r="G19" s="22">
        <f t="shared" si="2"/>
        <v>4110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16.5" thickBot="1" x14ac:dyDescent="0.3">
      <c r="A20" s="18" t="s">
        <v>98</v>
      </c>
      <c r="B20" s="19" t="s">
        <v>99</v>
      </c>
      <c r="C20" s="20">
        <v>90300</v>
      </c>
      <c r="D20" s="69" t="s">
        <v>540</v>
      </c>
      <c r="E20" s="22">
        <v>0</v>
      </c>
      <c r="F20" s="22">
        <f t="shared" si="1"/>
        <v>0</v>
      </c>
      <c r="G20" s="22">
        <f t="shared" si="2"/>
        <v>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16.5" thickBot="1" x14ac:dyDescent="0.3">
      <c r="A21" s="18" t="s">
        <v>110</v>
      </c>
      <c r="B21" s="19" t="s">
        <v>111</v>
      </c>
      <c r="C21" s="20">
        <v>11032</v>
      </c>
      <c r="D21" s="21"/>
      <c r="E21" s="22">
        <f t="shared" si="0"/>
        <v>11032</v>
      </c>
      <c r="F21" s="22">
        <f t="shared" si="1"/>
        <v>11032</v>
      </c>
      <c r="G21" s="22">
        <f t="shared" si="2"/>
        <v>0</v>
      </c>
      <c r="H21" s="28"/>
      <c r="I21" s="28"/>
      <c r="J21" s="28"/>
      <c r="K21" s="28"/>
      <c r="L21" s="28"/>
      <c r="M21" s="28"/>
      <c r="N21" s="28">
        <v>11032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ht="16.5" thickBot="1" x14ac:dyDescent="0.3">
      <c r="A22" s="18" t="s">
        <v>114</v>
      </c>
      <c r="B22" s="19" t="s">
        <v>115</v>
      </c>
      <c r="C22" s="20">
        <v>17380</v>
      </c>
      <c r="D22" s="21"/>
      <c r="E22" s="22">
        <f t="shared" si="0"/>
        <v>17380</v>
      </c>
      <c r="F22" s="22">
        <f t="shared" si="1"/>
        <v>17380</v>
      </c>
      <c r="G22" s="22">
        <f t="shared" si="2"/>
        <v>0</v>
      </c>
      <c r="H22" s="28"/>
      <c r="I22" s="28"/>
      <c r="J22" s="28"/>
      <c r="K22" s="28"/>
      <c r="L22" s="28"/>
      <c r="M22" s="28"/>
      <c r="N22" s="28">
        <v>17380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6.5" thickBot="1" x14ac:dyDescent="0.3">
      <c r="A23" s="18" t="s">
        <v>122</v>
      </c>
      <c r="B23" s="19" t="s">
        <v>123</v>
      </c>
      <c r="C23" s="20">
        <v>4400</v>
      </c>
      <c r="D23" s="21"/>
      <c r="E23" s="22">
        <f t="shared" si="0"/>
        <v>4400</v>
      </c>
      <c r="F23" s="22">
        <f t="shared" si="1"/>
        <v>4400</v>
      </c>
      <c r="G23" s="22">
        <f t="shared" si="2"/>
        <v>0</v>
      </c>
      <c r="H23" s="28"/>
      <c r="I23" s="28"/>
      <c r="J23" s="28"/>
      <c r="K23" s="28"/>
      <c r="L23" s="28"/>
      <c r="M23" s="28"/>
      <c r="N23" s="28"/>
      <c r="O23" s="28">
        <v>4400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ht="16.5" thickBot="1" x14ac:dyDescent="0.3">
      <c r="A24" s="18" t="s">
        <v>124</v>
      </c>
      <c r="B24" s="19" t="s">
        <v>125</v>
      </c>
      <c r="C24" s="20">
        <v>15700</v>
      </c>
      <c r="D24" s="21"/>
      <c r="E24" s="22">
        <f t="shared" si="0"/>
        <v>15700</v>
      </c>
      <c r="F24" s="22">
        <f t="shared" si="1"/>
        <v>10594.900000000001</v>
      </c>
      <c r="G24" s="22">
        <f t="shared" si="2"/>
        <v>5105.0999999999985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v>2477.17</v>
      </c>
      <c r="T24" s="28"/>
      <c r="U24" s="28">
        <v>1252.94</v>
      </c>
      <c r="V24" s="28">
        <v>303.31</v>
      </c>
      <c r="W24" s="28">
        <v>75</v>
      </c>
      <c r="X24" s="28">
        <v>488.84</v>
      </c>
      <c r="Y24" s="28">
        <v>299.26</v>
      </c>
      <c r="Z24" s="28">
        <v>189.69</v>
      </c>
      <c r="AA24" s="28">
        <f>75+181.96</f>
        <v>256.96000000000004</v>
      </c>
      <c r="AB24" s="28">
        <v>314.52</v>
      </c>
      <c r="AC24" s="28">
        <v>520.52</v>
      </c>
      <c r="AD24" s="28">
        <v>1731.04</v>
      </c>
      <c r="AE24" s="28">
        <v>572.6</v>
      </c>
      <c r="AF24" s="28"/>
      <c r="AG24" s="28"/>
      <c r="AH24" s="28">
        <v>2113.0500000000002</v>
      </c>
    </row>
    <row r="25" spans="1:34" ht="16.5" thickBot="1" x14ac:dyDescent="0.3">
      <c r="A25" s="18" t="s">
        <v>152</v>
      </c>
      <c r="B25" s="19" t="s">
        <v>153</v>
      </c>
      <c r="C25" s="20">
        <v>266459</v>
      </c>
      <c r="D25" s="21"/>
      <c r="E25" s="22">
        <f t="shared" si="0"/>
        <v>266459</v>
      </c>
      <c r="F25" s="22">
        <f t="shared" si="1"/>
        <v>232238.85</v>
      </c>
      <c r="G25" s="22">
        <f t="shared" si="2"/>
        <v>34220.149999999994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>
        <v>222653.01</v>
      </c>
      <c r="AB25" s="28">
        <v>9585.84</v>
      </c>
      <c r="AC25" s="28"/>
      <c r="AD25" s="28"/>
      <c r="AE25" s="28"/>
      <c r="AF25" s="28"/>
      <c r="AG25" s="28"/>
      <c r="AH25" s="28"/>
    </row>
    <row r="26" spans="1:34" ht="16.5" thickBot="1" x14ac:dyDescent="0.3">
      <c r="A26" s="18" t="s">
        <v>154</v>
      </c>
      <c r="B26" s="19" t="s">
        <v>155</v>
      </c>
      <c r="C26" s="20">
        <v>80687</v>
      </c>
      <c r="D26" s="21"/>
      <c r="E26" s="22">
        <f t="shared" si="0"/>
        <v>80687</v>
      </c>
      <c r="F26" s="22">
        <f t="shared" si="1"/>
        <v>80687</v>
      </c>
      <c r="G26" s="22">
        <f t="shared" si="2"/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>
        <v>77258.36</v>
      </c>
      <c r="T26" s="28"/>
      <c r="U26" s="28"/>
      <c r="V26" s="28"/>
      <c r="W26" s="28"/>
      <c r="X26" s="28">
        <v>3428.64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6.5" thickBot="1" x14ac:dyDescent="0.3">
      <c r="A27" s="18" t="s">
        <v>156</v>
      </c>
      <c r="B27" s="19" t="s">
        <v>157</v>
      </c>
      <c r="C27" s="20">
        <v>30081</v>
      </c>
      <c r="D27" s="21"/>
      <c r="E27" s="22">
        <f t="shared" si="0"/>
        <v>30081</v>
      </c>
      <c r="F27" s="22">
        <f t="shared" si="1"/>
        <v>30081</v>
      </c>
      <c r="G27" s="22">
        <f t="shared" si="2"/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>
        <v>30081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thickBot="1" x14ac:dyDescent="0.3">
      <c r="A28" s="18" t="s">
        <v>174</v>
      </c>
      <c r="B28" s="19" t="s">
        <v>175</v>
      </c>
      <c r="C28" s="20">
        <v>37800</v>
      </c>
      <c r="D28" s="21"/>
      <c r="E28" s="22">
        <f t="shared" si="0"/>
        <v>37800</v>
      </c>
      <c r="F28" s="22">
        <f t="shared" si="1"/>
        <v>37800</v>
      </c>
      <c r="G28" s="22">
        <f t="shared" si="2"/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>
        <v>9211.33</v>
      </c>
      <c r="Z28" s="28">
        <v>5433.22</v>
      </c>
      <c r="AA28" s="28"/>
      <c r="AB28" s="28">
        <v>9375.91</v>
      </c>
      <c r="AC28" s="28"/>
      <c r="AD28" s="28"/>
      <c r="AE28" s="28">
        <v>13779.54</v>
      </c>
      <c r="AF28" s="28"/>
      <c r="AG28" s="28"/>
      <c r="AH28" s="28"/>
    </row>
    <row r="29" spans="1:34" ht="16.5" thickBot="1" x14ac:dyDescent="0.3">
      <c r="A29" s="18" t="s">
        <v>176</v>
      </c>
      <c r="B29" s="19" t="s">
        <v>177</v>
      </c>
      <c r="C29" s="20">
        <v>2035</v>
      </c>
      <c r="D29" s="21"/>
      <c r="E29" s="22">
        <f t="shared" si="0"/>
        <v>2035</v>
      </c>
      <c r="F29" s="22">
        <f t="shared" si="1"/>
        <v>0</v>
      </c>
      <c r="G29" s="22">
        <f t="shared" si="2"/>
        <v>2035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ht="16.5" thickBot="1" x14ac:dyDescent="0.3">
      <c r="A30" s="18" t="s">
        <v>178</v>
      </c>
      <c r="B30" s="19" t="s">
        <v>179</v>
      </c>
      <c r="C30" s="20">
        <v>9345</v>
      </c>
      <c r="D30" s="21"/>
      <c r="E30" s="22">
        <f t="shared" si="0"/>
        <v>9345</v>
      </c>
      <c r="F30" s="22">
        <f t="shared" si="1"/>
        <v>9345</v>
      </c>
      <c r="G30" s="22">
        <f t="shared" si="2"/>
        <v>0</v>
      </c>
      <c r="H30" s="28"/>
      <c r="I30" s="28"/>
      <c r="J30" s="28"/>
      <c r="K30" s="28"/>
      <c r="L30" s="28"/>
      <c r="M30" s="28"/>
      <c r="N30" s="28"/>
      <c r="O30" s="28"/>
      <c r="P30" s="28">
        <v>9345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6.5" thickBot="1" x14ac:dyDescent="0.3">
      <c r="A31" s="18" t="s">
        <v>182</v>
      </c>
      <c r="B31" s="19" t="s">
        <v>183</v>
      </c>
      <c r="C31" s="20">
        <v>9572</v>
      </c>
      <c r="D31" s="21"/>
      <c r="E31" s="22">
        <f t="shared" si="0"/>
        <v>9572</v>
      </c>
      <c r="F31" s="22">
        <f t="shared" si="1"/>
        <v>9572</v>
      </c>
      <c r="G31" s="22">
        <f t="shared" si="2"/>
        <v>0</v>
      </c>
      <c r="H31" s="28"/>
      <c r="I31" s="28"/>
      <c r="J31" s="28"/>
      <c r="K31" s="28"/>
      <c r="L31" s="28"/>
      <c r="M31" s="28"/>
      <c r="N31" s="28"/>
      <c r="O31" s="28">
        <v>9572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6.5" thickBot="1" x14ac:dyDescent="0.3">
      <c r="A32" s="18" t="s">
        <v>186</v>
      </c>
      <c r="B32" s="19" t="s">
        <v>187</v>
      </c>
      <c r="C32" s="20">
        <v>10218</v>
      </c>
      <c r="D32" s="21"/>
      <c r="E32" s="22">
        <f t="shared" si="0"/>
        <v>10218</v>
      </c>
      <c r="F32" s="22">
        <f t="shared" si="1"/>
        <v>10218</v>
      </c>
      <c r="G32" s="22">
        <f t="shared" si="2"/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f>5860.1+4357.9</f>
        <v>10218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ht="16.5" thickBot="1" x14ac:dyDescent="0.3">
      <c r="A33" s="18" t="s">
        <v>192</v>
      </c>
      <c r="B33" s="19" t="s">
        <v>193</v>
      </c>
      <c r="C33" s="20">
        <v>17300</v>
      </c>
      <c r="D33" s="21"/>
      <c r="E33" s="22">
        <f t="shared" si="0"/>
        <v>17300</v>
      </c>
      <c r="F33" s="22">
        <f t="shared" si="1"/>
        <v>11667.2</v>
      </c>
      <c r="G33" s="22">
        <f t="shared" si="2"/>
        <v>5632.7999999999993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>
        <v>2294.2399999999998</v>
      </c>
      <c r="T33" s="28"/>
      <c r="U33" s="28"/>
      <c r="V33" s="28">
        <v>633.78</v>
      </c>
      <c r="W33" s="28"/>
      <c r="X33" s="28"/>
      <c r="Y33" s="28"/>
      <c r="Z33" s="28"/>
      <c r="AA33" s="28"/>
      <c r="AB33" s="28"/>
      <c r="AC33" s="28"/>
      <c r="AD33" s="28"/>
      <c r="AE33" s="28">
        <v>8739.18</v>
      </c>
      <c r="AF33" s="28"/>
      <c r="AG33" s="28"/>
      <c r="AH33" s="28"/>
    </row>
    <row r="34" spans="1:34" ht="16.5" thickBot="1" x14ac:dyDescent="0.3">
      <c r="A34" s="18" t="s">
        <v>194</v>
      </c>
      <c r="B34" s="19" t="s">
        <v>195</v>
      </c>
      <c r="C34" s="20">
        <v>6600</v>
      </c>
      <c r="D34" s="21"/>
      <c r="E34" s="22">
        <f t="shared" si="0"/>
        <v>6600</v>
      </c>
      <c r="F34" s="22">
        <f t="shared" si="1"/>
        <v>5910.46</v>
      </c>
      <c r="G34" s="22">
        <f t="shared" si="2"/>
        <v>689.54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>
        <v>5910.46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ht="16.5" thickBot="1" x14ac:dyDescent="0.3">
      <c r="A35" s="18" t="s">
        <v>196</v>
      </c>
      <c r="B35" s="19" t="s">
        <v>197</v>
      </c>
      <c r="C35" s="20">
        <v>32500</v>
      </c>
      <c r="D35" s="21"/>
      <c r="E35" s="22">
        <f t="shared" si="0"/>
        <v>32500</v>
      </c>
      <c r="F35" s="22">
        <f t="shared" si="1"/>
        <v>32500</v>
      </c>
      <c r="G35" s="22">
        <f t="shared" si="2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>
        <v>32500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ht="16.5" thickBot="1" x14ac:dyDescent="0.3">
      <c r="A36" s="18" t="s">
        <v>212</v>
      </c>
      <c r="B36" s="19" t="s">
        <v>213</v>
      </c>
      <c r="C36" s="20">
        <v>4425</v>
      </c>
      <c r="D36" s="21"/>
      <c r="E36" s="22">
        <f t="shared" si="0"/>
        <v>4425</v>
      </c>
      <c r="F36" s="22">
        <f t="shared" si="1"/>
        <v>4425</v>
      </c>
      <c r="G36" s="22">
        <f t="shared" si="2"/>
        <v>0</v>
      </c>
      <c r="H36" s="28"/>
      <c r="I36" s="28"/>
      <c r="J36" s="28"/>
      <c r="K36" s="28"/>
      <c r="L36" s="28"/>
      <c r="M36" s="28"/>
      <c r="N36" s="28">
        <v>4425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ht="16.5" thickBot="1" x14ac:dyDescent="0.3">
      <c r="A37" s="18" t="s">
        <v>214</v>
      </c>
      <c r="B37" s="19" t="s">
        <v>215</v>
      </c>
      <c r="C37" s="20">
        <v>23898</v>
      </c>
      <c r="D37" s="21"/>
      <c r="E37" s="22">
        <f t="shared" si="0"/>
        <v>23898</v>
      </c>
      <c r="F37" s="22">
        <f t="shared" si="1"/>
        <v>23898</v>
      </c>
      <c r="G37" s="22">
        <f t="shared" si="2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>
        <v>23898</v>
      </c>
      <c r="AH37" s="28"/>
    </row>
    <row r="38" spans="1:34" ht="16.5" thickBot="1" x14ac:dyDescent="0.3">
      <c r="A38" s="18" t="s">
        <v>220</v>
      </c>
      <c r="B38" s="19" t="s">
        <v>221</v>
      </c>
      <c r="C38" s="20">
        <v>7946</v>
      </c>
      <c r="D38" s="21"/>
      <c r="E38" s="22">
        <f t="shared" si="0"/>
        <v>7946</v>
      </c>
      <c r="F38" s="22">
        <f t="shared" si="1"/>
        <v>7896.31</v>
      </c>
      <c r="G38" s="22">
        <f t="shared" si="2"/>
        <v>49.6899999999996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>
        <v>7896.31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ht="16.5" thickBot="1" x14ac:dyDescent="0.3">
      <c r="A39" s="18" t="s">
        <v>224</v>
      </c>
      <c r="B39" s="19" t="s">
        <v>225</v>
      </c>
      <c r="C39" s="20">
        <v>774</v>
      </c>
      <c r="D39" s="21"/>
      <c r="E39" s="22">
        <f t="shared" si="0"/>
        <v>774</v>
      </c>
      <c r="F39" s="22">
        <f t="shared" si="1"/>
        <v>774</v>
      </c>
      <c r="G39" s="22">
        <f t="shared" si="2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v>774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ht="16.5" thickBot="1" x14ac:dyDescent="0.3">
      <c r="A40" s="18" t="s">
        <v>228</v>
      </c>
      <c r="B40" s="19" t="s">
        <v>229</v>
      </c>
      <c r="C40" s="20">
        <v>4902</v>
      </c>
      <c r="D40" s="21"/>
      <c r="E40" s="22">
        <f t="shared" si="0"/>
        <v>4902</v>
      </c>
      <c r="F40" s="22">
        <f t="shared" si="1"/>
        <v>4902</v>
      </c>
      <c r="G40" s="22">
        <f t="shared" si="2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>
        <v>4902</v>
      </c>
      <c r="AD40" s="28"/>
      <c r="AE40" s="28"/>
      <c r="AF40" s="28"/>
      <c r="AG40" s="28"/>
      <c r="AH40" s="28"/>
    </row>
    <row r="41" spans="1:34" ht="16.5" thickBot="1" x14ac:dyDescent="0.3">
      <c r="A41" s="18" t="s">
        <v>230</v>
      </c>
      <c r="B41" s="19" t="s">
        <v>231</v>
      </c>
      <c r="C41" s="20">
        <v>2767</v>
      </c>
      <c r="D41" s="21"/>
      <c r="E41" s="22">
        <f t="shared" si="0"/>
        <v>2767</v>
      </c>
      <c r="F41" s="22">
        <f t="shared" si="1"/>
        <v>2767</v>
      </c>
      <c r="G41" s="22">
        <f t="shared" si="2"/>
        <v>0</v>
      </c>
      <c r="H41" s="28"/>
      <c r="I41" s="28"/>
      <c r="J41" s="28"/>
      <c r="K41" s="28"/>
      <c r="L41" s="28"/>
      <c r="M41" s="28">
        <v>2767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16.5" thickBot="1" x14ac:dyDescent="0.3">
      <c r="A42" s="18" t="s">
        <v>232</v>
      </c>
      <c r="B42" s="19" t="s">
        <v>233</v>
      </c>
      <c r="C42" s="20">
        <v>14238</v>
      </c>
      <c r="D42" s="21"/>
      <c r="E42" s="22">
        <f t="shared" si="0"/>
        <v>14238</v>
      </c>
      <c r="F42" s="22">
        <f t="shared" si="1"/>
        <v>14238</v>
      </c>
      <c r="G42" s="22">
        <f t="shared" si="2"/>
        <v>0</v>
      </c>
      <c r="H42" s="28"/>
      <c r="I42" s="28"/>
      <c r="J42" s="28"/>
      <c r="K42" s="28"/>
      <c r="L42" s="28"/>
      <c r="M42" s="28"/>
      <c r="N42" s="28"/>
      <c r="O42" s="28"/>
      <c r="P42" s="28">
        <v>14238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ht="16.5" thickBot="1" x14ac:dyDescent="0.3">
      <c r="A43" s="18" t="s">
        <v>236</v>
      </c>
      <c r="B43" s="19" t="s">
        <v>237</v>
      </c>
      <c r="C43" s="20">
        <v>23764</v>
      </c>
      <c r="D43" s="21"/>
      <c r="E43" s="22">
        <f t="shared" si="0"/>
        <v>23764</v>
      </c>
      <c r="F43" s="22">
        <f t="shared" si="1"/>
        <v>23764</v>
      </c>
      <c r="G43" s="22">
        <f t="shared" si="2"/>
        <v>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23764</v>
      </c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ht="16.5" thickBot="1" x14ac:dyDescent="0.3">
      <c r="A44" s="18" t="s">
        <v>238</v>
      </c>
      <c r="B44" s="19" t="s">
        <v>239</v>
      </c>
      <c r="C44" s="20">
        <v>2331</v>
      </c>
      <c r="D44" s="21"/>
      <c r="E44" s="22">
        <f t="shared" si="0"/>
        <v>2331</v>
      </c>
      <c r="F44" s="22">
        <f t="shared" si="1"/>
        <v>2331</v>
      </c>
      <c r="G44" s="22">
        <f t="shared" si="2"/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>
        <v>2331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6.5" thickBot="1" x14ac:dyDescent="0.3">
      <c r="A45" s="18" t="s">
        <v>240</v>
      </c>
      <c r="B45" s="19" t="s">
        <v>241</v>
      </c>
      <c r="C45" s="20">
        <v>81600</v>
      </c>
      <c r="D45" s="21"/>
      <c r="E45" s="22">
        <f t="shared" si="0"/>
        <v>81600</v>
      </c>
      <c r="F45" s="22">
        <f t="shared" si="1"/>
        <v>80028.649999999994</v>
      </c>
      <c r="G45" s="22">
        <f t="shared" si="2"/>
        <v>1571.3500000000058</v>
      </c>
      <c r="H45" s="28"/>
      <c r="I45" s="28"/>
      <c r="J45" s="28"/>
      <c r="K45" s="28"/>
      <c r="L45" s="28"/>
      <c r="M45" s="28"/>
      <c r="N45" s="28">
        <v>21042.52</v>
      </c>
      <c r="O45" s="28">
        <v>5560.84</v>
      </c>
      <c r="P45" s="28">
        <v>8904.17</v>
      </c>
      <c r="Q45" s="28">
        <v>8904.17</v>
      </c>
      <c r="R45" s="28">
        <v>9105.77</v>
      </c>
      <c r="S45" s="28">
        <v>8702.57</v>
      </c>
      <c r="T45" s="28">
        <v>17808.61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16.5" thickBot="1" x14ac:dyDescent="0.3">
      <c r="A46" s="18" t="s">
        <v>246</v>
      </c>
      <c r="B46" s="19" t="s">
        <v>247</v>
      </c>
      <c r="C46" s="20">
        <v>112453</v>
      </c>
      <c r="D46" s="21"/>
      <c r="E46" s="22">
        <f t="shared" si="0"/>
        <v>112453</v>
      </c>
      <c r="F46" s="22">
        <f t="shared" si="1"/>
        <v>112453</v>
      </c>
      <c r="G46" s="22">
        <f t="shared" si="2"/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>
        <v>664.47</v>
      </c>
      <c r="V46" s="28"/>
      <c r="W46" s="28">
        <f>48654.39+7101.95</f>
        <v>55756.34</v>
      </c>
      <c r="X46" s="28">
        <v>11346.07</v>
      </c>
      <c r="Y46" s="28">
        <v>31282.53</v>
      </c>
      <c r="Z46" s="28"/>
      <c r="AA46" s="28"/>
      <c r="AB46" s="28">
        <v>13403.59</v>
      </c>
      <c r="AC46" s="28"/>
      <c r="AD46" s="28"/>
      <c r="AE46" s="28"/>
      <c r="AF46" s="28"/>
      <c r="AG46" s="28"/>
      <c r="AH46" s="28"/>
    </row>
    <row r="47" spans="1:34" ht="16.5" thickBot="1" x14ac:dyDescent="0.3">
      <c r="A47" s="18" t="s">
        <v>250</v>
      </c>
      <c r="B47" s="19" t="s">
        <v>251</v>
      </c>
      <c r="C47" s="20">
        <v>26370</v>
      </c>
      <c r="D47" s="21"/>
      <c r="E47" s="22">
        <f t="shared" si="0"/>
        <v>26370</v>
      </c>
      <c r="F47" s="22">
        <f t="shared" si="1"/>
        <v>26370</v>
      </c>
      <c r="G47" s="22">
        <f t="shared" si="2"/>
        <v>0</v>
      </c>
      <c r="H47" s="28"/>
      <c r="I47" s="28"/>
      <c r="J47" s="28"/>
      <c r="K47" s="28"/>
      <c r="L47" s="28"/>
      <c r="M47" s="28"/>
      <c r="N47" s="28"/>
      <c r="O47" s="28">
        <v>4500</v>
      </c>
      <c r="P47" s="28">
        <v>1500</v>
      </c>
      <c r="Q47" s="28"/>
      <c r="R47" s="28"/>
      <c r="S47" s="28"/>
      <c r="T47" s="28">
        <v>20370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6.5" thickBot="1" x14ac:dyDescent="0.3">
      <c r="A48" s="18" t="s">
        <v>252</v>
      </c>
      <c r="B48" s="19" t="s">
        <v>253</v>
      </c>
      <c r="C48" s="20">
        <v>13500</v>
      </c>
      <c r="D48" s="21"/>
      <c r="E48" s="22">
        <f t="shared" si="0"/>
        <v>13500</v>
      </c>
      <c r="F48" s="22">
        <f t="shared" si="1"/>
        <v>13500</v>
      </c>
      <c r="G48" s="22">
        <f t="shared" si="2"/>
        <v>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>
        <v>13500</v>
      </c>
      <c r="AB48" s="28"/>
      <c r="AC48" s="28"/>
      <c r="AD48" s="28"/>
      <c r="AE48" s="28"/>
      <c r="AF48" s="28"/>
      <c r="AG48" s="28"/>
      <c r="AH48" s="28"/>
    </row>
    <row r="49" spans="1:34" ht="16.5" thickBot="1" x14ac:dyDescent="0.3">
      <c r="A49" s="18" t="s">
        <v>254</v>
      </c>
      <c r="B49" s="19" t="s">
        <v>255</v>
      </c>
      <c r="C49" s="20">
        <v>3535</v>
      </c>
      <c r="D49" s="21"/>
      <c r="E49" s="22">
        <f t="shared" si="0"/>
        <v>3535</v>
      </c>
      <c r="F49" s="22">
        <f t="shared" si="1"/>
        <v>3535</v>
      </c>
      <c r="G49" s="22">
        <f t="shared" si="2"/>
        <v>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>
        <v>3535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ht="16.5" thickBot="1" x14ac:dyDescent="0.3">
      <c r="A50" s="18" t="s">
        <v>294</v>
      </c>
      <c r="B50" s="19" t="s">
        <v>295</v>
      </c>
      <c r="C50" s="20">
        <v>398552</v>
      </c>
      <c r="D50" s="21"/>
      <c r="E50" s="22">
        <f t="shared" si="0"/>
        <v>398552</v>
      </c>
      <c r="F50" s="22">
        <f t="shared" si="1"/>
        <v>398552.00000000006</v>
      </c>
      <c r="G50" s="22">
        <f t="shared" si="2"/>
        <v>0</v>
      </c>
      <c r="H50" s="28"/>
      <c r="I50" s="28"/>
      <c r="J50" s="28"/>
      <c r="K50" s="28"/>
      <c r="L50" s="28"/>
      <c r="M50" s="28"/>
      <c r="N50" s="28"/>
      <c r="O50" s="28"/>
      <c r="P50" s="28">
        <v>120980</v>
      </c>
      <c r="Q50" s="28">
        <v>195825.04</v>
      </c>
      <c r="R50" s="28">
        <v>15999.44</v>
      </c>
      <c r="S50" s="28">
        <v>35368.93</v>
      </c>
      <c r="T50" s="28">
        <v>6588.78</v>
      </c>
      <c r="U50" s="28">
        <v>6620.45</v>
      </c>
      <c r="V50" s="28"/>
      <c r="W50" s="28"/>
      <c r="X50" s="28"/>
      <c r="Y50" s="28">
        <v>13226.92</v>
      </c>
      <c r="Z50" s="28"/>
      <c r="AA50" s="28"/>
      <c r="AB50" s="28"/>
      <c r="AC50" s="28">
        <v>2093.42</v>
      </c>
      <c r="AD50" s="28">
        <v>1849.02</v>
      </c>
      <c r="AE50" s="28"/>
      <c r="AF50" s="28"/>
      <c r="AG50" s="28"/>
      <c r="AH50" s="28"/>
    </row>
    <row r="51" spans="1:34" ht="16.5" thickBot="1" x14ac:dyDescent="0.3">
      <c r="A51" s="18" t="s">
        <v>318</v>
      </c>
      <c r="B51" s="19" t="s">
        <v>319</v>
      </c>
      <c r="C51" s="20">
        <v>8451</v>
      </c>
      <c r="D51" s="21"/>
      <c r="E51" s="22">
        <f t="shared" si="0"/>
        <v>8451</v>
      </c>
      <c r="F51" s="22">
        <f t="shared" si="1"/>
        <v>8451</v>
      </c>
      <c r="G51" s="22">
        <f t="shared" si="2"/>
        <v>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>
        <v>8451</v>
      </c>
      <c r="AF51" s="28"/>
      <c r="AG51" s="28"/>
      <c r="AH51" s="28"/>
    </row>
    <row r="52" spans="1:34" ht="16.5" thickBot="1" x14ac:dyDescent="0.3">
      <c r="A52" s="18" t="s">
        <v>324</v>
      </c>
      <c r="B52" s="19" t="s">
        <v>325</v>
      </c>
      <c r="C52" s="20">
        <v>37363</v>
      </c>
      <c r="D52" s="21"/>
      <c r="E52" s="22">
        <f t="shared" si="0"/>
        <v>37363</v>
      </c>
      <c r="F52" s="22">
        <f t="shared" si="1"/>
        <v>37363</v>
      </c>
      <c r="G52" s="22">
        <f t="shared" si="2"/>
        <v>0</v>
      </c>
      <c r="H52" s="28"/>
      <c r="I52" s="28"/>
      <c r="J52" s="28"/>
      <c r="K52" s="28"/>
      <c r="L52" s="28"/>
      <c r="M52" s="28"/>
      <c r="N52" s="28"/>
      <c r="O52" s="28">
        <v>37363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6.5" thickBot="1" x14ac:dyDescent="0.3">
      <c r="A53" s="18" t="s">
        <v>326</v>
      </c>
      <c r="B53" s="19" t="s">
        <v>327</v>
      </c>
      <c r="C53" s="20">
        <v>4933</v>
      </c>
      <c r="D53" s="21"/>
      <c r="E53" s="22">
        <f t="shared" si="0"/>
        <v>4933</v>
      </c>
      <c r="F53" s="22">
        <f t="shared" si="1"/>
        <v>4922.07</v>
      </c>
      <c r="G53" s="22">
        <f t="shared" si="2"/>
        <v>10.930000000000291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>
        <v>4922.07</v>
      </c>
      <c r="AD53" s="28"/>
      <c r="AE53" s="28"/>
      <c r="AF53" s="28"/>
      <c r="AG53" s="28"/>
      <c r="AH53" s="28"/>
    </row>
    <row r="54" spans="1:34" ht="16.5" thickBot="1" x14ac:dyDescent="0.3">
      <c r="A54" s="18" t="s">
        <v>336</v>
      </c>
      <c r="B54" s="19" t="s">
        <v>337</v>
      </c>
      <c r="C54" s="20">
        <v>10255</v>
      </c>
      <c r="D54" s="21"/>
      <c r="E54" s="22">
        <f t="shared" si="0"/>
        <v>10255</v>
      </c>
      <c r="F54" s="22">
        <f t="shared" si="1"/>
        <v>0</v>
      </c>
      <c r="G54" s="22">
        <f t="shared" si="2"/>
        <v>10255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ht="16.5" thickBot="1" x14ac:dyDescent="0.3">
      <c r="A55" s="18" t="s">
        <v>338</v>
      </c>
      <c r="B55" s="19" t="s">
        <v>339</v>
      </c>
      <c r="C55" s="20">
        <v>7887</v>
      </c>
      <c r="D55" s="21"/>
      <c r="E55" s="22">
        <f t="shared" si="0"/>
        <v>7887</v>
      </c>
      <c r="F55" s="22">
        <f t="shared" si="1"/>
        <v>7887</v>
      </c>
      <c r="G55" s="22">
        <f t="shared" si="2"/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>
        <v>7887</v>
      </c>
    </row>
    <row r="56" spans="1:34" ht="16.5" thickBot="1" x14ac:dyDescent="0.3">
      <c r="A56" s="18" t="s">
        <v>340</v>
      </c>
      <c r="B56" s="19" t="s">
        <v>341</v>
      </c>
      <c r="C56" s="20">
        <v>17767</v>
      </c>
      <c r="D56" s="21"/>
      <c r="E56" s="22">
        <f t="shared" si="0"/>
        <v>17767</v>
      </c>
      <c r="F56" s="22">
        <f t="shared" si="1"/>
        <v>17767</v>
      </c>
      <c r="G56" s="22">
        <f t="shared" si="2"/>
        <v>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>
        <v>17767</v>
      </c>
      <c r="AG56" s="28"/>
      <c r="AH56" s="28"/>
    </row>
    <row r="57" spans="1:34" ht="16.5" thickBot="1" x14ac:dyDescent="0.3">
      <c r="A57" s="18" t="s">
        <v>342</v>
      </c>
      <c r="B57" s="19" t="s">
        <v>343</v>
      </c>
      <c r="C57" s="20">
        <v>2349</v>
      </c>
      <c r="D57" s="21"/>
      <c r="E57" s="22">
        <f t="shared" si="0"/>
        <v>2349</v>
      </c>
      <c r="F57" s="22">
        <f t="shared" si="1"/>
        <v>2349</v>
      </c>
      <c r="G57" s="22">
        <f t="shared" si="2"/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>
        <v>2349</v>
      </c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ht="16.5" thickBot="1" x14ac:dyDescent="0.3">
      <c r="A58" s="18" t="s">
        <v>356</v>
      </c>
      <c r="B58" s="19" t="s">
        <v>357</v>
      </c>
      <c r="C58" s="20">
        <v>28048</v>
      </c>
      <c r="D58" s="21"/>
      <c r="E58" s="22">
        <f t="shared" si="0"/>
        <v>28048</v>
      </c>
      <c r="F58" s="22">
        <f t="shared" si="1"/>
        <v>28048</v>
      </c>
      <c r="G58" s="22">
        <f t="shared" si="2"/>
        <v>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>
        <v>28048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ht="16.5" thickBot="1" x14ac:dyDescent="0.3">
      <c r="A59" s="18" t="s">
        <v>362</v>
      </c>
      <c r="B59" s="19" t="s">
        <v>363</v>
      </c>
      <c r="C59" s="20">
        <v>4809</v>
      </c>
      <c r="D59" s="21"/>
      <c r="E59" s="22">
        <f t="shared" si="0"/>
        <v>4809</v>
      </c>
      <c r="F59" s="22">
        <f t="shared" si="1"/>
        <v>4809</v>
      </c>
      <c r="G59" s="22">
        <f t="shared" si="2"/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>
        <v>4809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ht="16.5" thickBot="1" x14ac:dyDescent="0.3">
      <c r="A60" s="18" t="s">
        <v>364</v>
      </c>
      <c r="B60" s="19" t="s">
        <v>365</v>
      </c>
      <c r="C60" s="20">
        <v>15000</v>
      </c>
      <c r="D60" s="21"/>
      <c r="E60" s="22">
        <f t="shared" si="0"/>
        <v>15000</v>
      </c>
      <c r="F60" s="22">
        <f t="shared" si="1"/>
        <v>15000</v>
      </c>
      <c r="G60" s="22">
        <f t="shared" si="2"/>
        <v>0</v>
      </c>
      <c r="H60" s="28"/>
      <c r="I60" s="28"/>
      <c r="J60" s="28"/>
      <c r="K60" s="28"/>
      <c r="L60" s="28"/>
      <c r="M60" s="28"/>
      <c r="N60" s="28"/>
      <c r="O60" s="28"/>
      <c r="P60" s="28">
        <v>15000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ht="16.5" thickBot="1" x14ac:dyDescent="0.3">
      <c r="A61" s="18" t="s">
        <v>366</v>
      </c>
      <c r="B61" s="19" t="s">
        <v>367</v>
      </c>
      <c r="C61" s="20">
        <v>1020</v>
      </c>
      <c r="D61" s="21"/>
      <c r="E61" s="22">
        <f t="shared" si="0"/>
        <v>1020</v>
      </c>
      <c r="F61" s="22">
        <f t="shared" si="1"/>
        <v>1020</v>
      </c>
      <c r="G61" s="22">
        <f t="shared" si="2"/>
        <v>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>
        <v>1020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ht="16.5" thickBot="1" x14ac:dyDescent="0.3">
      <c r="A62" s="18" t="s">
        <v>372</v>
      </c>
      <c r="B62" s="19" t="s">
        <v>373</v>
      </c>
      <c r="C62" s="20">
        <v>594</v>
      </c>
      <c r="D62" s="21"/>
      <c r="E62" s="22">
        <f t="shared" si="0"/>
        <v>594</v>
      </c>
      <c r="F62" s="22">
        <f t="shared" si="1"/>
        <v>594</v>
      </c>
      <c r="G62" s="22">
        <f t="shared" si="2"/>
        <v>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>
        <v>594</v>
      </c>
      <c r="AF62" s="28"/>
      <c r="AG62" s="28"/>
      <c r="AH62" s="28"/>
    </row>
    <row r="63" spans="1:34" ht="16.5" thickBot="1" x14ac:dyDescent="0.3">
      <c r="A63" s="18" t="s">
        <v>374</v>
      </c>
      <c r="B63" s="19" t="s">
        <v>375</v>
      </c>
      <c r="C63" s="32">
        <v>24224</v>
      </c>
      <c r="D63" s="33"/>
      <c r="E63" s="34">
        <f t="shared" si="0"/>
        <v>24224</v>
      </c>
      <c r="F63" s="34">
        <f t="shared" si="1"/>
        <v>24224</v>
      </c>
      <c r="G63" s="34">
        <f t="shared" si="2"/>
        <v>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>
        <v>24224</v>
      </c>
    </row>
    <row r="64" spans="1:34" ht="16.5" thickBot="1" x14ac:dyDescent="0.3">
      <c r="A64" s="18"/>
      <c r="B64" s="29" t="s">
        <v>578</v>
      </c>
      <c r="C64" s="35">
        <f>SUM(C11:C63)</f>
        <v>1795480</v>
      </c>
      <c r="D64" s="30"/>
      <c r="E64" s="35">
        <f t="shared" ref="E64:G64" si="3">SUM(E11:E63)</f>
        <v>1705180</v>
      </c>
      <c r="F64" s="35">
        <f t="shared" si="3"/>
        <v>1613141.11</v>
      </c>
      <c r="G64" s="35">
        <f t="shared" si="3"/>
        <v>92038.889999999985</v>
      </c>
      <c r="H64" s="25">
        <f>SUM(H11:H63)</f>
        <v>0</v>
      </c>
      <c r="I64" s="25">
        <f t="shared" ref="I64:AH64" si="4">SUM(I11:I63)</f>
        <v>0</v>
      </c>
      <c r="J64" s="25">
        <f t="shared" si="4"/>
        <v>0</v>
      </c>
      <c r="K64" s="25">
        <f t="shared" si="4"/>
        <v>0</v>
      </c>
      <c r="L64" s="25">
        <f t="shared" si="4"/>
        <v>0</v>
      </c>
      <c r="M64" s="25">
        <f t="shared" si="4"/>
        <v>2767</v>
      </c>
      <c r="N64" s="25">
        <f t="shared" si="4"/>
        <v>53989.320000000007</v>
      </c>
      <c r="O64" s="25">
        <f t="shared" si="4"/>
        <v>61924.55</v>
      </c>
      <c r="P64" s="25">
        <f t="shared" si="4"/>
        <v>249043.66999999998</v>
      </c>
      <c r="Q64" s="25">
        <f t="shared" si="4"/>
        <v>247865.58000000002</v>
      </c>
      <c r="R64" s="25">
        <f t="shared" si="4"/>
        <v>109757.29000000001</v>
      </c>
      <c r="S64" s="25">
        <f t="shared" si="4"/>
        <v>211897.67</v>
      </c>
      <c r="T64" s="25">
        <f t="shared" si="4"/>
        <v>80065.100000000006</v>
      </c>
      <c r="U64" s="25">
        <f t="shared" si="4"/>
        <v>46515.17</v>
      </c>
      <c r="V64" s="25">
        <f t="shared" si="4"/>
        <v>2099.4299999999998</v>
      </c>
      <c r="W64" s="25">
        <f t="shared" si="4"/>
        <v>60783.75</v>
      </c>
      <c r="X64" s="25">
        <f t="shared" si="4"/>
        <v>21232.080000000002</v>
      </c>
      <c r="Y64" s="25">
        <f t="shared" si="4"/>
        <v>56107.45</v>
      </c>
      <c r="Z64" s="25">
        <f t="shared" si="4"/>
        <v>5981.56</v>
      </c>
      <c r="AA64" s="25">
        <f t="shared" si="4"/>
        <v>236471.7</v>
      </c>
      <c r="AB64" s="25">
        <f t="shared" si="4"/>
        <v>32679.86</v>
      </c>
      <c r="AC64" s="25">
        <f t="shared" si="4"/>
        <v>15150.45</v>
      </c>
      <c r="AD64" s="25">
        <f t="shared" si="4"/>
        <v>5062.76</v>
      </c>
      <c r="AE64" s="25">
        <f t="shared" si="4"/>
        <v>36157.58</v>
      </c>
      <c r="AF64" s="25">
        <f t="shared" si="4"/>
        <v>17767</v>
      </c>
      <c r="AG64" s="25">
        <f t="shared" si="4"/>
        <v>25598.09</v>
      </c>
      <c r="AH64" s="25">
        <f t="shared" si="4"/>
        <v>34224.050000000003</v>
      </c>
    </row>
    <row r="65" spans="1:34" ht="16.5" thickBot="1" x14ac:dyDescent="0.3">
      <c r="A65" s="18"/>
      <c r="B65" s="19"/>
      <c r="C65" s="20"/>
      <c r="D65" s="21"/>
      <c r="E65" s="22"/>
      <c r="F65" s="22"/>
      <c r="G65" s="3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ht="16.5" thickBot="1" x14ac:dyDescent="0.3">
      <c r="A66" s="18" t="s">
        <v>449</v>
      </c>
      <c r="B66" s="19" t="s">
        <v>410</v>
      </c>
      <c r="C66" s="20">
        <v>35000</v>
      </c>
      <c r="D66" s="21"/>
      <c r="E66" s="22">
        <f>C66</f>
        <v>35000</v>
      </c>
      <c r="F66" s="22">
        <f>SUM(H66:Y66)</f>
        <v>25851.11</v>
      </c>
      <c r="G66" s="34">
        <f t="shared" si="2"/>
        <v>9148.89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>
        <f>14154.36+11696.75</f>
        <v>25851.11</v>
      </c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ht="16.5" thickBot="1" x14ac:dyDescent="0.3">
      <c r="A67" s="18" t="s">
        <v>542</v>
      </c>
      <c r="B67" s="19" t="s">
        <v>411</v>
      </c>
      <c r="C67" s="32">
        <v>35000</v>
      </c>
      <c r="D67" s="33"/>
      <c r="E67" s="34">
        <f>C67</f>
        <v>35000</v>
      </c>
      <c r="F67" s="34"/>
      <c r="G67" s="34">
        <f t="shared" si="2"/>
        <v>35000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ht="16.5" thickBot="1" x14ac:dyDescent="0.3">
      <c r="A68" s="18"/>
      <c r="B68" s="29" t="s">
        <v>577</v>
      </c>
      <c r="C68" s="35">
        <f>SUM(C66:C67)</f>
        <v>70000</v>
      </c>
      <c r="D68" s="37"/>
      <c r="E68" s="38">
        <f>SUM(E66:E67)</f>
        <v>70000</v>
      </c>
      <c r="F68" s="38">
        <f t="shared" ref="F68" si="5">SUM(F66:F67)</f>
        <v>25851.11</v>
      </c>
      <c r="G68" s="36">
        <f t="shared" si="2"/>
        <v>44148.89</v>
      </c>
      <c r="H68" s="25">
        <f>H66+H67</f>
        <v>0</v>
      </c>
      <c r="I68" s="25">
        <f t="shared" ref="I68:AH68" si="6">I66+I67</f>
        <v>0</v>
      </c>
      <c r="J68" s="25">
        <f t="shared" si="6"/>
        <v>0</v>
      </c>
      <c r="K68" s="25">
        <f t="shared" si="6"/>
        <v>0</v>
      </c>
      <c r="L68" s="25">
        <f t="shared" si="6"/>
        <v>0</v>
      </c>
      <c r="M68" s="25">
        <f t="shared" si="6"/>
        <v>0</v>
      </c>
      <c r="N68" s="25">
        <f t="shared" si="6"/>
        <v>0</v>
      </c>
      <c r="O68" s="25">
        <f t="shared" si="6"/>
        <v>0</v>
      </c>
      <c r="P68" s="25">
        <f t="shared" si="6"/>
        <v>0</v>
      </c>
      <c r="Q68" s="25">
        <f t="shared" si="6"/>
        <v>0</v>
      </c>
      <c r="R68" s="25">
        <f t="shared" si="6"/>
        <v>0</v>
      </c>
      <c r="S68" s="25">
        <f t="shared" si="6"/>
        <v>0</v>
      </c>
      <c r="T68" s="25">
        <f t="shared" si="6"/>
        <v>0</v>
      </c>
      <c r="U68" s="25">
        <f t="shared" si="6"/>
        <v>25851.11</v>
      </c>
      <c r="V68" s="25">
        <f t="shared" si="6"/>
        <v>0</v>
      </c>
      <c r="W68" s="25">
        <f t="shared" si="6"/>
        <v>0</v>
      </c>
      <c r="X68" s="25">
        <f t="shared" si="6"/>
        <v>0</v>
      </c>
      <c r="Y68" s="25">
        <f t="shared" si="6"/>
        <v>0</v>
      </c>
      <c r="Z68" s="25">
        <f t="shared" si="6"/>
        <v>0</v>
      </c>
      <c r="AA68" s="25">
        <f t="shared" si="6"/>
        <v>0</v>
      </c>
      <c r="AB68" s="25">
        <f t="shared" si="6"/>
        <v>0</v>
      </c>
      <c r="AC68" s="25">
        <f t="shared" si="6"/>
        <v>0</v>
      </c>
      <c r="AD68" s="25">
        <f t="shared" si="6"/>
        <v>0</v>
      </c>
      <c r="AE68" s="25">
        <f t="shared" si="6"/>
        <v>0</v>
      </c>
      <c r="AF68" s="25">
        <f t="shared" si="6"/>
        <v>0</v>
      </c>
      <c r="AG68" s="25">
        <f t="shared" si="6"/>
        <v>0</v>
      </c>
      <c r="AH68" s="25">
        <f t="shared" si="6"/>
        <v>0</v>
      </c>
    </row>
    <row r="69" spans="1:34" ht="16.5" thickBot="1" x14ac:dyDescent="0.3">
      <c r="A69" s="18"/>
      <c r="B69" s="29"/>
      <c r="C69" s="35"/>
      <c r="D69" s="37"/>
      <c r="E69" s="38"/>
      <c r="F69" s="38"/>
      <c r="G69" s="34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ht="16.5" thickBot="1" x14ac:dyDescent="0.3">
      <c r="A70" s="18" t="s">
        <v>412</v>
      </c>
      <c r="B70" s="19" t="s">
        <v>413</v>
      </c>
      <c r="C70" s="30">
        <v>124529</v>
      </c>
      <c r="D70" s="37"/>
      <c r="E70" s="31">
        <f>C70</f>
        <v>124529</v>
      </c>
      <c r="F70" s="31">
        <f>SUM(H70:AJ70)</f>
        <v>124528.99999999997</v>
      </c>
      <c r="G70" s="34">
        <f t="shared" si="2"/>
        <v>0</v>
      </c>
      <c r="H70" s="28"/>
      <c r="I70" s="28"/>
      <c r="J70" s="28"/>
      <c r="K70" s="28"/>
      <c r="L70" s="28"/>
      <c r="M70" s="28"/>
      <c r="N70" s="28"/>
      <c r="O70" s="28">
        <v>41460.699999999997</v>
      </c>
      <c r="P70" s="28">
        <v>23802.92</v>
      </c>
      <c r="Q70" s="28">
        <v>26775.46</v>
      </c>
      <c r="R70" s="28">
        <v>24580.01</v>
      </c>
      <c r="S70" s="28">
        <v>6401.37</v>
      </c>
      <c r="T70" s="28">
        <v>1508.54</v>
      </c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ht="16.5" thickBot="1" x14ac:dyDescent="0.3">
      <c r="A71" s="54" t="s">
        <v>415</v>
      </c>
      <c r="B71" s="19" t="s">
        <v>416</v>
      </c>
      <c r="C71" s="30">
        <v>21456</v>
      </c>
      <c r="D71" s="37"/>
      <c r="E71" s="31">
        <f t="shared" ref="E71:E86" si="7">C71</f>
        <v>21456</v>
      </c>
      <c r="F71" s="31">
        <f t="shared" ref="F71:F86" si="8">SUM(H71:AJ71)</f>
        <v>21455.989999999998</v>
      </c>
      <c r="G71" s="34">
        <f t="shared" si="2"/>
        <v>1.0000000002037268E-2</v>
      </c>
      <c r="H71" s="28"/>
      <c r="I71" s="28"/>
      <c r="J71" s="28"/>
      <c r="K71" s="28"/>
      <c r="L71" s="28"/>
      <c r="M71" s="28"/>
      <c r="N71" s="28"/>
      <c r="O71" s="28"/>
      <c r="P71" s="28"/>
      <c r="Q71" s="28">
        <v>18978</v>
      </c>
      <c r="R71" s="28">
        <v>276.19</v>
      </c>
      <c r="S71" s="28">
        <v>2201.8000000000002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1:34" ht="16.5" thickBot="1" x14ac:dyDescent="0.3">
      <c r="A72" s="18" t="s">
        <v>417</v>
      </c>
      <c r="B72" s="19" t="s">
        <v>418</v>
      </c>
      <c r="C72" s="30">
        <v>126281</v>
      </c>
      <c r="D72" s="37"/>
      <c r="E72" s="31">
        <f t="shared" si="7"/>
        <v>126281</v>
      </c>
      <c r="F72" s="31">
        <f t="shared" si="8"/>
        <v>126281</v>
      </c>
      <c r="G72" s="34">
        <f t="shared" si="2"/>
        <v>0</v>
      </c>
      <c r="H72" s="28"/>
      <c r="I72" s="28"/>
      <c r="J72" s="28"/>
      <c r="K72" s="28"/>
      <c r="L72" s="28"/>
      <c r="M72" s="28">
        <v>31710</v>
      </c>
      <c r="N72" s="28">
        <v>8269</v>
      </c>
      <c r="O72" s="28">
        <v>14634</v>
      </c>
      <c r="P72" s="28">
        <v>20353</v>
      </c>
      <c r="Q72" s="28">
        <v>3187</v>
      </c>
      <c r="R72" s="28">
        <v>4212</v>
      </c>
      <c r="S72" s="28">
        <v>4683</v>
      </c>
      <c r="T72" s="28">
        <v>7241.61</v>
      </c>
      <c r="U72" s="28">
        <f>10986.06+1781</f>
        <v>12767.06</v>
      </c>
      <c r="V72" s="28">
        <v>1781</v>
      </c>
      <c r="W72" s="28">
        <v>1782</v>
      </c>
      <c r="X72" s="28">
        <v>1781</v>
      </c>
      <c r="Y72" s="28">
        <v>1781</v>
      </c>
      <c r="Z72" s="28">
        <v>1781</v>
      </c>
      <c r="AA72" s="28">
        <v>1780</v>
      </c>
      <c r="AB72" s="28">
        <v>1780</v>
      </c>
      <c r="AC72" s="28">
        <v>1780</v>
      </c>
      <c r="AD72" s="28">
        <v>1780</v>
      </c>
      <c r="AE72" s="28">
        <v>1611</v>
      </c>
      <c r="AF72" s="28">
        <v>1587.33</v>
      </c>
      <c r="AG72" s="28"/>
      <c r="AH72" s="28"/>
    </row>
    <row r="73" spans="1:34" ht="16.5" thickBot="1" x14ac:dyDescent="0.3">
      <c r="A73" s="54" t="s">
        <v>414</v>
      </c>
      <c r="B73" s="19" t="s">
        <v>419</v>
      </c>
      <c r="C73" s="30">
        <v>64863</v>
      </c>
      <c r="D73" s="37"/>
      <c r="E73" s="31">
        <f t="shared" si="7"/>
        <v>64863</v>
      </c>
      <c r="F73" s="31">
        <f t="shared" si="8"/>
        <v>64863</v>
      </c>
      <c r="G73" s="34">
        <f t="shared" si="2"/>
        <v>0</v>
      </c>
      <c r="H73" s="28"/>
      <c r="I73" s="28"/>
      <c r="J73" s="28"/>
      <c r="K73" s="28"/>
      <c r="L73" s="28"/>
      <c r="M73" s="28"/>
      <c r="N73" s="28"/>
      <c r="O73" s="28"/>
      <c r="P73" s="28">
        <v>31321.48</v>
      </c>
      <c r="Q73" s="28"/>
      <c r="R73" s="28"/>
      <c r="S73" s="28"/>
      <c r="T73" s="28"/>
      <c r="U73" s="28">
        <v>17552.099999999999</v>
      </c>
      <c r="V73" s="28"/>
      <c r="W73" s="28">
        <f>3000+7387.7</f>
        <v>10387.700000000001</v>
      </c>
      <c r="X73" s="28">
        <v>3230</v>
      </c>
      <c r="Y73" s="28">
        <v>391.5</v>
      </c>
      <c r="Z73" s="28"/>
      <c r="AA73" s="28">
        <v>454.35</v>
      </c>
      <c r="AB73" s="28">
        <v>517.29999999999995</v>
      </c>
      <c r="AC73" s="28"/>
      <c r="AD73" s="28">
        <v>1008.57</v>
      </c>
      <c r="AE73" s="28"/>
      <c r="AF73" s="28"/>
      <c r="AG73" s="28"/>
      <c r="AH73" s="28"/>
    </row>
    <row r="74" spans="1:34" ht="16.5" thickBot="1" x14ac:dyDescent="0.3">
      <c r="A74" s="18" t="s">
        <v>420</v>
      </c>
      <c r="B74" s="19" t="s">
        <v>421</v>
      </c>
      <c r="C74" s="30">
        <v>4332</v>
      </c>
      <c r="D74" s="37"/>
      <c r="E74" s="31">
        <f t="shared" si="7"/>
        <v>4332</v>
      </c>
      <c r="F74" s="31">
        <f t="shared" si="8"/>
        <v>1511</v>
      </c>
      <c r="G74" s="34">
        <f t="shared" si="2"/>
        <v>2821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>
        <v>1511</v>
      </c>
      <c r="AF74" s="28"/>
      <c r="AG74" s="28"/>
      <c r="AH74" s="28"/>
    </row>
    <row r="75" spans="1:34" ht="16.5" thickBot="1" x14ac:dyDescent="0.3">
      <c r="A75" s="18" t="s">
        <v>422</v>
      </c>
      <c r="B75" s="19" t="s">
        <v>423</v>
      </c>
      <c r="C75" s="30">
        <v>45596</v>
      </c>
      <c r="D75" s="37"/>
      <c r="E75" s="31">
        <f t="shared" si="7"/>
        <v>45596</v>
      </c>
      <c r="F75" s="31">
        <f t="shared" si="8"/>
        <v>45596</v>
      </c>
      <c r="G75" s="34">
        <f t="shared" si="2"/>
        <v>0</v>
      </c>
      <c r="H75" s="28"/>
      <c r="I75" s="28"/>
      <c r="J75" s="28"/>
      <c r="K75" s="28"/>
      <c r="L75" s="28"/>
      <c r="M75" s="28"/>
      <c r="N75" s="28"/>
      <c r="O75" s="28"/>
      <c r="P75" s="28">
        <v>28859.759999999998</v>
      </c>
      <c r="Q75" s="28"/>
      <c r="R75" s="28"/>
      <c r="S75" s="28"/>
      <c r="T75" s="28"/>
      <c r="U75" s="28"/>
      <c r="V75" s="28">
        <f>2843.12+3880.3</f>
        <v>6723.42</v>
      </c>
      <c r="W75" s="28"/>
      <c r="X75" s="28"/>
      <c r="Y75" s="28"/>
      <c r="Z75" s="28"/>
      <c r="AA75" s="28"/>
      <c r="AB75" s="28"/>
      <c r="AC75" s="28">
        <v>10012.82</v>
      </c>
      <c r="AD75" s="28"/>
      <c r="AE75" s="28"/>
      <c r="AF75" s="28"/>
      <c r="AG75" s="28"/>
      <c r="AH75" s="28"/>
    </row>
    <row r="76" spans="1:34" ht="16.5" thickBot="1" x14ac:dyDescent="0.3">
      <c r="A76" s="18" t="s">
        <v>424</v>
      </c>
      <c r="B76" s="19" t="s">
        <v>425</v>
      </c>
      <c r="C76" s="30">
        <v>43402</v>
      </c>
      <c r="D76" s="37"/>
      <c r="E76" s="31">
        <f t="shared" si="7"/>
        <v>43402</v>
      </c>
      <c r="F76" s="31">
        <f t="shared" si="8"/>
        <v>43402</v>
      </c>
      <c r="G76" s="34">
        <f t="shared" ref="G76:G86" si="9">E76-(F76+AL76+AM76)</f>
        <v>0</v>
      </c>
      <c r="H76" s="28"/>
      <c r="I76" s="28"/>
      <c r="J76" s="28"/>
      <c r="K76" s="28"/>
      <c r="L76" s="28"/>
      <c r="M76" s="28"/>
      <c r="N76" s="28"/>
      <c r="O76" s="28">
        <v>150</v>
      </c>
      <c r="P76" s="28">
        <v>5595.83</v>
      </c>
      <c r="Q76" s="28">
        <v>3791.99</v>
      </c>
      <c r="R76" s="28"/>
      <c r="S76" s="28">
        <v>24692.03</v>
      </c>
      <c r="T76" s="28"/>
      <c r="U76" s="28">
        <v>9172.15</v>
      </c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ht="16.5" thickBot="1" x14ac:dyDescent="0.3">
      <c r="A77" s="18" t="s">
        <v>426</v>
      </c>
      <c r="B77" s="19" t="s">
        <v>427</v>
      </c>
      <c r="C77" s="30">
        <v>13000</v>
      </c>
      <c r="D77" s="37"/>
      <c r="E77" s="31">
        <f t="shared" si="7"/>
        <v>13000</v>
      </c>
      <c r="F77" s="31">
        <f t="shared" si="8"/>
        <v>0</v>
      </c>
      <c r="G77" s="34">
        <f t="shared" si="9"/>
        <v>13000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ht="16.5" thickBot="1" x14ac:dyDescent="0.3">
      <c r="A78" s="18" t="s">
        <v>428</v>
      </c>
      <c r="B78" s="19" t="s">
        <v>429</v>
      </c>
      <c r="C78" s="30">
        <v>14300</v>
      </c>
      <c r="D78" s="37"/>
      <c r="E78" s="31">
        <f t="shared" si="7"/>
        <v>14300</v>
      </c>
      <c r="F78" s="31">
        <f t="shared" si="8"/>
        <v>14300</v>
      </c>
      <c r="G78" s="34">
        <f t="shared" si="9"/>
        <v>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>
        <v>14300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ht="16.5" thickBot="1" x14ac:dyDescent="0.3">
      <c r="A79" s="18" t="s">
        <v>430</v>
      </c>
      <c r="B79" s="19" t="s">
        <v>431</v>
      </c>
      <c r="C79" s="30">
        <v>49434</v>
      </c>
      <c r="D79" s="37"/>
      <c r="E79" s="31">
        <f t="shared" si="7"/>
        <v>49434</v>
      </c>
      <c r="F79" s="31">
        <f t="shared" si="8"/>
        <v>49434</v>
      </c>
      <c r="G79" s="34">
        <f t="shared" si="9"/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>
        <f>49058.68+375.32</f>
        <v>49434</v>
      </c>
      <c r="AF79" s="28"/>
      <c r="AG79" s="28"/>
      <c r="AH79" s="28"/>
    </row>
    <row r="80" spans="1:34" ht="16.5" thickBot="1" x14ac:dyDescent="0.3">
      <c r="A80" s="18" t="s">
        <v>432</v>
      </c>
      <c r="B80" s="19" t="s">
        <v>433</v>
      </c>
      <c r="C80" s="30">
        <v>55200</v>
      </c>
      <c r="D80" s="37"/>
      <c r="E80" s="31">
        <f t="shared" si="7"/>
        <v>55200</v>
      </c>
      <c r="F80" s="31">
        <f t="shared" si="8"/>
        <v>26006.66</v>
      </c>
      <c r="G80" s="34">
        <f t="shared" si="9"/>
        <v>29193.34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>
        <v>26006.66</v>
      </c>
      <c r="AA80" s="28"/>
      <c r="AB80" s="28"/>
      <c r="AC80" s="28"/>
      <c r="AD80" s="28"/>
      <c r="AE80" s="28"/>
      <c r="AF80" s="28"/>
      <c r="AG80" s="28"/>
      <c r="AH80" s="28"/>
    </row>
    <row r="81" spans="1:34" ht="16.5" thickBot="1" x14ac:dyDescent="0.3">
      <c r="A81" s="18" t="s">
        <v>434</v>
      </c>
      <c r="B81" s="19" t="s">
        <v>435</v>
      </c>
      <c r="C81" s="30">
        <v>27317</v>
      </c>
      <c r="D81" s="37"/>
      <c r="E81" s="31">
        <f t="shared" si="7"/>
        <v>27317</v>
      </c>
      <c r="F81" s="31">
        <f t="shared" si="8"/>
        <v>27317</v>
      </c>
      <c r="G81" s="34">
        <f t="shared" si="9"/>
        <v>0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>
        <v>2541</v>
      </c>
      <c r="S81" s="28">
        <v>1583</v>
      </c>
      <c r="T81" s="28">
        <f>2155+1784.8+325</f>
        <v>4264.8</v>
      </c>
      <c r="U81" s="28"/>
      <c r="V81" s="28"/>
      <c r="W81" s="28"/>
      <c r="X81" s="28">
        <f>1720+6487.2</f>
        <v>8207.2000000000007</v>
      </c>
      <c r="Y81" s="28"/>
      <c r="Z81" s="28"/>
      <c r="AA81" s="28"/>
      <c r="AB81" s="28"/>
      <c r="AC81" s="28"/>
      <c r="AD81" s="28">
        <v>10721</v>
      </c>
      <c r="AE81" s="28"/>
      <c r="AF81" s="28"/>
      <c r="AG81" s="28"/>
      <c r="AH81" s="28"/>
    </row>
    <row r="82" spans="1:34" ht="16.5" thickBot="1" x14ac:dyDescent="0.3">
      <c r="A82" s="18" t="s">
        <v>436</v>
      </c>
      <c r="B82" s="19" t="s">
        <v>437</v>
      </c>
      <c r="C82" s="30">
        <v>10248</v>
      </c>
      <c r="D82" s="37"/>
      <c r="E82" s="31">
        <f t="shared" si="7"/>
        <v>10248</v>
      </c>
      <c r="F82" s="31">
        <f t="shared" si="8"/>
        <v>10248</v>
      </c>
      <c r="G82" s="34">
        <f t="shared" si="9"/>
        <v>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>
        <v>10248</v>
      </c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34" ht="16.5" thickBot="1" x14ac:dyDescent="0.3">
      <c r="A83" s="18" t="s">
        <v>438</v>
      </c>
      <c r="B83" s="19" t="s">
        <v>439</v>
      </c>
      <c r="C83" s="30">
        <v>36668</v>
      </c>
      <c r="D83" s="37"/>
      <c r="E83" s="31">
        <f t="shared" si="7"/>
        <v>36668</v>
      </c>
      <c r="F83" s="31">
        <f t="shared" si="8"/>
        <v>36668</v>
      </c>
      <c r="G83" s="34">
        <f t="shared" si="9"/>
        <v>0</v>
      </c>
      <c r="H83" s="28"/>
      <c r="I83" s="28"/>
      <c r="J83" s="28"/>
      <c r="K83" s="28"/>
      <c r="L83" s="28"/>
      <c r="M83" s="28"/>
      <c r="N83" s="28"/>
      <c r="O83" s="28">
        <v>36668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6.5" thickBot="1" x14ac:dyDescent="0.3">
      <c r="A84" s="18" t="s">
        <v>440</v>
      </c>
      <c r="B84" s="19" t="s">
        <v>441</v>
      </c>
      <c r="C84" s="20">
        <v>3743</v>
      </c>
      <c r="D84" s="21"/>
      <c r="E84" s="31">
        <f t="shared" si="7"/>
        <v>3743</v>
      </c>
      <c r="F84" s="31">
        <f t="shared" si="8"/>
        <v>3743</v>
      </c>
      <c r="G84" s="34">
        <f t="shared" si="9"/>
        <v>0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>
        <v>3743</v>
      </c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1:34" ht="16.5" thickBot="1" x14ac:dyDescent="0.3">
      <c r="A85" s="18" t="s">
        <v>442</v>
      </c>
      <c r="B85" s="19" t="s">
        <v>443</v>
      </c>
      <c r="C85" s="20">
        <v>19219</v>
      </c>
      <c r="D85" s="21"/>
      <c r="E85" s="31">
        <f t="shared" si="7"/>
        <v>19219</v>
      </c>
      <c r="F85" s="31">
        <f t="shared" si="8"/>
        <v>19219</v>
      </c>
      <c r="G85" s="34">
        <f t="shared" si="9"/>
        <v>0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>
        <v>1708</v>
      </c>
      <c r="U85" s="28"/>
      <c r="V85" s="28"/>
      <c r="W85" s="28"/>
      <c r="X85" s="28">
        <v>687.5</v>
      </c>
      <c r="Y85" s="28">
        <v>625</v>
      </c>
      <c r="Z85" s="28"/>
      <c r="AA85" s="28"/>
      <c r="AB85" s="28"/>
      <c r="AC85" s="28">
        <v>5281.25</v>
      </c>
      <c r="AD85" s="28">
        <v>1875</v>
      </c>
      <c r="AE85" s="28"/>
      <c r="AF85" s="28">
        <v>3968.75</v>
      </c>
      <c r="AG85" s="28"/>
      <c r="AH85" s="28">
        <v>5073.5</v>
      </c>
    </row>
    <row r="86" spans="1:34" ht="16.5" thickBot="1" x14ac:dyDescent="0.3">
      <c r="A86" s="18" t="s">
        <v>444</v>
      </c>
      <c r="B86" s="19" t="s">
        <v>445</v>
      </c>
      <c r="C86" s="32">
        <v>88932</v>
      </c>
      <c r="D86" s="33"/>
      <c r="E86" s="34">
        <f t="shared" si="7"/>
        <v>88932</v>
      </c>
      <c r="F86" s="31">
        <f t="shared" si="8"/>
        <v>88932</v>
      </c>
      <c r="G86" s="34">
        <f t="shared" si="9"/>
        <v>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>
        <v>19336.3</v>
      </c>
      <c r="V86" s="28"/>
      <c r="W86" s="28"/>
      <c r="X86" s="28"/>
      <c r="Y86" s="28"/>
      <c r="Z86" s="28"/>
      <c r="AA86" s="28"/>
      <c r="AB86" s="28"/>
      <c r="AC86" s="28"/>
      <c r="AD86" s="28"/>
      <c r="AE86" s="28">
        <v>69595.7</v>
      </c>
      <c r="AF86" s="28"/>
      <c r="AG86" s="28"/>
      <c r="AH86" s="28"/>
    </row>
    <row r="87" spans="1:34" ht="16.5" thickBot="1" x14ac:dyDescent="0.3">
      <c r="A87" s="18"/>
      <c r="B87" s="29" t="s">
        <v>576</v>
      </c>
      <c r="C87" s="35">
        <f>SUM(C70:C86)</f>
        <v>748520</v>
      </c>
      <c r="D87" s="35"/>
      <c r="E87" s="35">
        <f t="shared" ref="E87:G87" si="10">SUM(E70:E86)</f>
        <v>748520</v>
      </c>
      <c r="F87" s="38">
        <f>SUM(F70:F86)</f>
        <v>703505.64999999991</v>
      </c>
      <c r="G87" s="35">
        <f t="shared" si="10"/>
        <v>45014.350000000006</v>
      </c>
      <c r="H87" s="25">
        <f>SUM(H70:H86)</f>
        <v>0</v>
      </c>
      <c r="I87" s="25">
        <f t="shared" ref="I87:AH87" si="11">SUM(I70:I86)</f>
        <v>0</v>
      </c>
      <c r="J87" s="25">
        <f t="shared" si="11"/>
        <v>0</v>
      </c>
      <c r="K87" s="25">
        <f t="shared" si="11"/>
        <v>0</v>
      </c>
      <c r="L87" s="25">
        <f t="shared" si="11"/>
        <v>0</v>
      </c>
      <c r="M87" s="25">
        <f t="shared" si="11"/>
        <v>31710</v>
      </c>
      <c r="N87" s="25">
        <f t="shared" si="11"/>
        <v>8269</v>
      </c>
      <c r="O87" s="25">
        <f t="shared" si="11"/>
        <v>92912.7</v>
      </c>
      <c r="P87" s="25">
        <f t="shared" si="11"/>
        <v>109932.98999999999</v>
      </c>
      <c r="Q87" s="25">
        <f t="shared" si="11"/>
        <v>52732.45</v>
      </c>
      <c r="R87" s="25">
        <f t="shared" si="11"/>
        <v>31609.199999999997</v>
      </c>
      <c r="S87" s="25">
        <f t="shared" si="11"/>
        <v>39561.199999999997</v>
      </c>
      <c r="T87" s="25">
        <f t="shared" si="11"/>
        <v>18465.95</v>
      </c>
      <c r="U87" s="25">
        <f t="shared" si="11"/>
        <v>58827.61</v>
      </c>
      <c r="V87" s="25">
        <f t="shared" si="11"/>
        <v>8504.42</v>
      </c>
      <c r="W87" s="25">
        <f t="shared" si="11"/>
        <v>26469.7</v>
      </c>
      <c r="X87" s="25">
        <f t="shared" si="11"/>
        <v>24153.7</v>
      </c>
      <c r="Y87" s="25">
        <f t="shared" si="11"/>
        <v>2797.5</v>
      </c>
      <c r="Z87" s="25">
        <f t="shared" si="11"/>
        <v>27787.66</v>
      </c>
      <c r="AA87" s="25">
        <f t="shared" si="11"/>
        <v>2234.35</v>
      </c>
      <c r="AB87" s="25">
        <f t="shared" si="11"/>
        <v>2297.3000000000002</v>
      </c>
      <c r="AC87" s="25">
        <f t="shared" si="11"/>
        <v>17074.07</v>
      </c>
      <c r="AD87" s="25">
        <f t="shared" si="11"/>
        <v>15384.57</v>
      </c>
      <c r="AE87" s="25">
        <f t="shared" si="11"/>
        <v>122151.7</v>
      </c>
      <c r="AF87" s="25">
        <f t="shared" si="11"/>
        <v>5556.08</v>
      </c>
      <c r="AG87" s="25">
        <f t="shared" si="11"/>
        <v>0</v>
      </c>
      <c r="AH87" s="25">
        <f t="shared" si="11"/>
        <v>5073.5</v>
      </c>
    </row>
    <row r="88" spans="1:34" ht="16.5" thickBot="1" x14ac:dyDescent="0.3">
      <c r="A88" s="18"/>
      <c r="B88" s="19"/>
      <c r="C88" s="35"/>
      <c r="D88" s="35"/>
      <c r="E88" s="35"/>
      <c r="F88" s="38"/>
      <c r="G88" s="35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1:34" ht="16.5" thickBot="1" x14ac:dyDescent="0.3">
      <c r="A89" s="18"/>
      <c r="B89" s="57" t="s">
        <v>544</v>
      </c>
      <c r="C89" s="59">
        <v>6000</v>
      </c>
      <c r="D89" s="68" t="s">
        <v>540</v>
      </c>
      <c r="E89" s="30">
        <v>0</v>
      </c>
      <c r="F89" s="31">
        <f>SUM(H89:AH89)</f>
        <v>0</v>
      </c>
      <c r="G89" s="30">
        <f>E89-(F89+AL89+AM89)</f>
        <v>0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1:34" ht="16.5" thickBot="1" x14ac:dyDescent="0.3">
      <c r="A90" s="54" t="s">
        <v>604</v>
      </c>
      <c r="B90" s="57" t="s">
        <v>545</v>
      </c>
      <c r="C90" s="59">
        <v>78000</v>
      </c>
      <c r="D90" s="68"/>
      <c r="E90" s="30">
        <f t="shared" ref="E90:E119" si="12">C90</f>
        <v>78000</v>
      </c>
      <c r="F90" s="31">
        <f t="shared" ref="F90:F119" si="13">SUM(H90:AH90)</f>
        <v>74106.52</v>
      </c>
      <c r="G90" s="30">
        <f t="shared" ref="G90:G119" si="14">E90-(F90+AL90+AM90)</f>
        <v>3893.4799999999959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67"/>
      <c r="Y90" s="67">
        <v>74106.52</v>
      </c>
      <c r="Z90" s="28"/>
      <c r="AA90" s="67"/>
      <c r="AB90" s="28"/>
      <c r="AC90" s="28"/>
      <c r="AD90" s="28"/>
      <c r="AE90" s="28"/>
      <c r="AF90" s="28"/>
      <c r="AG90" s="28"/>
      <c r="AH90" s="28"/>
    </row>
    <row r="91" spans="1:34" ht="16.5" thickBot="1" x14ac:dyDescent="0.3">
      <c r="A91" s="54" t="s">
        <v>580</v>
      </c>
      <c r="B91" s="57" t="s">
        <v>567</v>
      </c>
      <c r="C91" s="59">
        <v>10800</v>
      </c>
      <c r="D91" s="68"/>
      <c r="E91" s="30">
        <f t="shared" si="12"/>
        <v>10800</v>
      </c>
      <c r="F91" s="31">
        <f t="shared" si="13"/>
        <v>9313.67</v>
      </c>
      <c r="G91" s="30">
        <f t="shared" si="14"/>
        <v>1486.33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67">
        <v>9313.67</v>
      </c>
      <c r="Y91" s="67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ht="16.5" thickBot="1" x14ac:dyDescent="0.3">
      <c r="A92" s="18"/>
      <c r="B92" s="57" t="s">
        <v>546</v>
      </c>
      <c r="C92" s="59">
        <v>6600</v>
      </c>
      <c r="D92" s="68" t="s">
        <v>540</v>
      </c>
      <c r="E92" s="30">
        <v>0</v>
      </c>
      <c r="F92" s="31">
        <f t="shared" si="13"/>
        <v>0</v>
      </c>
      <c r="G92" s="30">
        <f t="shared" si="14"/>
        <v>0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34" ht="16.5" thickBot="1" x14ac:dyDescent="0.3">
      <c r="A93" s="54" t="s">
        <v>585</v>
      </c>
      <c r="B93" s="57" t="s">
        <v>547</v>
      </c>
      <c r="C93" s="59">
        <v>9000</v>
      </c>
      <c r="D93" s="68"/>
      <c r="E93" s="30">
        <f t="shared" si="12"/>
        <v>9000</v>
      </c>
      <c r="F93" s="31">
        <f t="shared" si="13"/>
        <v>6675.2</v>
      </c>
      <c r="G93" s="30">
        <f t="shared" si="14"/>
        <v>2324.8000000000002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28"/>
      <c r="AA93" s="28"/>
      <c r="AB93" s="28"/>
      <c r="AC93" s="28"/>
      <c r="AD93" s="28"/>
      <c r="AE93" s="28"/>
      <c r="AF93" s="28"/>
      <c r="AG93">
        <f>6093.86+581.34</f>
        <v>6675.2</v>
      </c>
      <c r="AH93" s="28"/>
    </row>
    <row r="94" spans="1:34" ht="16.5" thickBot="1" x14ac:dyDescent="0.3">
      <c r="A94" s="54" t="s">
        <v>581</v>
      </c>
      <c r="B94" s="57" t="s">
        <v>568</v>
      </c>
      <c r="C94" s="59">
        <v>11400</v>
      </c>
      <c r="D94" s="68"/>
      <c r="E94" s="30">
        <f t="shared" si="12"/>
        <v>11400</v>
      </c>
      <c r="F94" s="31">
        <f t="shared" si="13"/>
        <v>0</v>
      </c>
      <c r="G94" s="30">
        <f t="shared" si="14"/>
        <v>11400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1:34" ht="16.5" thickBot="1" x14ac:dyDescent="0.3">
      <c r="A95" s="54" t="s">
        <v>596</v>
      </c>
      <c r="B95" s="57" t="s">
        <v>569</v>
      </c>
      <c r="C95" s="59">
        <v>20400</v>
      </c>
      <c r="D95" s="68"/>
      <c r="E95" s="30">
        <f t="shared" si="12"/>
        <v>20400</v>
      </c>
      <c r="F95" s="31">
        <f t="shared" si="13"/>
        <v>20400</v>
      </c>
      <c r="G95" s="30">
        <f t="shared" si="14"/>
        <v>0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28"/>
      <c r="AA95" s="28"/>
      <c r="AB95" s="28"/>
      <c r="AC95" s="28"/>
      <c r="AD95" s="28"/>
      <c r="AE95" s="28"/>
      <c r="AF95" s="28">
        <v>20400</v>
      </c>
      <c r="AG95" s="28"/>
      <c r="AH95" s="28"/>
    </row>
    <row r="96" spans="1:34" ht="16.5" thickBot="1" x14ac:dyDescent="0.3">
      <c r="A96" s="54" t="s">
        <v>588</v>
      </c>
      <c r="B96" s="57" t="s">
        <v>548</v>
      </c>
      <c r="C96" s="59">
        <v>25200</v>
      </c>
      <c r="D96" s="68"/>
      <c r="E96" s="30">
        <f t="shared" si="12"/>
        <v>25200</v>
      </c>
      <c r="F96" s="31">
        <f t="shared" si="13"/>
        <v>11565</v>
      </c>
      <c r="G96" s="30">
        <f t="shared" si="14"/>
        <v>13635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28"/>
      <c r="AA96" s="28"/>
      <c r="AB96" s="28">
        <v>11565</v>
      </c>
      <c r="AC96" s="28"/>
      <c r="AD96" s="28"/>
      <c r="AE96" s="28"/>
      <c r="AF96" s="28"/>
      <c r="AG96" s="28"/>
      <c r="AH96" s="28"/>
    </row>
    <row r="97" spans="1:34" ht="16.5" thickBot="1" x14ac:dyDescent="0.3">
      <c r="A97" s="54" t="s">
        <v>589</v>
      </c>
      <c r="B97" s="57" t="s">
        <v>549</v>
      </c>
      <c r="C97" s="59">
        <v>7800</v>
      </c>
      <c r="D97" s="68"/>
      <c r="E97" s="30">
        <f t="shared" si="12"/>
        <v>7800</v>
      </c>
      <c r="F97" s="31">
        <f t="shared" si="13"/>
        <v>0</v>
      </c>
      <c r="G97" s="30">
        <f t="shared" si="14"/>
        <v>7800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1:34" ht="16.5" thickBot="1" x14ac:dyDescent="0.3">
      <c r="A98" s="54" t="s">
        <v>590</v>
      </c>
      <c r="B98" s="57" t="s">
        <v>550</v>
      </c>
      <c r="C98" s="59">
        <v>27600</v>
      </c>
      <c r="D98" s="68"/>
      <c r="E98" s="30">
        <f t="shared" si="12"/>
        <v>27600</v>
      </c>
      <c r="F98" s="31">
        <f t="shared" si="13"/>
        <v>16793.7</v>
      </c>
      <c r="G98" s="30">
        <f t="shared" si="14"/>
        <v>10806.3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28"/>
      <c r="AA98" s="28"/>
      <c r="AB98" s="28"/>
      <c r="AC98" s="28"/>
      <c r="AD98" s="28"/>
      <c r="AE98" s="28"/>
      <c r="AF98" s="28"/>
      <c r="AG98" s="28"/>
      <c r="AH98" s="28">
        <v>16793.7</v>
      </c>
    </row>
    <row r="99" spans="1:34" ht="16.5" thickBot="1" x14ac:dyDescent="0.3">
      <c r="A99" s="54" t="s">
        <v>582</v>
      </c>
      <c r="B99" s="57" t="s">
        <v>570</v>
      </c>
      <c r="C99" s="59">
        <v>33600</v>
      </c>
      <c r="D99" s="68"/>
      <c r="E99" s="30">
        <f t="shared" si="12"/>
        <v>33600</v>
      </c>
      <c r="F99" s="31">
        <f t="shared" si="13"/>
        <v>33600</v>
      </c>
      <c r="G99" s="30">
        <f t="shared" si="14"/>
        <v>0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67">
        <v>33600</v>
      </c>
      <c r="Y99" s="56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1:34" ht="16.5" thickBot="1" x14ac:dyDescent="0.3">
      <c r="A100" s="54" t="s">
        <v>591</v>
      </c>
      <c r="B100" s="57" t="s">
        <v>551</v>
      </c>
      <c r="C100" s="59">
        <v>18000</v>
      </c>
      <c r="D100" s="68"/>
      <c r="E100" s="30">
        <f t="shared" si="12"/>
        <v>18000</v>
      </c>
      <c r="F100" s="31">
        <f t="shared" si="13"/>
        <v>18000</v>
      </c>
      <c r="G100" s="30">
        <f t="shared" si="14"/>
        <v>0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28"/>
      <c r="AA100" s="28"/>
      <c r="AB100" s="28"/>
      <c r="AC100" s="28"/>
      <c r="AD100" s="28"/>
      <c r="AE100" s="28">
        <v>16200</v>
      </c>
      <c r="AF100" s="28"/>
      <c r="AG100" s="28"/>
      <c r="AH100" s="28">
        <v>1800</v>
      </c>
    </row>
    <row r="101" spans="1:34" ht="16.5" thickBot="1" x14ac:dyDescent="0.3">
      <c r="A101" s="54" t="s">
        <v>602</v>
      </c>
      <c r="B101" s="57" t="s">
        <v>571</v>
      </c>
      <c r="C101" s="59">
        <v>4200</v>
      </c>
      <c r="D101" s="68"/>
      <c r="E101" s="30">
        <f t="shared" si="12"/>
        <v>4200</v>
      </c>
      <c r="F101" s="31">
        <f t="shared" si="13"/>
        <v>4200</v>
      </c>
      <c r="G101" s="30">
        <f t="shared" si="14"/>
        <v>0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28"/>
      <c r="AA101" s="28"/>
      <c r="AB101" s="28"/>
      <c r="AC101" s="28"/>
      <c r="AD101" s="28"/>
      <c r="AE101" s="28"/>
      <c r="AF101" s="28"/>
      <c r="AG101" s="28"/>
      <c r="AH101" s="28">
        <v>4200</v>
      </c>
    </row>
    <row r="102" spans="1:34" ht="16.5" thickBot="1" x14ac:dyDescent="0.3">
      <c r="A102" s="54" t="s">
        <v>584</v>
      </c>
      <c r="B102" s="57" t="s">
        <v>552</v>
      </c>
      <c r="C102" s="59">
        <v>19200</v>
      </c>
      <c r="D102" s="68"/>
      <c r="E102" s="30">
        <f t="shared" si="12"/>
        <v>19200</v>
      </c>
      <c r="F102" s="31">
        <f t="shared" si="13"/>
        <v>0</v>
      </c>
      <c r="G102" s="30">
        <f t="shared" si="14"/>
        <v>19200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1:34" ht="16.5" thickBot="1" x14ac:dyDescent="0.3">
      <c r="A103" s="54" t="s">
        <v>592</v>
      </c>
      <c r="B103" s="57" t="s">
        <v>553</v>
      </c>
      <c r="C103" s="59">
        <v>33600</v>
      </c>
      <c r="D103" s="68"/>
      <c r="E103" s="30">
        <f t="shared" si="12"/>
        <v>33600</v>
      </c>
      <c r="F103" s="31">
        <f t="shared" si="13"/>
        <v>33600</v>
      </c>
      <c r="G103" s="30">
        <f t="shared" si="14"/>
        <v>0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67">
        <v>33600</v>
      </c>
      <c r="X103" s="56"/>
      <c r="Y103" s="56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1:34" ht="16.5" thickBot="1" x14ac:dyDescent="0.3">
      <c r="A104" s="18"/>
      <c r="B104" s="57" t="s">
        <v>554</v>
      </c>
      <c r="C104" s="59">
        <v>8400</v>
      </c>
      <c r="D104" s="68" t="s">
        <v>540</v>
      </c>
      <c r="E104" s="30">
        <v>0</v>
      </c>
      <c r="F104" s="31">
        <f t="shared" si="13"/>
        <v>0</v>
      </c>
      <c r="G104" s="30">
        <f t="shared" si="14"/>
        <v>0</v>
      </c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16.5" thickBot="1" x14ac:dyDescent="0.3">
      <c r="A105" s="54" t="s">
        <v>593</v>
      </c>
      <c r="B105" s="57" t="s">
        <v>555</v>
      </c>
      <c r="C105" s="59">
        <v>13200</v>
      </c>
      <c r="D105" s="68"/>
      <c r="E105" s="30">
        <f t="shared" si="12"/>
        <v>13200</v>
      </c>
      <c r="F105" s="31">
        <f t="shared" si="13"/>
        <v>13200</v>
      </c>
      <c r="G105" s="30">
        <f t="shared" si="14"/>
        <v>0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67">
        <v>13200</v>
      </c>
      <c r="Y105" s="56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6.5" thickBot="1" x14ac:dyDescent="0.3">
      <c r="A106" s="54" t="s">
        <v>594</v>
      </c>
      <c r="B106" s="57" t="s">
        <v>556</v>
      </c>
      <c r="C106" s="59">
        <v>32400</v>
      </c>
      <c r="D106" s="68"/>
      <c r="E106" s="30">
        <f t="shared" si="12"/>
        <v>32400</v>
      </c>
      <c r="F106" s="31">
        <f t="shared" si="13"/>
        <v>32400</v>
      </c>
      <c r="G106" s="30">
        <f t="shared" si="14"/>
        <v>0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67">
        <f>22500+9900</f>
        <v>32400</v>
      </c>
      <c r="Y106" s="56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6.5" thickBot="1" x14ac:dyDescent="0.3">
      <c r="A107" s="54" t="s">
        <v>605</v>
      </c>
      <c r="B107" s="57" t="s">
        <v>557</v>
      </c>
      <c r="C107" s="59">
        <v>3600</v>
      </c>
      <c r="D107" s="68"/>
      <c r="E107" s="30">
        <f t="shared" si="12"/>
        <v>3600</v>
      </c>
      <c r="F107" s="31">
        <f t="shared" si="13"/>
        <v>0</v>
      </c>
      <c r="G107" s="30">
        <f t="shared" si="14"/>
        <v>3600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1:34" ht="16.5" thickBot="1" x14ac:dyDescent="0.3">
      <c r="A108" s="54" t="s">
        <v>595</v>
      </c>
      <c r="B108" s="57" t="s">
        <v>558</v>
      </c>
      <c r="C108" s="59">
        <v>9600</v>
      </c>
      <c r="D108" s="68"/>
      <c r="E108" s="30">
        <f t="shared" si="12"/>
        <v>9600</v>
      </c>
      <c r="F108" s="31">
        <f t="shared" si="13"/>
        <v>9599.9500000000007</v>
      </c>
      <c r="G108" s="30">
        <f t="shared" si="14"/>
        <v>4.9999999999272404E-2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28"/>
      <c r="AA108" s="28"/>
      <c r="AB108" s="28"/>
      <c r="AC108" s="28"/>
      <c r="AD108" s="28"/>
      <c r="AE108" s="28"/>
      <c r="AF108" s="28"/>
      <c r="AG108" s="28"/>
      <c r="AH108" s="28">
        <v>9599.9500000000007</v>
      </c>
    </row>
    <row r="109" spans="1:34" ht="16.5" thickBot="1" x14ac:dyDescent="0.3">
      <c r="A109" s="18"/>
      <c r="B109" s="57" t="s">
        <v>559</v>
      </c>
      <c r="C109" s="59">
        <v>15000</v>
      </c>
      <c r="D109" s="68" t="s">
        <v>540</v>
      </c>
      <c r="E109" s="30">
        <v>0</v>
      </c>
      <c r="F109" s="31">
        <f t="shared" si="13"/>
        <v>0</v>
      </c>
      <c r="G109" s="30">
        <f t="shared" si="14"/>
        <v>0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6.5" thickBot="1" x14ac:dyDescent="0.3">
      <c r="A110" s="54" t="s">
        <v>597</v>
      </c>
      <c r="B110" s="57" t="s">
        <v>560</v>
      </c>
      <c r="C110" s="59">
        <v>36000</v>
      </c>
      <c r="D110" s="68"/>
      <c r="E110" s="30">
        <f t="shared" si="12"/>
        <v>36000</v>
      </c>
      <c r="F110" s="31">
        <f t="shared" si="13"/>
        <v>36000</v>
      </c>
      <c r="G110" s="30">
        <f t="shared" si="14"/>
        <v>0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67">
        <v>23294.959999999999</v>
      </c>
      <c r="V110" s="67">
        <f>8156.87+1750</f>
        <v>9906.869999999999</v>
      </c>
      <c r="W110" s="56"/>
      <c r="X110" s="56"/>
      <c r="Y110" s="56"/>
      <c r="Z110" s="28"/>
      <c r="AA110" s="28"/>
      <c r="AB110" s="28"/>
      <c r="AC110" s="28"/>
      <c r="AD110" s="28"/>
      <c r="AE110" s="28"/>
      <c r="AF110" s="28"/>
      <c r="AG110" s="28"/>
      <c r="AH110" s="28">
        <v>2798.17</v>
      </c>
    </row>
    <row r="111" spans="1:34" ht="16.5" thickBot="1" x14ac:dyDescent="0.3">
      <c r="A111" s="54" t="s">
        <v>599</v>
      </c>
      <c r="B111" s="57" t="s">
        <v>572</v>
      </c>
      <c r="C111" s="59">
        <v>30600</v>
      </c>
      <c r="D111" s="68"/>
      <c r="E111" s="30">
        <f t="shared" si="12"/>
        <v>30600</v>
      </c>
      <c r="F111" s="31">
        <f t="shared" si="13"/>
        <v>0</v>
      </c>
      <c r="G111" s="30">
        <f t="shared" si="14"/>
        <v>30600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6.5" thickBot="1" x14ac:dyDescent="0.3">
      <c r="A112" s="54" t="s">
        <v>600</v>
      </c>
      <c r="B112" s="57" t="s">
        <v>573</v>
      </c>
      <c r="C112" s="59">
        <v>27000</v>
      </c>
      <c r="D112" s="68"/>
      <c r="E112" s="30">
        <f t="shared" si="12"/>
        <v>27000</v>
      </c>
      <c r="F112" s="31">
        <f t="shared" si="13"/>
        <v>27000</v>
      </c>
      <c r="G112" s="30">
        <f t="shared" si="14"/>
        <v>0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28"/>
      <c r="AA112" s="28"/>
      <c r="AB112" s="28"/>
      <c r="AC112" s="28"/>
      <c r="AD112" s="28"/>
      <c r="AE112" s="28">
        <v>27000</v>
      </c>
      <c r="AF112" s="28"/>
      <c r="AG112" s="28"/>
      <c r="AH112" s="28"/>
    </row>
    <row r="113" spans="1:34" ht="16.5" thickBot="1" x14ac:dyDescent="0.3">
      <c r="A113" s="54" t="s">
        <v>598</v>
      </c>
      <c r="B113" s="57" t="s">
        <v>561</v>
      </c>
      <c r="C113" s="59">
        <v>32400</v>
      </c>
      <c r="D113" s="68"/>
      <c r="E113" s="30">
        <f t="shared" si="12"/>
        <v>32400</v>
      </c>
      <c r="F113" s="31">
        <f t="shared" si="13"/>
        <v>32400</v>
      </c>
      <c r="G113" s="30">
        <f t="shared" si="14"/>
        <v>0</v>
      </c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28"/>
      <c r="AA113" s="28"/>
      <c r="AB113" s="28"/>
      <c r="AC113" s="28"/>
      <c r="AD113" s="28"/>
      <c r="AE113" s="28"/>
      <c r="AF113" s="28">
        <v>32400</v>
      </c>
      <c r="AG113" s="28"/>
      <c r="AH113" s="28"/>
    </row>
    <row r="114" spans="1:34" ht="16.5" thickBot="1" x14ac:dyDescent="0.3">
      <c r="A114" s="54" t="s">
        <v>603</v>
      </c>
      <c r="B114" s="57" t="s">
        <v>562</v>
      </c>
      <c r="C114" s="59">
        <v>38400</v>
      </c>
      <c r="D114" s="68"/>
      <c r="E114" s="30">
        <f t="shared" si="12"/>
        <v>38400</v>
      </c>
      <c r="F114" s="31">
        <f t="shared" si="13"/>
        <v>38400</v>
      </c>
      <c r="G114" s="30">
        <f t="shared" si="14"/>
        <v>0</v>
      </c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28">
        <v>29920</v>
      </c>
      <c r="AA114" s="28"/>
      <c r="AB114" s="28"/>
      <c r="AC114" s="28"/>
      <c r="AD114" s="28"/>
      <c r="AE114" s="28">
        <v>8480</v>
      </c>
      <c r="AF114" s="28"/>
      <c r="AG114" s="28"/>
      <c r="AH114" s="28"/>
    </row>
    <row r="115" spans="1:34" ht="16.5" thickBot="1" x14ac:dyDescent="0.3">
      <c r="A115" s="54" t="s">
        <v>586</v>
      </c>
      <c r="B115" s="57" t="s">
        <v>563</v>
      </c>
      <c r="C115" s="59">
        <v>10800</v>
      </c>
      <c r="D115" s="68"/>
      <c r="E115" s="30">
        <f t="shared" si="12"/>
        <v>10800</v>
      </c>
      <c r="F115" s="31">
        <f t="shared" si="13"/>
        <v>0</v>
      </c>
      <c r="G115" s="30">
        <f t="shared" si="14"/>
        <v>10800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6.5" thickBot="1" x14ac:dyDescent="0.3">
      <c r="A116" s="54" t="s">
        <v>587</v>
      </c>
      <c r="B116" s="57" t="s">
        <v>564</v>
      </c>
      <c r="C116" s="59">
        <v>5400</v>
      </c>
      <c r="D116" s="68"/>
      <c r="E116" s="30">
        <f t="shared" si="12"/>
        <v>5400</v>
      </c>
      <c r="F116" s="31">
        <f t="shared" si="13"/>
        <v>0</v>
      </c>
      <c r="G116" s="30">
        <f t="shared" si="14"/>
        <v>5400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16.5" thickBot="1" x14ac:dyDescent="0.3">
      <c r="A117" s="18"/>
      <c r="B117" s="57" t="s">
        <v>565</v>
      </c>
      <c r="C117" s="59">
        <v>2400</v>
      </c>
      <c r="D117" s="68" t="s">
        <v>540</v>
      </c>
      <c r="E117" s="30">
        <v>0</v>
      </c>
      <c r="F117" s="31">
        <f t="shared" si="13"/>
        <v>0</v>
      </c>
      <c r="G117" s="30">
        <f t="shared" si="14"/>
        <v>0</v>
      </c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6.5" thickBot="1" x14ac:dyDescent="0.3">
      <c r="A118" s="54" t="s">
        <v>583</v>
      </c>
      <c r="B118" s="60" t="s">
        <v>574</v>
      </c>
      <c r="C118" s="59">
        <v>4200</v>
      </c>
      <c r="D118" s="35"/>
      <c r="E118" s="30">
        <f t="shared" si="12"/>
        <v>4200</v>
      </c>
      <c r="F118" s="31">
        <f t="shared" si="13"/>
        <v>0</v>
      </c>
      <c r="G118" s="30">
        <f t="shared" si="14"/>
        <v>4200</v>
      </c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6.5" thickBot="1" x14ac:dyDescent="0.3">
      <c r="A119" s="54" t="s">
        <v>601</v>
      </c>
      <c r="B119" s="58" t="s">
        <v>566</v>
      </c>
      <c r="C119" s="61">
        <v>3600</v>
      </c>
      <c r="D119" s="62"/>
      <c r="E119" s="63">
        <f t="shared" si="12"/>
        <v>3600</v>
      </c>
      <c r="F119" s="34">
        <f t="shared" si="13"/>
        <v>0</v>
      </c>
      <c r="G119" s="32">
        <f t="shared" si="14"/>
        <v>3600</v>
      </c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1:34" ht="16.5" thickBot="1" x14ac:dyDescent="0.3">
      <c r="A120" s="18"/>
      <c r="B120" s="29" t="s">
        <v>575</v>
      </c>
      <c r="C120" s="35">
        <f>SUM(C89:C119)</f>
        <v>584400</v>
      </c>
      <c r="D120" s="64"/>
      <c r="E120" s="65">
        <f t="shared" ref="E120:G120" si="15">SUM(E89:E119)</f>
        <v>546000</v>
      </c>
      <c r="F120" s="65">
        <f t="shared" si="15"/>
        <v>417254.04</v>
      </c>
      <c r="G120" s="65">
        <f t="shared" si="15"/>
        <v>128745.96</v>
      </c>
      <c r="H120" s="65">
        <f t="shared" ref="H120" si="16">SUM(H89:H119)</f>
        <v>0</v>
      </c>
      <c r="I120" s="65">
        <f t="shared" ref="I120" si="17">SUM(I89:I119)</f>
        <v>0</v>
      </c>
      <c r="J120" s="65">
        <f t="shared" ref="J120" si="18">SUM(J89:J119)</f>
        <v>0</v>
      </c>
      <c r="K120" s="65">
        <f t="shared" ref="K120" si="19">SUM(K89:K119)</f>
        <v>0</v>
      </c>
      <c r="L120" s="65">
        <f t="shared" ref="L120" si="20">SUM(L89:L119)</f>
        <v>0</v>
      </c>
      <c r="M120" s="65">
        <f t="shared" ref="M120" si="21">SUM(M89:M119)</f>
        <v>0</v>
      </c>
      <c r="N120" s="65">
        <f t="shared" ref="N120" si="22">SUM(N89:N119)</f>
        <v>0</v>
      </c>
      <c r="O120" s="65">
        <f t="shared" ref="O120" si="23">SUM(O89:O119)</f>
        <v>0</v>
      </c>
      <c r="P120" s="65">
        <f t="shared" ref="P120" si="24">SUM(P89:P119)</f>
        <v>0</v>
      </c>
      <c r="Q120" s="65">
        <f t="shared" ref="Q120" si="25">SUM(Q89:Q119)</f>
        <v>0</v>
      </c>
      <c r="R120" s="65">
        <f t="shared" ref="R120" si="26">SUM(R89:R119)</f>
        <v>0</v>
      </c>
      <c r="S120" s="65">
        <f t="shared" ref="S120" si="27">SUM(S89:S119)</f>
        <v>0</v>
      </c>
      <c r="T120" s="65">
        <f t="shared" ref="T120" si="28">SUM(T89:T119)</f>
        <v>0</v>
      </c>
      <c r="U120" s="65">
        <f t="shared" ref="U120" si="29">SUM(U89:U119)</f>
        <v>23294.959999999999</v>
      </c>
      <c r="V120" s="65">
        <f t="shared" ref="V120" si="30">SUM(V89:V119)</f>
        <v>9906.869999999999</v>
      </c>
      <c r="W120" s="65">
        <f t="shared" ref="W120:AH120" si="31">SUM(W89:W119)</f>
        <v>33600</v>
      </c>
      <c r="X120" s="65">
        <f t="shared" si="31"/>
        <v>88513.67</v>
      </c>
      <c r="Y120" s="65">
        <f t="shared" si="31"/>
        <v>74106.52</v>
      </c>
      <c r="Z120" s="65">
        <f t="shared" si="31"/>
        <v>29920</v>
      </c>
      <c r="AA120" s="65">
        <f t="shared" si="31"/>
        <v>0</v>
      </c>
      <c r="AB120" s="65">
        <f t="shared" si="31"/>
        <v>11565</v>
      </c>
      <c r="AC120" s="65">
        <f t="shared" si="31"/>
        <v>0</v>
      </c>
      <c r="AD120" s="65">
        <f t="shared" si="31"/>
        <v>0</v>
      </c>
      <c r="AE120" s="65">
        <f t="shared" si="31"/>
        <v>51680</v>
      </c>
      <c r="AF120" s="65">
        <f t="shared" si="31"/>
        <v>52800</v>
      </c>
      <c r="AG120" s="65">
        <f t="shared" si="31"/>
        <v>6675.2</v>
      </c>
      <c r="AH120" s="65">
        <f t="shared" si="31"/>
        <v>35191.82</v>
      </c>
    </row>
    <row r="121" spans="1:34" ht="16.5" thickBot="1" x14ac:dyDescent="0.3">
      <c r="A121" s="1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6.5" thickBot="1" x14ac:dyDescent="0.3">
      <c r="A122" s="18"/>
      <c r="B122" s="29" t="s">
        <v>579</v>
      </c>
      <c r="C122" s="66">
        <f>C64+C68+C87+C120</f>
        <v>3198400</v>
      </c>
      <c r="D122" s="66"/>
      <c r="E122" s="66">
        <f t="shared" ref="E122:AH122" si="32">E64+E68+E87+E120</f>
        <v>3069700</v>
      </c>
      <c r="F122" s="66">
        <f t="shared" si="32"/>
        <v>2759751.91</v>
      </c>
      <c r="G122" s="66">
        <f t="shared" si="32"/>
        <v>309948.08999999997</v>
      </c>
      <c r="H122" s="66">
        <f t="shared" si="32"/>
        <v>0</v>
      </c>
      <c r="I122" s="66">
        <f t="shared" si="32"/>
        <v>0</v>
      </c>
      <c r="J122" s="66">
        <f t="shared" si="32"/>
        <v>0</v>
      </c>
      <c r="K122" s="66">
        <f t="shared" si="32"/>
        <v>0</v>
      </c>
      <c r="L122" s="66">
        <f t="shared" si="32"/>
        <v>0</v>
      </c>
      <c r="M122" s="66">
        <f t="shared" si="32"/>
        <v>34477</v>
      </c>
      <c r="N122" s="66">
        <f t="shared" si="32"/>
        <v>62258.320000000007</v>
      </c>
      <c r="O122" s="66">
        <f t="shared" si="32"/>
        <v>154837.25</v>
      </c>
      <c r="P122" s="66">
        <f t="shared" si="32"/>
        <v>358976.66</v>
      </c>
      <c r="Q122" s="66">
        <f t="shared" si="32"/>
        <v>300598.03000000003</v>
      </c>
      <c r="R122" s="66">
        <f t="shared" si="32"/>
        <v>141366.49</v>
      </c>
      <c r="S122" s="66">
        <f t="shared" si="32"/>
        <v>251458.87</v>
      </c>
      <c r="T122" s="66">
        <f t="shared" si="32"/>
        <v>98531.05</v>
      </c>
      <c r="U122" s="66">
        <f t="shared" si="32"/>
        <v>154488.85</v>
      </c>
      <c r="V122" s="66">
        <f t="shared" si="32"/>
        <v>20510.72</v>
      </c>
      <c r="W122" s="66">
        <f t="shared" si="32"/>
        <v>120853.45</v>
      </c>
      <c r="X122" s="66">
        <f t="shared" si="32"/>
        <v>133899.45000000001</v>
      </c>
      <c r="Y122" s="66">
        <f t="shared" si="32"/>
        <v>133011.47</v>
      </c>
      <c r="Z122" s="66">
        <f t="shared" si="32"/>
        <v>63689.22</v>
      </c>
      <c r="AA122" s="66">
        <f t="shared" si="32"/>
        <v>238706.05000000002</v>
      </c>
      <c r="AB122" s="66">
        <f t="shared" si="32"/>
        <v>46542.16</v>
      </c>
      <c r="AC122" s="66">
        <f t="shared" si="32"/>
        <v>32224.52</v>
      </c>
      <c r="AD122" s="66">
        <f t="shared" si="32"/>
        <v>20447.330000000002</v>
      </c>
      <c r="AE122" s="66">
        <f t="shared" si="32"/>
        <v>209989.28</v>
      </c>
      <c r="AF122" s="66">
        <f t="shared" si="32"/>
        <v>76123.08</v>
      </c>
      <c r="AG122" s="66">
        <f t="shared" si="32"/>
        <v>32273.29</v>
      </c>
      <c r="AH122" s="66">
        <f t="shared" si="32"/>
        <v>74489.37</v>
      </c>
    </row>
    <row r="123" spans="1:34" ht="15.75" x14ac:dyDescent="0.25"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5.75" x14ac:dyDescent="0.25"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</row>
    <row r="125" spans="1:34" ht="15.75" x14ac:dyDescent="0.25"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</row>
    <row r="126" spans="1:34" ht="15.75" x14ac:dyDescent="0.25"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1:34" ht="15.75" x14ac:dyDescent="0.25"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1:34" ht="15.75" x14ac:dyDescent="0.25"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</row>
    <row r="129" spans="8:34" ht="15.75" x14ac:dyDescent="0.25"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</row>
    <row r="130" spans="8:34" ht="15.75" x14ac:dyDescent="0.25"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</row>
  </sheetData>
  <sheetProtection algorithmName="SHA-512" hashValue="MBr3D3RNBIli/c53B5AIEMZk2t0aVyn/doi4pOt0sAYplSUL1CqLXdjiKqTUkl2ZP8b3h/zJd2pZIGZpmQyhWQ==" saltValue="s5kzVGb4naGFm4YDPFYI+Q==" spinCount="100000" sheet="1" objects="1" scenarios="1"/>
  <phoneticPr fontId="1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ESSER I Funding (4425)</vt:lpstr>
      <vt:lpstr>Supplemental ESSER (5425)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Kaleda, Steven</dc:creator>
  <cp:lastModifiedBy>Kaleda, Steven</cp:lastModifiedBy>
  <cp:lastPrinted>2021-03-11T18:35:14Z</cp:lastPrinted>
  <dcterms:created xsi:type="dcterms:W3CDTF">2020-05-08T16:44:59Z</dcterms:created>
  <dcterms:modified xsi:type="dcterms:W3CDTF">2022-09-27T15:05:43Z</dcterms:modified>
</cp:coreProperties>
</file>