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_Payments\Disrtibution Sheets\Competitive Distribution\"/>
    </mc:Choice>
  </mc:AlternateContent>
  <bookViews>
    <workbookView xWindow="4848" yWindow="8268" windowWidth="11340" windowHeight="1176" tabRatio="963" activeTab="12"/>
  </bookViews>
  <sheets>
    <sheet name="21ST C7" sheetId="124" r:id="rId1"/>
    <sheet name="ABSTINENCE" sheetId="116" r:id="rId2"/>
    <sheet name="AEFLA " sheetId="93" r:id="rId3"/>
    <sheet name=" AWARE" sheetId="105" r:id="rId4"/>
    <sheet name="DB CENTERS" sheetId="122" r:id="rId5"/>
    <sheet name="IEL-CIVICS " sheetId="94" r:id="rId6"/>
    <sheet name=" JAVITS R4R" sheetId="120" r:id="rId7"/>
    <sheet name=" JAVITS R4R Y042" sheetId="107" r:id="rId8"/>
    <sheet name="MCKINNEY VENTO" sheetId="108" r:id="rId9"/>
    <sheet name="MSIX" sheetId="99" r:id="rId10"/>
    <sheet name="MTSS " sheetId="113" r:id="rId11"/>
    <sheet name="RTTT EARLY LEARNING" sheetId="102" r:id="rId12"/>
    <sheet name="TITLE IC MIGRANT" sheetId="118" r:id="rId13"/>
    <sheet name="TITLE II B MSP" sheetId="95" r:id="rId14"/>
    <sheet name="TITLE V CHARTER 44xC " sheetId="121" r:id="rId15"/>
    <sheet name="TITLE V CHARTER 58xC" sheetId="115" r:id="rId16"/>
    <sheet name="TITLE VI R ED" sheetId="117" r:id="rId17"/>
  </sheets>
  <definedNames>
    <definedName name="_xlnm._FilterDatabase" localSheetId="0" hidden="1">'21ST C7'!$A$8:$AL$8</definedName>
    <definedName name="_xlnm._FilterDatabase" localSheetId="14" hidden="1">'TITLE V CHARTER 44xC '!$A$8:$AJ$8</definedName>
    <definedName name="_xlnm.Print_Area" localSheetId="11">'RTTT EARLY LEARNING'!$A$8:$G$26</definedName>
  </definedNames>
  <calcPr calcId="152511"/>
</workbook>
</file>

<file path=xl/calcChain.xml><?xml version="1.0" encoding="utf-8"?>
<calcChain xmlns="http://schemas.openxmlformats.org/spreadsheetml/2006/main">
  <c r="X26" i="113" l="1"/>
  <c r="AB36" i="113"/>
  <c r="H24" i="124" l="1"/>
  <c r="H32" i="124" s="1"/>
  <c r="AA41" i="113" l="1"/>
  <c r="H23" i="124" l="1"/>
  <c r="F10" i="120"/>
  <c r="F33" i="93" l="1"/>
  <c r="X10" i="124"/>
  <c r="E41" i="113" l="1"/>
  <c r="S41" i="113" l="1"/>
  <c r="U10" i="120" l="1"/>
  <c r="G11" i="120" l="1"/>
  <c r="G12" i="120"/>
  <c r="G13" i="120"/>
  <c r="E9" i="120"/>
  <c r="E18" i="93" l="1"/>
  <c r="F18" i="93"/>
  <c r="G18" i="93"/>
  <c r="AL32" i="124" l="1"/>
  <c r="AK32" i="124"/>
  <c r="AJ32" i="124"/>
  <c r="AI32" i="124"/>
  <c r="AH32" i="124"/>
  <c r="AG32" i="124"/>
  <c r="AF32" i="124"/>
  <c r="AE32" i="124"/>
  <c r="AD32" i="124"/>
  <c r="AC32" i="124"/>
  <c r="AB32" i="124"/>
  <c r="AA32" i="124"/>
  <c r="Z32" i="124"/>
  <c r="Y32" i="124"/>
  <c r="X32" i="124"/>
  <c r="W32" i="124"/>
  <c r="S32" i="124"/>
  <c r="L32" i="124"/>
  <c r="K32" i="124"/>
  <c r="J32" i="124"/>
  <c r="F32" i="124"/>
  <c r="E32" i="124"/>
  <c r="P30" i="124"/>
  <c r="O30" i="124"/>
  <c r="H30" i="124" s="1"/>
  <c r="M30" i="124"/>
  <c r="G30" i="124"/>
  <c r="M29" i="124"/>
  <c r="H29" i="124"/>
  <c r="G29" i="124"/>
  <c r="V28" i="124"/>
  <c r="V32" i="124" s="1"/>
  <c r="T28" i="124"/>
  <c r="R28" i="124"/>
  <c r="H28" i="124" s="1"/>
  <c r="I28" i="124" s="1"/>
  <c r="G28" i="124"/>
  <c r="R27" i="124"/>
  <c r="R32" i="124" s="1"/>
  <c r="M27" i="124"/>
  <c r="H27" i="124" s="1"/>
  <c r="G27" i="124"/>
  <c r="M26" i="124"/>
  <c r="M32" i="124" s="1"/>
  <c r="G26" i="124"/>
  <c r="P25" i="124"/>
  <c r="H25" i="124" s="1"/>
  <c r="G25" i="124"/>
  <c r="H12" i="124"/>
  <c r="G12" i="124"/>
  <c r="I12" i="124" s="1"/>
  <c r="H20" i="124"/>
  <c r="I20" i="124" s="1"/>
  <c r="G20" i="124"/>
  <c r="N22" i="124"/>
  <c r="H22" i="124"/>
  <c r="G22" i="124"/>
  <c r="N19" i="124"/>
  <c r="H19" i="124"/>
  <c r="G19" i="124"/>
  <c r="N11" i="124"/>
  <c r="H11" i="124"/>
  <c r="G11" i="124"/>
  <c r="U23" i="124"/>
  <c r="S23" i="124"/>
  <c r="I23" i="124" s="1"/>
  <c r="G23" i="124"/>
  <c r="U21" i="124"/>
  <c r="H21" i="124" s="1"/>
  <c r="G21" i="124"/>
  <c r="U18" i="124"/>
  <c r="H18" i="124" s="1"/>
  <c r="I18" i="124" s="1"/>
  <c r="G18" i="124"/>
  <c r="U14" i="124"/>
  <c r="H14" i="124" s="1"/>
  <c r="G14" i="124"/>
  <c r="I24" i="124"/>
  <c r="G24" i="124"/>
  <c r="H17" i="124"/>
  <c r="G17" i="124"/>
  <c r="I17" i="124" s="1"/>
  <c r="H16" i="124"/>
  <c r="G16" i="124"/>
  <c r="H13" i="124"/>
  <c r="G13" i="124"/>
  <c r="H9" i="124"/>
  <c r="G9" i="124"/>
  <c r="U15" i="124"/>
  <c r="U32" i="124" s="1"/>
  <c r="T15" i="124"/>
  <c r="T32" i="124" s="1"/>
  <c r="Q15" i="124"/>
  <c r="Q32" i="124" s="1"/>
  <c r="N15" i="124"/>
  <c r="N32" i="124" s="1"/>
  <c r="G15" i="124"/>
  <c r="H10" i="124"/>
  <c r="G10" i="124"/>
  <c r="AF2" i="124"/>
  <c r="Y2" i="124"/>
  <c r="R2" i="124"/>
  <c r="L2" i="124"/>
  <c r="AF1" i="124"/>
  <c r="Y1" i="124"/>
  <c r="R1" i="124"/>
  <c r="L1" i="124"/>
  <c r="I22" i="124" l="1"/>
  <c r="I13" i="124"/>
  <c r="I21" i="124"/>
  <c r="I25" i="124"/>
  <c r="I27" i="124"/>
  <c r="I14" i="124"/>
  <c r="I19" i="124"/>
  <c r="I9" i="124"/>
  <c r="I16" i="124"/>
  <c r="I11" i="124"/>
  <c r="I29" i="124"/>
  <c r="I10" i="124"/>
  <c r="I30" i="124"/>
  <c r="G32" i="124"/>
  <c r="O32" i="124"/>
  <c r="H15" i="124"/>
  <c r="I15" i="124" s="1"/>
  <c r="P32" i="124"/>
  <c r="H26" i="124"/>
  <c r="I26" i="124" s="1"/>
  <c r="I32" i="124" l="1"/>
  <c r="U9" i="105" l="1"/>
  <c r="T9" i="105"/>
  <c r="Y11" i="95" l="1"/>
  <c r="F9" i="94" l="1"/>
  <c r="F29" i="93" l="1"/>
  <c r="G29" i="93" s="1"/>
  <c r="G31" i="121" l="1"/>
  <c r="S31" i="121"/>
  <c r="H31" i="121" s="1"/>
  <c r="I31" i="121" s="1"/>
  <c r="X13" i="95" l="1"/>
  <c r="X9" i="95"/>
  <c r="H35" i="121" l="1"/>
  <c r="H36" i="121"/>
  <c r="H30" i="121"/>
  <c r="H33" i="121"/>
  <c r="K39" i="121"/>
  <c r="F26" i="93" l="1"/>
  <c r="G26" i="93" s="1"/>
  <c r="V13" i="118" l="1"/>
  <c r="I35" i="121" l="1"/>
  <c r="G35" i="121"/>
  <c r="G36" i="121"/>
  <c r="I36" i="121"/>
  <c r="V23" i="121"/>
  <c r="V13" i="94"/>
  <c r="S34" i="121" l="1"/>
  <c r="H34" i="121" s="1"/>
  <c r="D15" i="120" l="1"/>
  <c r="C15" i="120"/>
  <c r="N11" i="93"/>
  <c r="P9" i="93" l="1"/>
  <c r="AG41" i="113" l="1"/>
  <c r="AF41" i="113"/>
  <c r="AE41" i="113"/>
  <c r="AD41" i="113"/>
  <c r="AC41" i="113"/>
  <c r="AB41" i="113"/>
  <c r="Z41" i="113"/>
  <c r="Y41" i="113"/>
  <c r="X41" i="113"/>
  <c r="W41" i="113"/>
  <c r="V41" i="113"/>
  <c r="U41" i="113"/>
  <c r="T41" i="113"/>
  <c r="R41" i="113"/>
  <c r="Q41" i="113"/>
  <c r="O41" i="113"/>
  <c r="N41" i="113"/>
  <c r="M41" i="113"/>
  <c r="L41" i="113"/>
  <c r="K41" i="113"/>
  <c r="J41" i="113"/>
  <c r="I41" i="113"/>
  <c r="H41" i="113"/>
  <c r="F40" i="113"/>
  <c r="G40" i="113" s="1"/>
  <c r="E40" i="113"/>
  <c r="C41" i="113"/>
  <c r="F34" i="113"/>
  <c r="G34" i="113" s="1"/>
  <c r="E34" i="113"/>
  <c r="F32" i="113"/>
  <c r="G32" i="113" s="1"/>
  <c r="E32" i="113"/>
  <c r="F30" i="113"/>
  <c r="G30" i="113" s="1"/>
  <c r="E30" i="113"/>
  <c r="F27" i="113"/>
  <c r="G27" i="113" s="1"/>
  <c r="F24" i="113"/>
  <c r="G24" i="113" s="1"/>
  <c r="E24" i="113"/>
  <c r="F23" i="113"/>
  <c r="G23" i="113" s="1"/>
  <c r="E23" i="113"/>
  <c r="F26" i="113"/>
  <c r="G26" i="113" s="1"/>
  <c r="F10" i="113"/>
  <c r="G10" i="113" s="1"/>
  <c r="O15" i="120"/>
  <c r="T20" i="121" l="1"/>
  <c r="U18" i="121"/>
  <c r="U11" i="108"/>
  <c r="T25" i="93" l="1"/>
  <c r="O25" i="93" l="1"/>
  <c r="T37" i="121" l="1"/>
  <c r="H37" i="121" s="1"/>
  <c r="S9" i="115" l="1"/>
  <c r="F13" i="113" l="1"/>
  <c r="G13" i="113" s="1"/>
  <c r="P38" i="113"/>
  <c r="P41" i="113" s="1"/>
  <c r="AB13" i="122" l="1"/>
  <c r="AA13" i="122"/>
  <c r="Z13" i="122"/>
  <c r="Y13" i="122"/>
  <c r="X13" i="122"/>
  <c r="W13" i="122"/>
  <c r="V13" i="122"/>
  <c r="U13" i="122"/>
  <c r="T13" i="122"/>
  <c r="S13" i="122"/>
  <c r="R13" i="122"/>
  <c r="Q13" i="122"/>
  <c r="P13" i="122"/>
  <c r="O13" i="122"/>
  <c r="N13" i="122"/>
  <c r="M13" i="122"/>
  <c r="L13" i="122"/>
  <c r="K13" i="122"/>
  <c r="J13" i="122"/>
  <c r="I13" i="122"/>
  <c r="H13" i="122"/>
  <c r="G13" i="122"/>
  <c r="F13" i="122"/>
  <c r="C13" i="122"/>
  <c r="D11" i="122"/>
  <c r="E11" i="122" s="1"/>
  <c r="D10" i="122"/>
  <c r="E10" i="122" s="1"/>
  <c r="D9" i="122"/>
  <c r="R2" i="122"/>
  <c r="L2" i="122"/>
  <c r="R1" i="122"/>
  <c r="L1" i="122"/>
  <c r="D13" i="122" l="1"/>
  <c r="E9" i="122"/>
  <c r="E13" i="122" s="1"/>
  <c r="P10" i="116"/>
  <c r="S32" i="121"/>
  <c r="H32" i="121" s="1"/>
  <c r="I32" i="121" s="1"/>
  <c r="S23" i="121"/>
  <c r="H23" i="121" s="1"/>
  <c r="I23" i="121" s="1"/>
  <c r="AJ39" i="121"/>
  <c r="AI39" i="121"/>
  <c r="AH39" i="121"/>
  <c r="AG39" i="121"/>
  <c r="AF39" i="121"/>
  <c r="AE39" i="121"/>
  <c r="AD39" i="121"/>
  <c r="AC39" i="121"/>
  <c r="AB39" i="121"/>
  <c r="AA39" i="121"/>
  <c r="Z39" i="121"/>
  <c r="Y39" i="121"/>
  <c r="X39" i="121"/>
  <c r="W39" i="121"/>
  <c r="V39" i="121"/>
  <c r="U39" i="121"/>
  <c r="T39" i="121"/>
  <c r="R39" i="121"/>
  <c r="Q39" i="121"/>
  <c r="P39" i="121"/>
  <c r="O39" i="121"/>
  <c r="N39" i="121"/>
  <c r="M39" i="121"/>
  <c r="L39" i="121"/>
  <c r="E39" i="121"/>
  <c r="G39" i="121" s="1"/>
  <c r="I30" i="121"/>
  <c r="G30" i="121"/>
  <c r="I37" i="121"/>
  <c r="G37" i="121"/>
  <c r="I34" i="121"/>
  <c r="G34" i="121"/>
  <c r="I33" i="121"/>
  <c r="G33" i="121"/>
  <c r="G32" i="121"/>
  <c r="H29" i="121"/>
  <c r="I29" i="121" s="1"/>
  <c r="G29" i="121"/>
  <c r="H28" i="121"/>
  <c r="I28" i="121" s="1"/>
  <c r="G28" i="121"/>
  <c r="H27" i="121"/>
  <c r="I27" i="121" s="1"/>
  <c r="G27" i="121"/>
  <c r="H26" i="121"/>
  <c r="I26" i="121" s="1"/>
  <c r="G26" i="121"/>
  <c r="H25" i="121"/>
  <c r="I25" i="121" s="1"/>
  <c r="G25" i="121"/>
  <c r="H24" i="121"/>
  <c r="I24" i="121" s="1"/>
  <c r="G24" i="121"/>
  <c r="G23" i="121"/>
  <c r="H22" i="121"/>
  <c r="I22" i="121" s="1"/>
  <c r="G22" i="121"/>
  <c r="H21" i="121"/>
  <c r="I21" i="121" s="1"/>
  <c r="G21" i="121"/>
  <c r="H20" i="121"/>
  <c r="I20" i="121" s="1"/>
  <c r="G20" i="121"/>
  <c r="H19" i="121"/>
  <c r="I19" i="121" s="1"/>
  <c r="G19" i="121"/>
  <c r="H18" i="121"/>
  <c r="I18" i="121" s="1"/>
  <c r="G18" i="121"/>
  <c r="H17" i="121"/>
  <c r="I17" i="121" s="1"/>
  <c r="G17" i="121"/>
  <c r="H16" i="121"/>
  <c r="I16" i="121" s="1"/>
  <c r="G16" i="121"/>
  <c r="H15" i="121"/>
  <c r="I15" i="121" s="1"/>
  <c r="G15" i="121"/>
  <c r="H14" i="121"/>
  <c r="I14" i="121" s="1"/>
  <c r="G14" i="121"/>
  <c r="H13" i="121"/>
  <c r="I13" i="121" s="1"/>
  <c r="G13" i="121"/>
  <c r="H12" i="121"/>
  <c r="G12" i="121"/>
  <c r="H11" i="121"/>
  <c r="I11" i="121" s="1"/>
  <c r="G11" i="121"/>
  <c r="H10" i="121"/>
  <c r="I10" i="121" s="1"/>
  <c r="G10" i="121"/>
  <c r="H9" i="121"/>
  <c r="I9" i="121" s="1"/>
  <c r="G9" i="121"/>
  <c r="AB2" i="121"/>
  <c r="U2" i="121"/>
  <c r="O2" i="121"/>
  <c r="AB1" i="121"/>
  <c r="U1" i="121"/>
  <c r="O1" i="121"/>
  <c r="S39" i="121" l="1"/>
  <c r="H39" i="121"/>
  <c r="I12" i="121"/>
  <c r="I39" i="121" s="1"/>
  <c r="S13" i="118"/>
  <c r="S27" i="93"/>
  <c r="F10" i="95"/>
  <c r="F11" i="95"/>
  <c r="F12" i="95"/>
  <c r="F13" i="95"/>
  <c r="F14" i="95"/>
  <c r="F9" i="95"/>
  <c r="S19" i="93" l="1"/>
  <c r="R9" i="108" l="1"/>
  <c r="R11" i="118"/>
  <c r="Q25" i="93" l="1"/>
  <c r="E10" i="117" l="1"/>
  <c r="E11" i="117"/>
  <c r="E12" i="117"/>
  <c r="E13" i="117"/>
  <c r="E14" i="117"/>
  <c r="E15" i="117"/>
  <c r="E16" i="117"/>
  <c r="E17" i="117"/>
  <c r="E18" i="117"/>
  <c r="E19" i="117"/>
  <c r="E9" i="117"/>
  <c r="G10" i="115"/>
  <c r="G9" i="115"/>
  <c r="E10" i="118"/>
  <c r="E11" i="118"/>
  <c r="E12" i="118"/>
  <c r="E13" i="118"/>
  <c r="E9" i="118"/>
  <c r="E11" i="113"/>
  <c r="E12" i="113"/>
  <c r="E14" i="113"/>
  <c r="E15" i="113"/>
  <c r="E16" i="113"/>
  <c r="E17" i="113"/>
  <c r="E18" i="113"/>
  <c r="E19" i="113"/>
  <c r="E20" i="113"/>
  <c r="E21" i="113"/>
  <c r="E22" i="113"/>
  <c r="E25" i="113"/>
  <c r="E28" i="113"/>
  <c r="E29" i="113"/>
  <c r="E31" i="113"/>
  <c r="E33" i="113"/>
  <c r="E35" i="113"/>
  <c r="E36" i="113"/>
  <c r="E37" i="113"/>
  <c r="E38" i="113"/>
  <c r="E39" i="113"/>
  <c r="E9" i="113"/>
  <c r="E10" i="99"/>
  <c r="E11" i="99"/>
  <c r="E9" i="99"/>
  <c r="E10" i="108"/>
  <c r="E11" i="108"/>
  <c r="E12" i="108"/>
  <c r="E13" i="108"/>
  <c r="E14" i="108"/>
  <c r="E15" i="108"/>
  <c r="E16" i="108"/>
  <c r="E17" i="108"/>
  <c r="E18" i="108"/>
  <c r="E19" i="108"/>
  <c r="E20" i="108"/>
  <c r="E21" i="108"/>
  <c r="E22" i="108"/>
  <c r="E23" i="108"/>
  <c r="E24" i="108"/>
  <c r="E9" i="108"/>
  <c r="E10" i="120"/>
  <c r="E11" i="120"/>
  <c r="E13" i="120"/>
  <c r="E12" i="120"/>
  <c r="E10" i="94"/>
  <c r="E11" i="94"/>
  <c r="E12" i="94"/>
  <c r="E13" i="94"/>
  <c r="E14" i="94"/>
  <c r="E15" i="94"/>
  <c r="E16" i="94"/>
  <c r="E9" i="94"/>
  <c r="E10" i="105"/>
  <c r="E11" i="105"/>
  <c r="E12" i="105"/>
  <c r="E9" i="105"/>
  <c r="E10" i="93"/>
  <c r="E11" i="93"/>
  <c r="E12" i="93"/>
  <c r="E13" i="93"/>
  <c r="E14" i="93"/>
  <c r="E15" i="93"/>
  <c r="E16" i="93"/>
  <c r="E17" i="93"/>
  <c r="E19" i="93"/>
  <c r="E20" i="93"/>
  <c r="E21" i="93"/>
  <c r="E22" i="93"/>
  <c r="E23" i="93"/>
  <c r="E24" i="93"/>
  <c r="E25" i="93"/>
  <c r="E26" i="93"/>
  <c r="E27" i="93"/>
  <c r="E28" i="93"/>
  <c r="E29" i="93"/>
  <c r="E30" i="93"/>
  <c r="E31" i="93"/>
  <c r="E9" i="93"/>
  <c r="E14" i="116"/>
  <c r="E10" i="116"/>
  <c r="E11" i="116"/>
  <c r="E12" i="116"/>
  <c r="E13" i="116"/>
  <c r="E9" i="116"/>
  <c r="F9" i="93"/>
  <c r="G9" i="93" s="1"/>
  <c r="F10" i="93"/>
  <c r="G10" i="93" s="1"/>
  <c r="F11" i="93"/>
  <c r="G11" i="93" s="1"/>
  <c r="F12" i="93"/>
  <c r="G12" i="93" s="1"/>
  <c r="F13" i="93"/>
  <c r="G13" i="93" s="1"/>
  <c r="F14" i="93"/>
  <c r="G14" i="93" s="1"/>
  <c r="F15" i="93"/>
  <c r="G15" i="93" s="1"/>
  <c r="F19" i="93"/>
  <c r="G19" i="93" s="1"/>
  <c r="F22" i="93"/>
  <c r="G22" i="93" s="1"/>
  <c r="F9" i="116"/>
  <c r="F11" i="116"/>
  <c r="F12" i="116"/>
  <c r="F13" i="116"/>
  <c r="C15" i="116"/>
  <c r="E15" i="116" s="1"/>
  <c r="E15" i="120" l="1"/>
  <c r="AF15" i="116"/>
  <c r="AG15" i="116"/>
  <c r="AI33" i="93"/>
  <c r="AJ33" i="93"/>
  <c r="AF14" i="105"/>
  <c r="AG14" i="105"/>
  <c r="AI18" i="94"/>
  <c r="AJ18" i="94"/>
  <c r="AC15" i="120"/>
  <c r="AD15" i="120"/>
  <c r="AI11" i="107"/>
  <c r="AJ11" i="107"/>
  <c r="AI26" i="108"/>
  <c r="AJ26" i="108"/>
  <c r="L13" i="99"/>
  <c r="M13" i="99"/>
  <c r="Q25" i="102"/>
  <c r="R25" i="102"/>
  <c r="AJ16" i="95"/>
  <c r="AK16" i="95"/>
  <c r="AH12" i="115"/>
  <c r="AI12" i="115"/>
  <c r="AI21" i="117"/>
  <c r="AJ21" i="117"/>
  <c r="AI15" i="118"/>
  <c r="AJ15" i="118"/>
  <c r="J2" i="117"/>
  <c r="R2" i="117"/>
  <c r="Y2" i="117"/>
  <c r="AF2" i="117"/>
  <c r="AA2" i="115"/>
  <c r="AA1" i="115"/>
  <c r="T2" i="115"/>
  <c r="T1" i="115"/>
  <c r="N2" i="115"/>
  <c r="N1" i="115"/>
  <c r="AG2" i="95"/>
  <c r="AG1" i="95"/>
  <c r="Z2" i="95"/>
  <c r="Z1" i="95"/>
  <c r="AA1" i="118"/>
  <c r="T1" i="118"/>
  <c r="N1" i="118"/>
  <c r="N25" i="102"/>
  <c r="O25" i="102"/>
  <c r="P25" i="102"/>
  <c r="AA2" i="113"/>
  <c r="AA1" i="113"/>
  <c r="T2" i="113"/>
  <c r="T1" i="113"/>
  <c r="N2" i="113"/>
  <c r="N1" i="113"/>
  <c r="P10" i="94"/>
  <c r="P20" i="93"/>
  <c r="F20" i="93" s="1"/>
  <c r="G20" i="93" s="1"/>
  <c r="P17" i="93"/>
  <c r="P10" i="108"/>
  <c r="J2" i="108"/>
  <c r="N2" i="108"/>
  <c r="T2" i="108"/>
  <c r="AA2" i="108"/>
  <c r="AA1" i="108"/>
  <c r="T1" i="108"/>
  <c r="N1" i="108"/>
  <c r="AA2" i="107"/>
  <c r="AA1" i="107"/>
  <c r="T2" i="107"/>
  <c r="N2" i="107"/>
  <c r="T1" i="107"/>
  <c r="N1" i="107"/>
  <c r="T2" i="120"/>
  <c r="N2" i="120"/>
  <c r="T1" i="120"/>
  <c r="N1" i="120"/>
  <c r="AH2" i="94"/>
  <c r="AH1" i="94"/>
  <c r="AA2" i="94"/>
  <c r="AA1" i="94"/>
  <c r="T2" i="94"/>
  <c r="T1" i="94"/>
  <c r="N2" i="94"/>
  <c r="N1" i="94"/>
  <c r="AE14" i="105"/>
  <c r="AD14" i="105"/>
  <c r="AC14" i="105"/>
  <c r="AB14" i="105"/>
  <c r="AA14" i="105"/>
  <c r="Z14" i="105"/>
  <c r="Y14" i="105"/>
  <c r="X14" i="105"/>
  <c r="W14" i="105"/>
  <c r="V14" i="105"/>
  <c r="U14" i="105"/>
  <c r="T14" i="105"/>
  <c r="S14" i="105"/>
  <c r="R14" i="105"/>
  <c r="Q14" i="105"/>
  <c r="P14" i="105"/>
  <c r="O14" i="105"/>
  <c r="N14" i="105"/>
  <c r="M14" i="105"/>
  <c r="L14" i="105"/>
  <c r="K14" i="105"/>
  <c r="J14" i="105"/>
  <c r="I14" i="105"/>
  <c r="H14" i="105"/>
  <c r="C14" i="105"/>
  <c r="E14" i="105" s="1"/>
  <c r="F12" i="105"/>
  <c r="G12" i="105" s="1"/>
  <c r="F11" i="105"/>
  <c r="G11" i="105" s="1"/>
  <c r="F10" i="105"/>
  <c r="G10" i="105" s="1"/>
  <c r="F9" i="105"/>
  <c r="G9" i="105" s="1"/>
  <c r="AA2" i="105"/>
  <c r="AA1" i="105"/>
  <c r="T2" i="105"/>
  <c r="T1" i="105"/>
  <c r="N2" i="105"/>
  <c r="N1" i="105"/>
  <c r="AG2" i="93"/>
  <c r="AG1" i="93"/>
  <c r="AA2" i="93"/>
  <c r="AA1" i="93"/>
  <c r="T2" i="93"/>
  <c r="T1" i="93"/>
  <c r="N2" i="93"/>
  <c r="N1" i="93"/>
  <c r="AA2" i="116"/>
  <c r="AA1" i="116"/>
  <c r="T2" i="116"/>
  <c r="T1" i="116"/>
  <c r="N2" i="116"/>
  <c r="N1" i="116"/>
  <c r="F14" i="105" l="1"/>
  <c r="G14" i="105"/>
  <c r="F36" i="113" l="1"/>
  <c r="G36" i="113" s="1"/>
  <c r="M10" i="116" l="1"/>
  <c r="F10" i="116" s="1"/>
  <c r="F15" i="116" s="1"/>
  <c r="O9" i="107" l="1"/>
  <c r="O11" i="108" l="1"/>
  <c r="F25" i="93"/>
  <c r="G25" i="93" s="1"/>
  <c r="O13" i="118" l="1"/>
  <c r="AB15" i="120" l="1"/>
  <c r="AA15" i="120"/>
  <c r="Z15" i="120"/>
  <c r="Y15" i="120"/>
  <c r="X15" i="120"/>
  <c r="W15" i="120"/>
  <c r="V15" i="120"/>
  <c r="U15" i="120"/>
  <c r="T15" i="120"/>
  <c r="S15" i="120"/>
  <c r="P15" i="120"/>
  <c r="N15" i="120"/>
  <c r="M15" i="120"/>
  <c r="L15" i="120"/>
  <c r="K15" i="120"/>
  <c r="F11" i="120"/>
  <c r="F13" i="120"/>
  <c r="R15" i="120"/>
  <c r="Q15" i="120"/>
  <c r="G10" i="120"/>
  <c r="F12" i="120" l="1"/>
  <c r="N16" i="94" l="1"/>
  <c r="N12" i="108"/>
  <c r="N31" i="93" l="1"/>
  <c r="I21" i="117" l="1"/>
  <c r="J21" i="117"/>
  <c r="K21" i="117"/>
  <c r="L21" i="117"/>
  <c r="M21" i="117"/>
  <c r="N21" i="117"/>
  <c r="O21" i="117"/>
  <c r="P21" i="117"/>
  <c r="Q21" i="117"/>
  <c r="R21" i="117"/>
  <c r="S21" i="117"/>
  <c r="T21" i="117"/>
  <c r="U21" i="117"/>
  <c r="V21" i="117"/>
  <c r="W21" i="117"/>
  <c r="X21" i="117"/>
  <c r="Y21" i="117"/>
  <c r="Z21" i="117"/>
  <c r="AA21" i="117"/>
  <c r="AB21" i="117"/>
  <c r="AC21" i="117"/>
  <c r="AD21" i="117"/>
  <c r="AE21" i="117"/>
  <c r="AF21" i="117"/>
  <c r="AG21" i="117"/>
  <c r="AH21" i="117"/>
  <c r="H21" i="117"/>
  <c r="F10" i="117"/>
  <c r="G10" i="117" s="1"/>
  <c r="F11" i="117"/>
  <c r="F12" i="117"/>
  <c r="G12" i="117" s="1"/>
  <c r="F13" i="117"/>
  <c r="G13" i="117" s="1"/>
  <c r="F14" i="117"/>
  <c r="G14" i="117" s="1"/>
  <c r="F15" i="117"/>
  <c r="G15" i="117" s="1"/>
  <c r="F16" i="117"/>
  <c r="G16" i="117" s="1"/>
  <c r="F17" i="117"/>
  <c r="G17" i="117" s="1"/>
  <c r="F18" i="117"/>
  <c r="G18" i="117" s="1"/>
  <c r="F19" i="117"/>
  <c r="G19" i="117" s="1"/>
  <c r="G11" i="117"/>
  <c r="F9" i="117"/>
  <c r="G9" i="117" s="1"/>
  <c r="C21" i="117"/>
  <c r="E21" i="117" s="1"/>
  <c r="AF1" i="117"/>
  <c r="Y1" i="117"/>
  <c r="R1" i="117"/>
  <c r="J1" i="117"/>
  <c r="F9" i="118"/>
  <c r="G9" i="118" s="1"/>
  <c r="F10" i="118"/>
  <c r="G10" i="118" s="1"/>
  <c r="F11" i="118"/>
  <c r="G11" i="118" s="1"/>
  <c r="F12" i="118"/>
  <c r="G12" i="118" s="1"/>
  <c r="L13" i="118"/>
  <c r="F13" i="118" s="1"/>
  <c r="C15" i="118"/>
  <c r="E15" i="118" s="1"/>
  <c r="H15" i="118"/>
  <c r="I15" i="118"/>
  <c r="J15" i="118"/>
  <c r="K15" i="118"/>
  <c r="M15" i="118"/>
  <c r="N15" i="118"/>
  <c r="O15" i="118"/>
  <c r="P15" i="118"/>
  <c r="Q15" i="118"/>
  <c r="R15" i="118"/>
  <c r="S15" i="118"/>
  <c r="T15" i="118"/>
  <c r="U15" i="118"/>
  <c r="V15" i="118"/>
  <c r="W15" i="118"/>
  <c r="X15" i="118"/>
  <c r="Y15" i="118"/>
  <c r="Z15" i="118"/>
  <c r="AA15" i="118"/>
  <c r="AB15" i="118"/>
  <c r="AC15" i="118"/>
  <c r="AD15" i="118"/>
  <c r="AE15" i="118"/>
  <c r="AF15" i="118"/>
  <c r="AG15" i="118"/>
  <c r="AH15" i="118"/>
  <c r="AA2" i="118" l="1"/>
  <c r="N2" i="118"/>
  <c r="T2" i="118"/>
  <c r="L15" i="118"/>
  <c r="F15" i="118"/>
  <c r="G13" i="118"/>
  <c r="G15" i="118" s="1"/>
  <c r="G21" i="117" l="1"/>
  <c r="F21" i="117"/>
  <c r="G10" i="95" l="1"/>
  <c r="G11" i="95"/>
  <c r="G12" i="95"/>
  <c r="G13" i="95"/>
  <c r="G14" i="95"/>
  <c r="H14" i="95" s="1"/>
  <c r="G9" i="95"/>
  <c r="M12" i="94" l="1"/>
  <c r="F9" i="107" l="1"/>
  <c r="H10" i="95" l="1"/>
  <c r="H11" i="95"/>
  <c r="H12" i="95"/>
  <c r="H13" i="95"/>
  <c r="H9" i="95"/>
  <c r="H18" i="94"/>
  <c r="I18" i="94"/>
  <c r="J18" i="94"/>
  <c r="M18" i="94"/>
  <c r="N18" i="94"/>
  <c r="O18" i="94"/>
  <c r="P18" i="94"/>
  <c r="Q18" i="94"/>
  <c r="R18" i="94"/>
  <c r="S18" i="94"/>
  <c r="T18" i="94"/>
  <c r="U18" i="94"/>
  <c r="V18" i="94"/>
  <c r="W18" i="94"/>
  <c r="X18" i="94"/>
  <c r="Y18" i="94"/>
  <c r="Z18" i="94"/>
  <c r="AA18" i="94"/>
  <c r="AB18" i="94"/>
  <c r="AC18" i="94"/>
  <c r="AD18" i="94"/>
  <c r="AE18" i="94"/>
  <c r="AF18" i="94"/>
  <c r="AG18" i="94"/>
  <c r="AH18" i="94"/>
  <c r="C18" i="94"/>
  <c r="E18" i="94" s="1"/>
  <c r="F16" i="95" l="1"/>
  <c r="E10" i="102"/>
  <c r="E11" i="102"/>
  <c r="E12" i="102"/>
  <c r="E13" i="102"/>
  <c r="E14" i="102"/>
  <c r="E15" i="102"/>
  <c r="E16" i="102"/>
  <c r="E17" i="102"/>
  <c r="E18" i="102"/>
  <c r="E19" i="102"/>
  <c r="E20" i="102"/>
  <c r="E21" i="102"/>
  <c r="E22" i="102"/>
  <c r="E23" i="102"/>
  <c r="E9" i="102"/>
  <c r="D25" i="102"/>
  <c r="E25" i="102" l="1"/>
  <c r="AE15" i="116" l="1"/>
  <c r="AD15" i="116"/>
  <c r="AC15" i="116"/>
  <c r="AB15" i="116"/>
  <c r="AA15" i="116"/>
  <c r="Z15" i="116"/>
  <c r="Y15" i="116"/>
  <c r="X15" i="116"/>
  <c r="V15" i="116"/>
  <c r="U15" i="116"/>
  <c r="T15" i="116"/>
  <c r="S15" i="116"/>
  <c r="R15" i="116"/>
  <c r="Q15" i="116"/>
  <c r="P15" i="116"/>
  <c r="O15" i="116"/>
  <c r="N15" i="116"/>
  <c r="M15" i="116"/>
  <c r="L15" i="116"/>
  <c r="K15" i="116"/>
  <c r="J15" i="116"/>
  <c r="I15" i="116"/>
  <c r="H15" i="116"/>
  <c r="G13" i="116"/>
  <c r="G12" i="116"/>
  <c r="G11" i="116"/>
  <c r="G10" i="116"/>
  <c r="W15" i="116" l="1"/>
  <c r="G9" i="116"/>
  <c r="G15" i="116" s="1"/>
  <c r="AG12" i="115" l="1"/>
  <c r="AF12" i="115"/>
  <c r="AE12" i="115"/>
  <c r="AD12" i="115"/>
  <c r="AC12" i="115"/>
  <c r="AB12" i="115"/>
  <c r="AA12" i="115"/>
  <c r="Z12" i="115"/>
  <c r="Y12" i="115"/>
  <c r="X12" i="115"/>
  <c r="W12" i="115"/>
  <c r="V12" i="115"/>
  <c r="U12" i="115"/>
  <c r="T12" i="115"/>
  <c r="S12" i="115"/>
  <c r="P12" i="115"/>
  <c r="O12" i="115"/>
  <c r="N12" i="115"/>
  <c r="M12" i="115"/>
  <c r="L12" i="115"/>
  <c r="K12" i="115"/>
  <c r="J12" i="115"/>
  <c r="E12" i="115"/>
  <c r="G12" i="115" s="1"/>
  <c r="R12" i="115"/>
  <c r="H10" i="115"/>
  <c r="I10" i="115" s="1"/>
  <c r="H9" i="115"/>
  <c r="I9" i="115" s="1"/>
  <c r="I12" i="115" l="1"/>
  <c r="H12" i="115"/>
  <c r="Q12" i="115"/>
  <c r="L16" i="94" l="1"/>
  <c r="L18" i="94" s="1"/>
  <c r="F9" i="113" l="1"/>
  <c r="F12" i="113"/>
  <c r="G12" i="113" s="1"/>
  <c r="F14" i="113"/>
  <c r="G14" i="113" s="1"/>
  <c r="F15" i="113"/>
  <c r="G15" i="113" s="1"/>
  <c r="F16" i="113"/>
  <c r="G16" i="113" s="1"/>
  <c r="F17" i="113"/>
  <c r="G17" i="113" s="1"/>
  <c r="F18" i="113"/>
  <c r="G18" i="113" s="1"/>
  <c r="F19" i="113"/>
  <c r="G19" i="113" s="1"/>
  <c r="F20" i="113"/>
  <c r="G20" i="113" s="1"/>
  <c r="F21" i="113"/>
  <c r="G21" i="113" s="1"/>
  <c r="F22" i="113"/>
  <c r="G22" i="113" s="1"/>
  <c r="F25" i="113"/>
  <c r="G25" i="113" s="1"/>
  <c r="F28" i="113"/>
  <c r="F29" i="113"/>
  <c r="G29" i="113" s="1"/>
  <c r="F31" i="113"/>
  <c r="G31" i="113" s="1"/>
  <c r="F33" i="113"/>
  <c r="G33" i="113" s="1"/>
  <c r="F35" i="113"/>
  <c r="G35" i="113" s="1"/>
  <c r="F37" i="113"/>
  <c r="G37" i="113" s="1"/>
  <c r="F38" i="113"/>
  <c r="G38" i="113" s="1"/>
  <c r="F39" i="113"/>
  <c r="G39" i="113" s="1"/>
  <c r="F11" i="113"/>
  <c r="G11" i="113" s="1"/>
  <c r="G28" i="113" l="1"/>
  <c r="G41" i="113" s="1"/>
  <c r="F41" i="113"/>
  <c r="G9" i="113"/>
  <c r="F9" i="99" l="1"/>
  <c r="F11" i="99"/>
  <c r="F10" i="99"/>
  <c r="K13" i="99"/>
  <c r="F9" i="108" l="1"/>
  <c r="G9" i="108" s="1"/>
  <c r="F10" i="108"/>
  <c r="G10" i="108" s="1"/>
  <c r="F11" i="108"/>
  <c r="G11" i="108" s="1"/>
  <c r="F12" i="108"/>
  <c r="G12" i="108" s="1"/>
  <c r="F13" i="108"/>
  <c r="G13" i="108" s="1"/>
  <c r="F14" i="108"/>
  <c r="G14" i="108" s="1"/>
  <c r="F15" i="108"/>
  <c r="G15" i="108" s="1"/>
  <c r="F16" i="108"/>
  <c r="G16" i="108" s="1"/>
  <c r="F17" i="108"/>
  <c r="F18" i="108"/>
  <c r="G18" i="108" s="1"/>
  <c r="F19" i="108"/>
  <c r="G19" i="108" s="1"/>
  <c r="F20" i="108"/>
  <c r="G20" i="108" s="1"/>
  <c r="F21" i="108"/>
  <c r="G21" i="108" s="1"/>
  <c r="F22" i="108"/>
  <c r="G22" i="108" s="1"/>
  <c r="F23" i="108"/>
  <c r="G23" i="108" s="1"/>
  <c r="F24" i="108"/>
  <c r="G24" i="108" s="1"/>
  <c r="G17" i="108" l="1"/>
  <c r="F26" i="108"/>
  <c r="J1" i="108"/>
  <c r="L26" i="108"/>
  <c r="P26" i="108"/>
  <c r="G25" i="108"/>
  <c r="C26" i="108"/>
  <c r="E26" i="108" s="1"/>
  <c r="H26" i="108"/>
  <c r="I26" i="108"/>
  <c r="J26" i="108"/>
  <c r="K26" i="108"/>
  <c r="M26" i="108"/>
  <c r="N26" i="108"/>
  <c r="O26" i="108"/>
  <c r="Q26" i="108"/>
  <c r="R26" i="108"/>
  <c r="S26" i="108"/>
  <c r="T26" i="108"/>
  <c r="U26" i="108"/>
  <c r="V26" i="108"/>
  <c r="W26" i="108"/>
  <c r="X26" i="108"/>
  <c r="Y26" i="108"/>
  <c r="Z26" i="108"/>
  <c r="AA26" i="108"/>
  <c r="AB26" i="108"/>
  <c r="AC26" i="108"/>
  <c r="AD26" i="108"/>
  <c r="AE26" i="108"/>
  <c r="AF26" i="108"/>
  <c r="AG26" i="108"/>
  <c r="AH26" i="108"/>
  <c r="G26" i="108" l="1"/>
  <c r="AH11" i="107"/>
  <c r="AG11" i="107"/>
  <c r="AF11" i="107"/>
  <c r="AE11" i="107"/>
  <c r="AD11" i="107"/>
  <c r="AC11" i="107"/>
  <c r="AB11" i="107"/>
  <c r="AA11" i="107"/>
  <c r="Z11" i="107"/>
  <c r="Y11" i="107"/>
  <c r="X11" i="107"/>
  <c r="W11" i="107"/>
  <c r="V11" i="107"/>
  <c r="U11" i="107"/>
  <c r="T11" i="107"/>
  <c r="S11" i="107"/>
  <c r="R11" i="107"/>
  <c r="Q11" i="107"/>
  <c r="P11" i="107"/>
  <c r="O11" i="107"/>
  <c r="N11" i="107"/>
  <c r="L11" i="107"/>
  <c r="K11" i="107"/>
  <c r="J11" i="107"/>
  <c r="I11" i="107"/>
  <c r="H11" i="107"/>
  <c r="C11" i="107"/>
  <c r="E11" i="107" s="1"/>
  <c r="F11" i="107" l="1"/>
  <c r="G9" i="107"/>
  <c r="G11" i="107" s="1"/>
  <c r="M11" i="107"/>
  <c r="F21" i="102" l="1"/>
  <c r="G21" i="102" s="1"/>
  <c r="F22" i="102"/>
  <c r="G22" i="102" s="1"/>
  <c r="F23" i="102" l="1"/>
  <c r="G23" i="102" s="1"/>
  <c r="G20" i="102"/>
  <c r="F19" i="102"/>
  <c r="G19" i="102" s="1"/>
  <c r="F18" i="102"/>
  <c r="G18" i="102" s="1"/>
  <c r="F17" i="102"/>
  <c r="G17" i="102" s="1"/>
  <c r="F16" i="102"/>
  <c r="G16" i="102" s="1"/>
  <c r="F15" i="102"/>
  <c r="G15" i="102" s="1"/>
  <c r="F14" i="102"/>
  <c r="G14" i="102" s="1"/>
  <c r="F13" i="102"/>
  <c r="G13" i="102" s="1"/>
  <c r="F12" i="102"/>
  <c r="G12" i="102" s="1"/>
  <c r="F11" i="102"/>
  <c r="G11" i="102" s="1"/>
  <c r="F10" i="102"/>
  <c r="F9" i="102"/>
  <c r="G9" i="102" s="1"/>
  <c r="K16" i="94" l="1"/>
  <c r="K15" i="94"/>
  <c r="K14" i="94"/>
  <c r="K12" i="94"/>
  <c r="K18" i="94" l="1"/>
  <c r="K31" i="93"/>
  <c r="F31" i="93" s="1"/>
  <c r="G31" i="93" s="1"/>
  <c r="K30" i="93"/>
  <c r="F30" i="93" s="1"/>
  <c r="G30" i="93" s="1"/>
  <c r="K28" i="93"/>
  <c r="F28" i="93" s="1"/>
  <c r="G28" i="93" s="1"/>
  <c r="K27" i="93"/>
  <c r="F27" i="93" s="1"/>
  <c r="G27" i="93" s="1"/>
  <c r="K24" i="93"/>
  <c r="F24" i="93" s="1"/>
  <c r="G24" i="93" s="1"/>
  <c r="K23" i="93"/>
  <c r="F23" i="93" s="1"/>
  <c r="G23" i="93" s="1"/>
  <c r="K21" i="93"/>
  <c r="F21" i="93" s="1"/>
  <c r="G21" i="93" s="1"/>
  <c r="K17" i="93"/>
  <c r="F17" i="93" s="1"/>
  <c r="G17" i="93" s="1"/>
  <c r="K16" i="93"/>
  <c r="F16" i="93" s="1"/>
  <c r="G16" i="93" l="1"/>
  <c r="G33" i="93" s="1"/>
  <c r="G16" i="95"/>
  <c r="I16" i="95"/>
  <c r="J16" i="95"/>
  <c r="K16" i="95"/>
  <c r="L16" i="95"/>
  <c r="M16" i="95"/>
  <c r="N16" i="95"/>
  <c r="O16" i="95"/>
  <c r="P16" i="95"/>
  <c r="Q16" i="95"/>
  <c r="R16" i="95"/>
  <c r="S16" i="95"/>
  <c r="T16" i="95"/>
  <c r="U16" i="95"/>
  <c r="V16" i="95"/>
  <c r="W16" i="95"/>
  <c r="X16" i="95"/>
  <c r="Y16" i="95"/>
  <c r="Z16" i="95"/>
  <c r="AA16" i="95"/>
  <c r="AB16" i="95"/>
  <c r="AC16" i="95"/>
  <c r="AD16" i="95"/>
  <c r="AE16" i="95"/>
  <c r="AF16" i="95"/>
  <c r="AG16" i="95"/>
  <c r="AH16" i="95"/>
  <c r="AI16" i="95"/>
  <c r="D16" i="95"/>
  <c r="C16" i="95"/>
  <c r="H16" i="95"/>
  <c r="M25" i="102" l="1"/>
  <c r="L25" i="102"/>
  <c r="K25" i="102"/>
  <c r="J25" i="102"/>
  <c r="I25" i="102"/>
  <c r="H25" i="102"/>
  <c r="C25" i="102"/>
  <c r="L2" i="102"/>
  <c r="L1" i="102"/>
  <c r="F25" i="102" l="1"/>
  <c r="G25" i="102"/>
  <c r="G9" i="99" l="1"/>
  <c r="G10" i="99"/>
  <c r="G11" i="99"/>
  <c r="J13" i="99"/>
  <c r="I13" i="99"/>
  <c r="H13" i="99"/>
  <c r="C13" i="99"/>
  <c r="E13" i="99" s="1"/>
  <c r="F13" i="99" l="1"/>
  <c r="G13" i="99"/>
  <c r="S2" i="95" l="1"/>
  <c r="M2" i="95"/>
  <c r="M1" i="95"/>
  <c r="F12" i="94" l="1"/>
  <c r="G12" i="94" s="1"/>
  <c r="F13" i="94"/>
  <c r="G13" i="94" s="1"/>
  <c r="F14" i="94"/>
  <c r="G14" i="94" s="1"/>
  <c r="F15" i="94"/>
  <c r="F16" i="94"/>
  <c r="G16" i="94" s="1"/>
  <c r="F11" i="94"/>
  <c r="G11" i="94" s="1"/>
  <c r="C33" i="93"/>
  <c r="E33" i="93" s="1"/>
  <c r="AH33" i="93"/>
  <c r="AG33" i="93"/>
  <c r="AF33" i="93"/>
  <c r="AE33" i="93"/>
  <c r="AD33" i="93"/>
  <c r="AC33" i="93"/>
  <c r="AB33" i="93"/>
  <c r="AA33" i="93"/>
  <c r="Z33" i="93"/>
  <c r="Y33" i="93"/>
  <c r="X33" i="93"/>
  <c r="W33" i="93"/>
  <c r="V33" i="93"/>
  <c r="U33" i="93"/>
  <c r="Q33" i="93"/>
  <c r="O33" i="93"/>
  <c r="I33" i="93"/>
  <c r="H33" i="93"/>
  <c r="K33" i="93"/>
  <c r="P33" i="93"/>
  <c r="N33" i="93"/>
  <c r="T33" i="93"/>
  <c r="R33" i="93"/>
  <c r="G15" i="94" l="1"/>
  <c r="G9" i="94"/>
  <c r="F10" i="94"/>
  <c r="G10" i="94" s="1"/>
  <c r="J33" i="93"/>
  <c r="M33" i="93"/>
  <c r="L33" i="93"/>
  <c r="S33" i="93"/>
  <c r="F18" i="94" l="1"/>
  <c r="G18" i="94"/>
  <c r="H15" i="120"/>
  <c r="J15" i="120"/>
  <c r="F9" i="120"/>
  <c r="G9" i="120" s="1"/>
  <c r="I15" i="120"/>
  <c r="F15" i="120" l="1"/>
  <c r="G15" i="120"/>
</calcChain>
</file>

<file path=xl/comments1.xml><?xml version="1.0" encoding="utf-8"?>
<comments xmlns="http://schemas.openxmlformats.org/spreadsheetml/2006/main">
  <authors>
    <author>Shields, Joseph</author>
  </authors>
  <commentList>
    <comment ref="X10" authorId="0" shapeId="0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Payment split between two GBLs:
227F = 38,603.62
228F = 50,671.38</t>
        </r>
      </text>
    </comment>
  </commentList>
</comments>
</file>

<file path=xl/comments2.xml><?xml version="1.0" encoding="utf-8"?>
<comments xmlns="http://schemas.openxmlformats.org/spreadsheetml/2006/main">
  <authors>
    <author>Mueller, Pam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 The FY1718 AFR reflected $20,133 unexpended which is reflected on the FY1819 Distribution Sheet as carryover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               The FY1718 AFR reflected a total of $329,870 expended with only $328,475.84 drawn.  The actual carryover is $11,730 which is reflected on the FY1819 GAL and FY1819 Distribution Sheet as carryover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The FY1718 AFR reflected a total of $72,261 expended with only $72,181 drawn.  The actual carryover is $27,819 which is reflected on the FY1819 GAL and FY1819 Distribution Sheet as carryover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The FY1718 AFR reflected $33,581 unexpended which is reflected on the FY1819 GAL and FY1819 Distribution Sheet as carryover     
</t>
        </r>
      </text>
    </comment>
  </commentList>
</comments>
</file>

<file path=xl/comments3.xml><?xml version="1.0" encoding="utf-8"?>
<comments xmlns="http://schemas.openxmlformats.org/spreadsheetml/2006/main">
  <authors>
    <author>Shields, Joseph</author>
  </authors>
  <commentList>
    <comment ref="P10" authorId="0" shapeId="0">
      <text>
        <r>
          <rPr>
            <b/>
            <sz val="9"/>
            <color indexed="81"/>
            <rFont val="Tahoma"/>
            <family val="2"/>
          </rPr>
          <t>Shields, Joseph:</t>
        </r>
        <r>
          <rPr>
            <sz val="9"/>
            <color indexed="81"/>
            <rFont val="Tahoma"/>
            <family val="2"/>
          </rPr>
          <t xml:space="preserve">
RFFs were submitted in October 2017 and November 2017, payment is being made in March 2018.</t>
        </r>
      </text>
    </comment>
  </commentList>
</comments>
</file>

<file path=xl/comments4.xml><?xml version="1.0" encoding="utf-8"?>
<comments xmlns="http://schemas.openxmlformats.org/spreadsheetml/2006/main">
  <authors>
    <author>Mueller, Pam</author>
  </authors>
  <commentList>
    <comment ref="X26" authorId="0" shapeId="0">
      <text>
        <r>
          <rPr>
            <b/>
            <sz val="9"/>
            <color indexed="81"/>
            <rFont val="Tahoma"/>
            <charset val="1"/>
          </rPr>
          <t>Mueller, Pam:</t>
        </r>
        <r>
          <rPr>
            <sz val="9"/>
            <color indexed="81"/>
            <rFont val="Tahoma"/>
            <charset val="1"/>
          </rPr>
          <t xml:space="preserve">
CR Funds retruned
</t>
        </r>
      </text>
    </comment>
  </commentList>
</comments>
</file>

<file path=xl/comments5.xml><?xml version="1.0" encoding="utf-8"?>
<comments xmlns="http://schemas.openxmlformats.org/spreadsheetml/2006/main">
  <authors>
    <author>Hambleton, Jennifer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Hambleton, Jennifer:</t>
        </r>
        <r>
          <rPr>
            <sz val="9"/>
            <color indexed="81"/>
            <rFont val="Tahoma"/>
            <family val="2"/>
          </rPr>
          <t xml:space="preserve">
No new allocation in FY1718</t>
        </r>
      </text>
    </comment>
  </commentList>
</comments>
</file>

<file path=xl/sharedStrings.xml><?xml version="1.0" encoding="utf-8"?>
<sst xmlns="http://schemas.openxmlformats.org/spreadsheetml/2006/main" count="1206" uniqueCount="431">
  <si>
    <t>Grant:</t>
  </si>
  <si>
    <t>GRANT NUMBER:</t>
  </si>
  <si>
    <t>FISCAL YEAR:</t>
  </si>
  <si>
    <t>0030</t>
  </si>
  <si>
    <t>0180</t>
  </si>
  <si>
    <t>0480</t>
  </si>
  <si>
    <t>Y001</t>
  </si>
  <si>
    <t>Y295</t>
  </si>
  <si>
    <t>Front Range Community College</t>
  </si>
  <si>
    <t>Y693</t>
  </si>
  <si>
    <t>Y695</t>
  </si>
  <si>
    <t>Y699</t>
  </si>
  <si>
    <t>Northeastern Junior College</t>
  </si>
  <si>
    <t>Y711</t>
  </si>
  <si>
    <t>Y863</t>
  </si>
  <si>
    <t>ALLOCATION</t>
  </si>
  <si>
    <t>PAYMENTS TO DATE</t>
  </si>
  <si>
    <t>BALANCE</t>
  </si>
  <si>
    <t>Question regarding payments:</t>
  </si>
  <si>
    <t xml:space="preserve">Questions regarding grant: </t>
  </si>
  <si>
    <t xml:space="preserve">Adult Education </t>
  </si>
  <si>
    <t>Marti Rodriguez  303-866-6769 or rodriguez_m@cde.state.co.us</t>
  </si>
  <si>
    <t>Colorado Springs 11</t>
  </si>
  <si>
    <t>0020</t>
  </si>
  <si>
    <t>0120</t>
  </si>
  <si>
    <t>McKinney-Vento Homeless</t>
  </si>
  <si>
    <t>Title II-B Math &amp; Science Partnerships</t>
  </si>
  <si>
    <t>Denver Public Schools</t>
  </si>
  <si>
    <t>3120</t>
  </si>
  <si>
    <t>Title V-B Charter School Grant Program</t>
  </si>
  <si>
    <t>1420</t>
  </si>
  <si>
    <t>Y006</t>
  </si>
  <si>
    <t>Y007</t>
  </si>
  <si>
    <t>Marti Rodriguez 303-866-6769 or rodriguez_m@cde.state.co.us</t>
  </si>
  <si>
    <t xml:space="preserve"> </t>
  </si>
  <si>
    <t>2690</t>
  </si>
  <si>
    <t>Pikes Peak Library District</t>
  </si>
  <si>
    <t>9035</t>
  </si>
  <si>
    <t>Centennial BOCES</t>
  </si>
  <si>
    <t>Boulder Valley School District</t>
  </si>
  <si>
    <t>0870</t>
  </si>
  <si>
    <t>Englewood School District</t>
  </si>
  <si>
    <t>1560</t>
  </si>
  <si>
    <t>Jefferson County Public School District</t>
  </si>
  <si>
    <t>Thompson</t>
  </si>
  <si>
    <t>SCHOOL NAME</t>
  </si>
  <si>
    <t>DISTRICT NAME</t>
  </si>
  <si>
    <t>Project AWARE</t>
  </si>
  <si>
    <t>Evan Davis 303-866-6129 or davis_e@cde.state.co.us</t>
  </si>
  <si>
    <t>Totals</t>
  </si>
  <si>
    <t>Title V-B Charter School Grant Program C1</t>
  </si>
  <si>
    <t>0880</t>
  </si>
  <si>
    <t>1530</t>
  </si>
  <si>
    <t>1550</t>
  </si>
  <si>
    <t>8001</t>
  </si>
  <si>
    <t>Sheridan School District 2</t>
  </si>
  <si>
    <t>Adams-Arapahoe 28J (APS)</t>
  </si>
  <si>
    <t>Poudre School District</t>
  </si>
  <si>
    <t>Charter School Institute</t>
  </si>
  <si>
    <t>0220</t>
  </si>
  <si>
    <t>JULY
2017</t>
  </si>
  <si>
    <t>AUGUST
2017</t>
  </si>
  <si>
    <t>SEPTEMBER
2017</t>
  </si>
  <si>
    <t>OCTOBER
2017</t>
  </si>
  <si>
    <t>NOVEMBER
2017</t>
  </si>
  <si>
    <t>DECEMBER
2017</t>
  </si>
  <si>
    <t>JANUARY
2018</t>
  </si>
  <si>
    <t>FEBRUARY
2018</t>
  </si>
  <si>
    <t>MARCH
2018</t>
  </si>
  <si>
    <t>APRIL
2018</t>
  </si>
  <si>
    <t>MAY
2018</t>
  </si>
  <si>
    <t>JUNE
2018</t>
  </si>
  <si>
    <t>JULY
2018</t>
  </si>
  <si>
    <t>AUGUST
2018</t>
  </si>
  <si>
    <t>SEPTEMBER
2018</t>
  </si>
  <si>
    <t>0010</t>
  </si>
  <si>
    <t>9050</t>
  </si>
  <si>
    <t>Y009</t>
  </si>
  <si>
    <t>Y646</t>
  </si>
  <si>
    <t>Y701</t>
  </si>
  <si>
    <t>Y705</t>
  </si>
  <si>
    <t>Y709</t>
  </si>
  <si>
    <t>Y815</t>
  </si>
  <si>
    <t>1010</t>
  </si>
  <si>
    <t>2180</t>
  </si>
  <si>
    <t>ILC-Adams 14</t>
  </si>
  <si>
    <t>Boulder Valley Family Literacy Program</t>
  </si>
  <si>
    <t>Jeffco</t>
  </si>
  <si>
    <t>Montrose School District RE-1J</t>
  </si>
  <si>
    <t>South Central BOCES</t>
  </si>
  <si>
    <t>TSJC - Adult Education Services</t>
  </si>
  <si>
    <t>Community Ed Outreach</t>
  </si>
  <si>
    <t>Colorado Mountain College</t>
  </si>
  <si>
    <t>Focus Points Family Resource Center</t>
  </si>
  <si>
    <t>Learning Source for Adults and Families</t>
  </si>
  <si>
    <t>Spring Institute for Intercultural Learning</t>
  </si>
  <si>
    <t>Durango Adult Education Center,  Inc.</t>
  </si>
  <si>
    <t>Community College of Denver</t>
  </si>
  <si>
    <t>Right to Read of Weld County, Inc.</t>
  </si>
  <si>
    <t>Asian Pacific Development Center</t>
  </si>
  <si>
    <t>Adams 12 Five Star Schools</t>
  </si>
  <si>
    <t>Adams County School District 14</t>
  </si>
  <si>
    <t>Westminster Public Schools</t>
  </si>
  <si>
    <t>St. Vrain Valley School District RE-1J</t>
  </si>
  <si>
    <t>1000</t>
  </si>
  <si>
    <t>El Paso County School District 8</t>
  </si>
  <si>
    <t>Jefferson County School District R-1</t>
  </si>
  <si>
    <t>Thompson School District R2J</t>
  </si>
  <si>
    <t>2000</t>
  </si>
  <si>
    <t>Mesa County Valley School District #51</t>
  </si>
  <si>
    <t>Pueblo City School District No. 60</t>
  </si>
  <si>
    <t>Mountain Valley School RE 1</t>
  </si>
  <si>
    <t>Weld County School District 6</t>
  </si>
  <si>
    <t>Centennial Board of Cooperative Educational Services</t>
  </si>
  <si>
    <t>9055</t>
  </si>
  <si>
    <t>San Luis Valley Board of Cooperative Services</t>
  </si>
  <si>
    <t>IEL CIVICS</t>
  </si>
  <si>
    <t>0900</t>
  </si>
  <si>
    <t>Y947</t>
  </si>
  <si>
    <t>Aurora Public Schools</t>
  </si>
  <si>
    <t>Metropolitan State University of Denver</t>
  </si>
  <si>
    <t>Y042</t>
  </si>
  <si>
    <t>0990</t>
  </si>
  <si>
    <t>Lake County</t>
  </si>
  <si>
    <t>Denver University</t>
  </si>
  <si>
    <t>Y004</t>
  </si>
  <si>
    <t>Y861</t>
  </si>
  <si>
    <t>Y897</t>
  </si>
  <si>
    <t>0502</t>
  </si>
  <si>
    <t>0206</t>
  </si>
  <si>
    <t>0965</t>
  </si>
  <si>
    <t>Meadow Community School</t>
  </si>
  <si>
    <t>Colorado's Finest High School of Choice</t>
  </si>
  <si>
    <t>Brady Exp School</t>
  </si>
  <si>
    <t>Centennial ES, Prairie Heights MS, Northridge HS</t>
  </si>
  <si>
    <t>Cherrelyn ES</t>
  </si>
  <si>
    <t>Colfax, Cowell, Eagleton, Lake</t>
  </si>
  <si>
    <t>Coronado Hills, Hillcrest, Malley, North Star, Stuckey, Thornton</t>
  </si>
  <si>
    <t>Englewood Middle School</t>
  </si>
  <si>
    <t>Fulton, Sable, Vaughn</t>
  </si>
  <si>
    <t>Grant Beacon MS</t>
  </si>
  <si>
    <t>Jefferson HS, Wheat Ridge, Lumberg, Stevens ES</t>
  </si>
  <si>
    <t>Lake County Intermediate School, Lake County High School</t>
  </si>
  <si>
    <t>Munroe ES</t>
  </si>
  <si>
    <t>Pennington ES</t>
  </si>
  <si>
    <t>Place Bridge Academy</t>
  </si>
  <si>
    <t>Alicia Sanchez ES</t>
  </si>
  <si>
    <t>Boys and Girls Club of Metro Denver</t>
  </si>
  <si>
    <t>YMCA of Metropolitan Denver</t>
  </si>
  <si>
    <t>Summer Scholars - Columbine</t>
  </si>
  <si>
    <t>YMCA of the Pikes Peak Region - Fountain</t>
  </si>
  <si>
    <t>Mapleton Public Schools</t>
  </si>
  <si>
    <t>Jefferson County School District</t>
  </si>
  <si>
    <t xml:space="preserve">Denver Public Schools </t>
  </si>
  <si>
    <t>Adams Arapahoe 28J (Aurora Public Schools)</t>
  </si>
  <si>
    <t>Cole, Godsman, Johnson</t>
  </si>
  <si>
    <t>Hinkley HS</t>
  </si>
  <si>
    <t>Wyatt Academy</t>
  </si>
  <si>
    <t>Columbine, Harrington, John Amesse, Oakland</t>
  </si>
  <si>
    <t>Welte Center</t>
  </si>
  <si>
    <t>Bruce Randolph, Kepner, Kunsmiller, Manual</t>
  </si>
  <si>
    <t>Y038</t>
  </si>
  <si>
    <t>Y056</t>
  </si>
  <si>
    <t>Y583</t>
  </si>
  <si>
    <t>Y584</t>
  </si>
  <si>
    <t>Colorado Uplift</t>
  </si>
  <si>
    <t>Boys &amp; Girls Club SLV Center</t>
  </si>
  <si>
    <t>Friends First</t>
  </si>
  <si>
    <t>Center for Relationship Education</t>
  </si>
  <si>
    <t>Y041</t>
  </si>
  <si>
    <t>2405</t>
  </si>
  <si>
    <t>9150</t>
  </si>
  <si>
    <t>Montrose RE-1J</t>
  </si>
  <si>
    <t>Morgan RE-3</t>
  </si>
  <si>
    <t>San Juan BOCES</t>
  </si>
  <si>
    <t>San Luis Valley BOCES</t>
  </si>
  <si>
    <t>Santa Fe Trail BOCES</t>
  </si>
  <si>
    <t>Adams-Arapahoe 28J</t>
  </si>
  <si>
    <t>1110</t>
  </si>
  <si>
    <t>2580</t>
  </si>
  <si>
    <t>Falcon School District 49</t>
  </si>
  <si>
    <t>Garfield 2</t>
  </si>
  <si>
    <t>NWBOCES</t>
  </si>
  <si>
    <t>CARRYOVER</t>
  </si>
  <si>
    <t>6653</t>
  </si>
  <si>
    <t>6957</t>
  </si>
  <si>
    <t>Power Technical Early College</t>
  </si>
  <si>
    <t>University Prep - Steele Street</t>
  </si>
  <si>
    <t>2190</t>
  </si>
  <si>
    <t>Fountain Fort Carson</t>
  </si>
  <si>
    <t>Y039</t>
  </si>
  <si>
    <t>Creed Connections, Inc.</t>
  </si>
  <si>
    <t>6719</t>
  </si>
  <si>
    <t>Parker Performing Arts Charter School</t>
  </si>
  <si>
    <t>The Juniper School</t>
  </si>
  <si>
    <t>Rocky Mountain Preparatory Schools - Fletcher Campus</t>
  </si>
  <si>
    <t>Vega Collegiate Academy Charter School</t>
  </si>
  <si>
    <t>Renaissance Secondary School</t>
  </si>
  <si>
    <t>Pueblo School for the Arts and Sciences Fulton Heights</t>
  </si>
  <si>
    <t>Pagosa Peak Open School</t>
  </si>
  <si>
    <t>Heritage Heights Academy</t>
  </si>
  <si>
    <t>Doral Academy of Colorado</t>
  </si>
  <si>
    <t>Mountain Middle School</t>
  </si>
  <si>
    <t>1520</t>
  </si>
  <si>
    <t>0130</t>
  </si>
  <si>
    <t>Durango School District 9R</t>
  </si>
  <si>
    <t>Douglas County School District RE-1</t>
  </si>
  <si>
    <t>Pueblo City Schools District 60</t>
  </si>
  <si>
    <t>Archuleta School District 50JT</t>
  </si>
  <si>
    <t>Cherry Creek School District</t>
  </si>
  <si>
    <t>5147</t>
  </si>
  <si>
    <t>2116</t>
  </si>
  <si>
    <t>DSST Henry MS</t>
  </si>
  <si>
    <t>Academy of Advanced Learning</t>
  </si>
  <si>
    <t>CEC-Aurora</t>
  </si>
  <si>
    <t>Monument View</t>
  </si>
  <si>
    <t>1360</t>
  </si>
  <si>
    <t>1380</t>
  </si>
  <si>
    <t>2590</t>
  </si>
  <si>
    <t>2780</t>
  </si>
  <si>
    <t>2830</t>
  </si>
  <si>
    <t>2840</t>
  </si>
  <si>
    <t>3090</t>
  </si>
  <si>
    <t>3210</t>
  </si>
  <si>
    <t>Adams County 14</t>
  </si>
  <si>
    <t>Arapahoe County #1</t>
  </si>
  <si>
    <t>Delta 50J</t>
  </si>
  <si>
    <t>Douglas County</t>
  </si>
  <si>
    <t>Widefield School District 3</t>
  </si>
  <si>
    <t xml:space="preserve">Gunnison </t>
  </si>
  <si>
    <t xml:space="preserve">Hinsdale County RE-1 </t>
  </si>
  <si>
    <t>Durango School District 9-R</t>
  </si>
  <si>
    <t>Laplata County 10 JT R</t>
  </si>
  <si>
    <t>Mesa County Valley  #51</t>
  </si>
  <si>
    <t>Ouray R-1</t>
  </si>
  <si>
    <t xml:space="preserve">Ouray County R-2 </t>
  </si>
  <si>
    <t xml:space="preserve">South Routt Re-3 </t>
  </si>
  <si>
    <t>Telluride School District R-1</t>
  </si>
  <si>
    <t>Norwood R2JT</t>
  </si>
  <si>
    <t>Weld County RE-3J</t>
  </si>
  <si>
    <t>Wray School District RD-2</t>
  </si>
  <si>
    <t>2017-18</t>
  </si>
  <si>
    <t>OCTOBER
2018</t>
  </si>
  <si>
    <t>NOVEMBER
2018</t>
  </si>
  <si>
    <t>JANUARY
2019</t>
  </si>
  <si>
    <t>FEBRUARY
2019</t>
  </si>
  <si>
    <t>MARCH
2019</t>
  </si>
  <si>
    <t>APRIL
2019</t>
  </si>
  <si>
    <t>MAY
2019</t>
  </si>
  <si>
    <t>JUNE
2019</t>
  </si>
  <si>
    <t>JULY
2019</t>
  </si>
  <si>
    <t>AUGUST
2019</t>
  </si>
  <si>
    <t>SEPTEMBER
2019</t>
  </si>
  <si>
    <t>DECEMBER
2018</t>
  </si>
  <si>
    <t xml:space="preserve">Javits Gifted and Talented - Right 4 Rural </t>
  </si>
  <si>
    <t>DISTRICT/AGENCY NAME</t>
  </si>
  <si>
    <t>Y028</t>
  </si>
  <si>
    <t>Y027</t>
  </si>
  <si>
    <t>Colorado Northwestern Community College</t>
  </si>
  <si>
    <t>Community Colllege of Aurora</t>
  </si>
  <si>
    <t>Y031</t>
  </si>
  <si>
    <t>Emily Griffith Technical College</t>
  </si>
  <si>
    <t>Y196</t>
  </si>
  <si>
    <t>Hilltop Community Resources</t>
  </si>
  <si>
    <t>Pikes Peak Region AEFL Consortium</t>
  </si>
  <si>
    <t>Montezuma-Cortez Sch Dist RE 1 (INC)</t>
  </si>
  <si>
    <t>Migrant Student Information Exchange</t>
  </si>
  <si>
    <t>4144</t>
  </si>
  <si>
    <t>Mesa 51</t>
  </si>
  <si>
    <t xml:space="preserve">Race To The Top- Early Learning Challenge </t>
  </si>
  <si>
    <t>5412</t>
  </si>
  <si>
    <t>Colorado Seminary DBA University of Denver</t>
  </si>
  <si>
    <t>Y044</t>
  </si>
  <si>
    <t>Adams State University</t>
  </si>
  <si>
    <t>Y046</t>
  </si>
  <si>
    <t>Regents of the University of Colorado, The dba Colorado Springs Campus</t>
  </si>
  <si>
    <t>Y047</t>
  </si>
  <si>
    <t>Y051</t>
  </si>
  <si>
    <t>Regents of the University of Colorado, The dba Denver Campus</t>
  </si>
  <si>
    <t>Y052</t>
  </si>
  <si>
    <t>Y053</t>
  </si>
  <si>
    <t>Y054</t>
  </si>
  <si>
    <t>Y055</t>
  </si>
  <si>
    <t xml:space="preserve">Naropa University </t>
  </si>
  <si>
    <t>Y401</t>
  </si>
  <si>
    <t>Colorado State University</t>
  </si>
  <si>
    <t>Y641</t>
  </si>
  <si>
    <t>University of Northern Colorado</t>
  </si>
  <si>
    <t>Y652</t>
  </si>
  <si>
    <t>Y907</t>
  </si>
  <si>
    <t>Y929</t>
  </si>
  <si>
    <t>Fort Lewis College</t>
  </si>
  <si>
    <t>0910</t>
  </si>
  <si>
    <t>Eagle County School District Re-50 J</t>
  </si>
  <si>
    <t>Y810</t>
  </si>
  <si>
    <t>Colorado Mesa University</t>
  </si>
  <si>
    <t>DISTRICT/AGENCY CODE</t>
  </si>
  <si>
    <t>DISTRICT CODE</t>
  </si>
  <si>
    <t>FISCAL AGENT</t>
  </si>
  <si>
    <t>Great Works Montessori</t>
  </si>
  <si>
    <t>0126</t>
  </si>
  <si>
    <t>1633</t>
  </si>
  <si>
    <t>2189</t>
  </si>
  <si>
    <t>4189</t>
  </si>
  <si>
    <t>Launch</t>
  </si>
  <si>
    <t>5453</t>
  </si>
  <si>
    <t>5845</t>
  </si>
  <si>
    <t>6679</t>
  </si>
  <si>
    <t>6775</t>
  </si>
  <si>
    <t>7244</t>
  </si>
  <si>
    <t>8787</t>
  </si>
  <si>
    <t>National Abstinence Education Foundation-DBA NAEF</t>
  </si>
  <si>
    <t>-</t>
  </si>
  <si>
    <t>TOTAL ALLOCATION</t>
  </si>
  <si>
    <t>TOTAL
ALLOCATION</t>
  </si>
  <si>
    <t xml:space="preserve">The Boys School of Denver </t>
  </si>
  <si>
    <t xml:space="preserve">Adams State University </t>
  </si>
  <si>
    <t>Pueblo School District 70</t>
  </si>
  <si>
    <t>2700</t>
  </si>
  <si>
    <t>Mesa County Valley School District 51</t>
  </si>
  <si>
    <t>Questions regarding payments:</t>
  </si>
  <si>
    <t>Title I-C Migrant</t>
  </si>
  <si>
    <t>0250</t>
  </si>
  <si>
    <t>0940</t>
  </si>
  <si>
    <t>Big Sandy 100J</t>
  </si>
  <si>
    <t>1780</t>
  </si>
  <si>
    <t>2620</t>
  </si>
  <si>
    <t>2630</t>
  </si>
  <si>
    <t>2650</t>
  </si>
  <si>
    <t>2720</t>
  </si>
  <si>
    <t>2760</t>
  </si>
  <si>
    <t>3010</t>
  </si>
  <si>
    <t>3050</t>
  </si>
  <si>
    <t>Title VI Rural Education</t>
  </si>
  <si>
    <t>Springfield School District Re-4</t>
  </si>
  <si>
    <t>Genoa-Hugo C-113</t>
  </si>
  <si>
    <t>Haxtun School District RE-2J</t>
  </si>
  <si>
    <t>Granada Schools</t>
  </si>
  <si>
    <t>Rangely Public Schools RE-4</t>
  </si>
  <si>
    <t>Hayden School District R1</t>
  </si>
  <si>
    <t>Teller County School District 1</t>
  </si>
  <si>
    <t>Otis School District R-3</t>
  </si>
  <si>
    <t>67xC</t>
  </si>
  <si>
    <t>C016</t>
  </si>
  <si>
    <t>Ascent Classical Academy of Douglas County</t>
  </si>
  <si>
    <t>C017</t>
  </si>
  <si>
    <t>Colorado High School GES</t>
  </si>
  <si>
    <t>C018</t>
  </si>
  <si>
    <t>Colorado Military Academy</t>
  </si>
  <si>
    <t>C019</t>
  </si>
  <si>
    <t>Liberty Tree Academy</t>
  </si>
  <si>
    <t>Falcon 49</t>
  </si>
  <si>
    <t>5423</t>
  </si>
  <si>
    <t>21st Century Cohort 7</t>
  </si>
  <si>
    <t xml:space="preserve">
CARRYOVER</t>
  </si>
  <si>
    <t>SCHOOL CODE</t>
  </si>
  <si>
    <t>Title V - Abstinence Education</t>
  </si>
  <si>
    <t>30xC</t>
  </si>
  <si>
    <t>GBL:</t>
  </si>
  <si>
    <t>27xC</t>
  </si>
  <si>
    <t>22xF</t>
  </si>
  <si>
    <t>61xD</t>
  </si>
  <si>
    <t>65xD</t>
  </si>
  <si>
    <t>61xM</t>
  </si>
  <si>
    <t xml:space="preserve">74xC </t>
  </si>
  <si>
    <t>21xC</t>
  </si>
  <si>
    <t>Multi-Tiered System of Supports</t>
  </si>
  <si>
    <t>S9xE</t>
  </si>
  <si>
    <t>SUPPLEMENTAL ALLOCATION</t>
  </si>
  <si>
    <t>32xG</t>
  </si>
  <si>
    <t>28xC</t>
  </si>
  <si>
    <t>44xC</t>
  </si>
  <si>
    <t>7233</t>
  </si>
  <si>
    <t>9053</t>
  </si>
  <si>
    <t>4384</t>
  </si>
  <si>
    <t>58xC</t>
  </si>
  <si>
    <t>35xD</t>
  </si>
  <si>
    <t>CARRY FORWARD</t>
  </si>
  <si>
    <t>REVERT</t>
  </si>
  <si>
    <t>Holyoke School District RE-1J</t>
  </si>
  <si>
    <t>C025</t>
  </si>
  <si>
    <t>Compass Community Collaborative School</t>
  </si>
  <si>
    <t>3691</t>
  </si>
  <si>
    <t>C022</t>
  </si>
  <si>
    <t>5280 High School</t>
  </si>
  <si>
    <t>C024</t>
  </si>
  <si>
    <t>Monarch Classical</t>
  </si>
  <si>
    <t>murd</t>
  </si>
  <si>
    <t>Colorado Early Colleges - Parker</t>
  </si>
  <si>
    <t>1040</t>
  </si>
  <si>
    <t>Academy 20</t>
  </si>
  <si>
    <t>C027</t>
  </si>
  <si>
    <t>New Summit</t>
  </si>
  <si>
    <t>C021</t>
  </si>
  <si>
    <t>Rocky Mountain Prep - 4 Berkeley</t>
  </si>
  <si>
    <t>SUPPLEMENTAL</t>
  </si>
  <si>
    <t>Deaf and Blind Centers</t>
  </si>
  <si>
    <t>38xD</t>
  </si>
  <si>
    <t>Y025</t>
  </si>
  <si>
    <t>Y065</t>
  </si>
  <si>
    <t>Colo School Deaf Blind</t>
  </si>
  <si>
    <t>Anchor Center for Blind Children</t>
  </si>
  <si>
    <t>A Shared Vision:  Partners in Pediatric Blindness and Visual Impairment</t>
  </si>
  <si>
    <t>0860</t>
  </si>
  <si>
    <t>Custer County C1</t>
  </si>
  <si>
    <t>0040</t>
  </si>
  <si>
    <t>Brighton School District 27J</t>
  </si>
  <si>
    <t>1590</t>
  </si>
  <si>
    <t>Primero Reorganized SD No 2</t>
  </si>
  <si>
    <t>1620</t>
  </si>
  <si>
    <t>Aguilar School District RE-6</t>
  </si>
  <si>
    <t>West End School District RE-2</t>
  </si>
  <si>
    <t>2740</t>
  </si>
  <si>
    <t>Monte Vista School District 8</t>
  </si>
  <si>
    <t>2810</t>
  </si>
  <si>
    <t>Center Consolidated School District 26 Jt</t>
  </si>
  <si>
    <t>Summit School District RE 1</t>
  </si>
  <si>
    <t>San Luis Board of Cooperative Services</t>
  </si>
  <si>
    <t>Thomas MacLaren School</t>
  </si>
  <si>
    <t>Pam Mueller 303-866-6905 or Mueller_Pam@cde.state.co.us</t>
  </si>
  <si>
    <t>September 2017</t>
  </si>
  <si>
    <t>Pam Mueller 303-866-6905 or mueller_pam@cde.state.co.us</t>
  </si>
  <si>
    <t>SEL Tutoring</t>
  </si>
  <si>
    <t>3000</t>
  </si>
  <si>
    <t>.</t>
  </si>
  <si>
    <t>2055</t>
  </si>
  <si>
    <t>Dolores Re-4 School District</t>
  </si>
  <si>
    <t>Pam Mueller303-866-6905 or Mueller_Pam@cde.state.co.us</t>
  </si>
  <si>
    <t>Education</t>
  </si>
  <si>
    <t>Diane Simmons 303.866.5692 Simmons_D@cde.state.co.us</t>
  </si>
  <si>
    <t xml:space="preserve">Diane Simmons 303.866.5692 Simmons_D@cde.state.co.us
Bullying
Career Success Incentives
EARSS – all cohorts
School Counselor CORP – all cohorts
Student Re-engagement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</si>
</sst>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.00_);_(&quot;$&quot;* \(\ #,##0.00\ \);_(&quot;$&quot;* &quot;-&quot;??_);_(\ @_ \)"/>
    <numFmt numFmtId="167" formatCode="_(* #,##0.00_);_(* \(\ #,##0.00\ \);_(* &quot;-&quot;??_);_(\ @_ \)"/>
    <numFmt numFmtId="168" formatCode="_(&quot;$&quot;* #,##0_);_(&quot;$&quot;* \(#,##0\);_(&quot;$&quot;* &quot;-&quot;??_);_(@_)"/>
    <numFmt numFmtId="169" formatCode="_(* #,##0.00_);_(* \(#,##0.00\);_(* &quot;-&quot;_);_(@_)"/>
    <numFmt numFmtId="170" formatCode="&quot;$&quot;#,##0"/>
  </numFmts>
  <fonts count="7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10"/>
      <color indexed="8"/>
      <name val="Arial"/>
      <family val="2"/>
    </font>
    <font>
      <sz val="12"/>
      <name val="Helv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ourier"/>
      <family val="3"/>
    </font>
    <font>
      <sz val="8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 style="medium">
        <color rgb="FFC4D79B"/>
      </right>
      <top style="medium">
        <color indexed="64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indexed="64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indexed="64"/>
      </top>
      <bottom style="medium">
        <color rgb="FFC4D79B"/>
      </bottom>
      <diagonal/>
    </border>
    <border>
      <left/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/>
      <top style="medium">
        <color rgb="FFC4D79B"/>
      </top>
      <bottom style="medium">
        <color rgb="FFC4D79B"/>
      </bottom>
      <diagonal/>
    </border>
    <border>
      <left/>
      <right style="medium">
        <color rgb="FFC4D79B"/>
      </right>
      <top style="medium">
        <color rgb="FFC4D79B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theme="6" tint="0.399914548173467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6" tint="0.39991454817346722"/>
      </bottom>
      <diagonal/>
    </border>
    <border>
      <left/>
      <right style="medium">
        <color rgb="FFC4D79B"/>
      </right>
      <top/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/>
      <bottom style="medium">
        <color rgb="FFC4D79B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theme="6" tint="0.39994506668294322"/>
      </left>
      <right/>
      <top style="medium">
        <color indexed="64"/>
      </top>
      <bottom/>
      <diagonal/>
    </border>
  </borders>
  <cellStyleXfs count="282">
    <xf numFmtId="0" fontId="0" fillId="0" borderId="0"/>
    <xf numFmtId="43" fontId="13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0" fontId="15" fillId="0" borderId="0"/>
    <xf numFmtId="44" fontId="14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4" fillId="0" borderId="0"/>
    <xf numFmtId="0" fontId="3" fillId="0" borderId="0"/>
    <xf numFmtId="43" fontId="12" fillId="0" borderId="0" applyFont="0" applyFill="0" applyBorder="0" applyAlignment="0" applyProtection="0"/>
    <xf numFmtId="0" fontId="14" fillId="0" borderId="0"/>
    <xf numFmtId="0" fontId="2" fillId="0" borderId="0"/>
    <xf numFmtId="9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4" borderId="22" applyNumberFormat="0" applyAlignment="0" applyProtection="0"/>
    <xf numFmtId="0" fontId="25" fillId="18" borderId="23" applyNumberFormat="0" applyAlignment="0" applyProtection="0"/>
    <xf numFmtId="44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22" applyNumberFormat="0" applyAlignment="0" applyProtection="0"/>
    <xf numFmtId="0" fontId="32" fillId="0" borderId="27" applyNumberFormat="0" applyFill="0" applyAlignment="0" applyProtection="0"/>
    <xf numFmtId="0" fontId="33" fillId="10" borderId="0" applyNumberFormat="0" applyBorder="0" applyAlignment="0" applyProtection="0"/>
    <xf numFmtId="0" fontId="2" fillId="0" borderId="0"/>
    <xf numFmtId="0" fontId="21" fillId="6" borderId="28" applyNumberFormat="0" applyFont="0" applyAlignment="0" applyProtection="0"/>
    <xf numFmtId="0" fontId="34" fillId="4" borderId="29" applyNumberFormat="0" applyAlignment="0" applyProtection="0"/>
    <xf numFmtId="0" fontId="35" fillId="0" borderId="0" applyNumberFormat="0" applyFill="0" applyBorder="0" applyAlignment="0" applyProtection="0"/>
    <xf numFmtId="0" fontId="36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2" fillId="0" borderId="0"/>
    <xf numFmtId="0" fontId="38" fillId="0" borderId="0"/>
    <xf numFmtId="167" fontId="38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9" fillId="0" borderId="0"/>
    <xf numFmtId="0" fontId="14" fillId="0" borderId="0"/>
    <xf numFmtId="5" fontId="41" fillId="0" borderId="0"/>
    <xf numFmtId="0" fontId="39" fillId="0" borderId="0"/>
    <xf numFmtId="0" fontId="2" fillId="0" borderId="0" applyFill="0"/>
    <xf numFmtId="0" fontId="40" fillId="0" borderId="0"/>
    <xf numFmtId="5" fontId="41" fillId="0" borderId="0"/>
    <xf numFmtId="0" fontId="3" fillId="0" borderId="0"/>
    <xf numFmtId="0" fontId="14" fillId="4" borderId="0"/>
    <xf numFmtId="0" fontId="12" fillId="0" borderId="0"/>
    <xf numFmtId="0" fontId="14" fillId="0" borderId="0"/>
    <xf numFmtId="0" fontId="2" fillId="0" borderId="0"/>
    <xf numFmtId="0" fontId="42" fillId="0" borderId="0"/>
    <xf numFmtId="43" fontId="42" fillId="0" borderId="0" applyFont="0" applyFill="0" applyBorder="0" applyAlignment="0" applyProtection="0"/>
    <xf numFmtId="0" fontId="38" fillId="0" borderId="0"/>
    <xf numFmtId="0" fontId="3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/>
    <xf numFmtId="0" fontId="45" fillId="0" borderId="0"/>
    <xf numFmtId="9" fontId="45" fillId="0" borderId="0" applyFont="0" applyFill="0" applyBorder="0" applyAlignment="0" applyProtection="0"/>
    <xf numFmtId="0" fontId="3" fillId="0" borderId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6" fillId="0" borderId="0"/>
    <xf numFmtId="0" fontId="46" fillId="0" borderId="0"/>
    <xf numFmtId="0" fontId="45" fillId="0" borderId="0"/>
    <xf numFmtId="9" fontId="45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44" fontId="3" fillId="0" borderId="0" applyFont="0" applyFill="0" applyBorder="0" applyAlignment="0" applyProtection="0"/>
    <xf numFmtId="44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/>
    <xf numFmtId="0" fontId="14" fillId="4" borderId="0"/>
    <xf numFmtId="0" fontId="4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5" applyNumberFormat="0" applyFill="0" applyAlignment="0" applyProtection="0"/>
    <xf numFmtId="0" fontId="52" fillId="0" borderId="36" applyNumberFormat="0" applyFill="0" applyAlignment="0" applyProtection="0"/>
    <xf numFmtId="0" fontId="53" fillId="0" borderId="37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38" applyNumberFormat="0" applyAlignment="0" applyProtection="0"/>
    <xf numFmtId="0" fontId="58" fillId="24" borderId="39" applyNumberFormat="0" applyAlignment="0" applyProtection="0"/>
    <xf numFmtId="0" fontId="59" fillId="24" borderId="38" applyNumberFormat="0" applyAlignment="0" applyProtection="0"/>
    <xf numFmtId="0" fontId="60" fillId="0" borderId="40" applyNumberFormat="0" applyFill="0" applyAlignment="0" applyProtection="0"/>
    <xf numFmtId="0" fontId="61" fillId="25" borderId="41" applyNumberFormat="0" applyAlignment="0" applyProtection="0"/>
    <xf numFmtId="0" fontId="62" fillId="0" borderId="0" applyNumberFormat="0" applyFill="0" applyBorder="0" applyAlignment="0" applyProtection="0"/>
    <xf numFmtId="0" fontId="3" fillId="26" borderId="42" applyNumberFormat="0" applyFont="0" applyAlignment="0" applyProtection="0"/>
    <xf numFmtId="0" fontId="63" fillId="0" borderId="0" applyNumberFormat="0" applyFill="0" applyBorder="0" applyAlignment="0" applyProtection="0"/>
    <xf numFmtId="0" fontId="4" fillId="0" borderId="43" applyNumberFormat="0" applyFill="0" applyAlignment="0" applyProtection="0"/>
    <xf numFmtId="0" fontId="6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64" fillId="50" borderId="0" applyNumberFormat="0" applyBorder="0" applyAlignment="0" applyProtection="0"/>
    <xf numFmtId="0" fontId="40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2" fillId="0" borderId="0"/>
    <xf numFmtId="0" fontId="1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vertical="top"/>
    </xf>
    <xf numFmtId="4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5" fontId="41" fillId="0" borderId="0"/>
    <xf numFmtId="0" fontId="14" fillId="0" borderId="0"/>
    <xf numFmtId="0" fontId="3" fillId="0" borderId="0"/>
    <xf numFmtId="5" fontId="41" fillId="0" borderId="0"/>
    <xf numFmtId="0" fontId="40" fillId="0" borderId="0"/>
    <xf numFmtId="0" fontId="14" fillId="4" borderId="0"/>
    <xf numFmtId="0" fontId="40" fillId="0" borderId="0"/>
    <xf numFmtId="0" fontId="66" fillId="4" borderId="0"/>
    <xf numFmtId="0" fontId="66" fillId="4" borderId="0"/>
    <xf numFmtId="0" fontId="3" fillId="0" borderId="0"/>
    <xf numFmtId="0" fontId="66" fillId="4" borderId="0"/>
    <xf numFmtId="0" fontId="40" fillId="0" borderId="0"/>
    <xf numFmtId="0" fontId="67" fillId="0" borderId="44">
      <alignment vertical="center"/>
    </xf>
    <xf numFmtId="0" fontId="68" fillId="0" borderId="44" applyNumberFormat="0" applyFont="0" applyFill="0" applyBorder="0" applyAlignment="0" applyProtection="0">
      <alignment vertical="center"/>
    </xf>
  </cellStyleXfs>
  <cellXfs count="268">
    <xf numFmtId="0" fontId="0" fillId="0" borderId="0" xfId="0"/>
    <xf numFmtId="3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/>
    <xf numFmtId="0" fontId="8" fillId="0" borderId="0" xfId="0" applyFont="1" applyFill="1"/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center"/>
    </xf>
    <xf numFmtId="4" fontId="0" fillId="0" borderId="0" xfId="0" applyNumberFormat="1" applyFill="1"/>
    <xf numFmtId="4" fontId="0" fillId="0" borderId="0" xfId="0" applyNumberFormat="1" applyFill="1" applyAlignment="1">
      <alignment wrapText="1"/>
    </xf>
    <xf numFmtId="0" fontId="1" fillId="0" borderId="0" xfId="0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/>
    <xf numFmtId="0" fontId="8" fillId="2" borderId="0" xfId="0" applyFont="1" applyFill="1" applyAlignment="1">
      <alignment horizont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11" fillId="2" borderId="0" xfId="0" applyFont="1" applyFill="1"/>
    <xf numFmtId="0" fontId="6" fillId="2" borderId="0" xfId="0" applyFont="1" applyFill="1"/>
    <xf numFmtId="0" fontId="4" fillId="2" borderId="10" xfId="0" applyFont="1" applyFill="1" applyBorder="1"/>
    <xf numFmtId="0" fontId="0" fillId="0" borderId="0" xfId="0" applyFont="1"/>
    <xf numFmtId="3" fontId="17" fillId="2" borderId="7" xfId="0" applyNumberFormat="1" applyFont="1" applyFill="1" applyBorder="1" applyAlignment="1">
      <alignment horizontal="left"/>
    </xf>
    <xf numFmtId="38" fontId="0" fillId="0" borderId="0" xfId="0" applyNumberFormat="1" applyFill="1"/>
    <xf numFmtId="0" fontId="4" fillId="0" borderId="0" xfId="0" applyFont="1" applyFill="1"/>
    <xf numFmtId="0" fontId="4" fillId="3" borderId="4" xfId="0" applyFont="1" applyFill="1" applyBorder="1" applyAlignment="1">
      <alignment horizontal="center" wrapText="1"/>
    </xf>
    <xf numFmtId="17" fontId="4" fillId="0" borderId="3" xfId="0" quotePrefix="1" applyNumberFormat="1" applyFont="1" applyFill="1" applyBorder="1" applyAlignment="1">
      <alignment horizontal="center" vertical="center" wrapText="1"/>
    </xf>
    <xf numFmtId="17" fontId="4" fillId="0" borderId="1" xfId="0" quotePrefix="1" applyNumberFormat="1" applyFont="1" applyFill="1" applyBorder="1" applyAlignment="1">
      <alignment horizontal="center" vertical="center" wrapText="1"/>
    </xf>
    <xf numFmtId="4" fontId="0" fillId="2" borderId="7" xfId="0" applyNumberFormat="1" applyFill="1" applyBorder="1"/>
    <xf numFmtId="0" fontId="4" fillId="3" borderId="1" xfId="0" applyFont="1" applyFill="1" applyBorder="1" applyAlignment="1">
      <alignment horizontal="center" wrapText="1"/>
    </xf>
    <xf numFmtId="3" fontId="0" fillId="0" borderId="0" xfId="0" applyNumberFormat="1"/>
    <xf numFmtId="0" fontId="0" fillId="2" borderId="16" xfId="0" applyFont="1" applyFill="1" applyBorder="1"/>
    <xf numFmtId="0" fontId="0" fillId="0" borderId="0" xfId="0" applyFill="1" applyAlignment="1">
      <alignment horizontal="right"/>
    </xf>
    <xf numFmtId="0" fontId="0" fillId="2" borderId="20" xfId="0" applyFill="1" applyBorder="1"/>
    <xf numFmtId="0" fontId="7" fillId="2" borderId="0" xfId="0" applyNumberFormat="1" applyFont="1" applyFill="1"/>
    <xf numFmtId="0" fontId="9" fillId="2" borderId="0" xfId="0" applyNumberFormat="1" applyFont="1" applyFill="1"/>
    <xf numFmtId="0" fontId="4" fillId="0" borderId="2" xfId="0" applyNumberFormat="1" applyFont="1" applyFill="1" applyBorder="1" applyAlignment="1">
      <alignment horizontal="center" wrapText="1"/>
    </xf>
    <xf numFmtId="0" fontId="0" fillId="0" borderId="0" xfId="0" applyNumberFormat="1" applyFill="1" applyBorder="1"/>
    <xf numFmtId="0" fontId="0" fillId="0" borderId="0" xfId="0" applyNumberFormat="1"/>
    <xf numFmtId="3" fontId="0" fillId="0" borderId="0" xfId="0" applyNumberFormat="1" applyAlignment="1">
      <alignment vertical="top"/>
    </xf>
    <xf numFmtId="0" fontId="0" fillId="2" borderId="10" xfId="0" applyFont="1" applyFill="1" applyBorder="1"/>
    <xf numFmtId="0" fontId="0" fillId="0" borderId="0" xfId="0" applyAlignment="1">
      <alignment wrapText="1"/>
    </xf>
    <xf numFmtId="3" fontId="0" fillId="0" borderId="0" xfId="0" applyNumberFormat="1" applyFill="1" applyAlignment="1">
      <alignment wrapText="1"/>
    </xf>
    <xf numFmtId="2" fontId="9" fillId="2" borderId="0" xfId="0" quotePrefix="1" applyNumberFormat="1" applyFont="1" applyFill="1" applyAlignment="1">
      <alignment horizontal="left"/>
    </xf>
    <xf numFmtId="3" fontId="4" fillId="2" borderId="7" xfId="0" applyNumberFormat="1" applyFont="1" applyFill="1" applyBorder="1" applyAlignment="1">
      <alignment horizontal="center" vertical="center"/>
    </xf>
    <xf numFmtId="165" fontId="0" fillId="0" borderId="0" xfId="0" applyNumberFormat="1"/>
    <xf numFmtId="168" fontId="0" fillId="0" borderId="0" xfId="0" applyNumberFormat="1" applyFill="1"/>
    <xf numFmtId="0" fontId="4" fillId="2" borderId="16" xfId="0" applyFont="1" applyFill="1" applyBorder="1"/>
    <xf numFmtId="49" fontId="0" fillId="2" borderId="7" xfId="0" applyNumberForma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vertical="top"/>
    </xf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wrapText="1"/>
    </xf>
    <xf numFmtId="17" fontId="4" fillId="0" borderId="1" xfId="0" quotePrefix="1" applyNumberFormat="1" applyFont="1" applyFill="1" applyBorder="1" applyAlignment="1">
      <alignment horizontal="center" wrapText="1"/>
    </xf>
    <xf numFmtId="0" fontId="10" fillId="2" borderId="0" xfId="0" applyFont="1" applyFill="1"/>
    <xf numFmtId="17" fontId="4" fillId="0" borderId="1" xfId="0" applyNumberFormat="1" applyFont="1" applyFill="1" applyBorder="1" applyAlignment="1">
      <alignment horizontal="center" wrapText="1"/>
    </xf>
    <xf numFmtId="3" fontId="4" fillId="2" borderId="7" xfId="0" applyNumberFormat="1" applyFont="1" applyFill="1" applyBorder="1"/>
    <xf numFmtId="17" fontId="4" fillId="0" borderId="3" xfId="0" quotePrefix="1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vertical="top" wrapText="1"/>
    </xf>
    <xf numFmtId="49" fontId="7" fillId="2" borderId="0" xfId="0" applyNumberFormat="1" applyFont="1" applyFill="1"/>
    <xf numFmtId="49" fontId="9" fillId="2" borderId="0" xfId="0" applyNumberFormat="1" applyFont="1" applyFill="1"/>
    <xf numFmtId="49" fontId="4" fillId="2" borderId="7" xfId="0" applyNumberFormat="1" applyFont="1" applyFill="1" applyBorder="1" applyAlignment="1">
      <alignment vertical="top"/>
    </xf>
    <xf numFmtId="49" fontId="0" fillId="0" borderId="0" xfId="0" applyNumberFormat="1"/>
    <xf numFmtId="49" fontId="7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43" fontId="0" fillId="0" borderId="0" xfId="0" applyNumberFormat="1"/>
    <xf numFmtId="49" fontId="5" fillId="2" borderId="12" xfId="0" quotePrefix="1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41" fontId="0" fillId="0" borderId="0" xfId="24" applyNumberFormat="1" applyFont="1" applyAlignment="1">
      <alignment vertical="center"/>
    </xf>
    <xf numFmtId="49" fontId="5" fillId="2" borderId="15" xfId="0" quotePrefix="1" applyNumberFormat="1" applyFont="1" applyFill="1" applyBorder="1" applyAlignment="1">
      <alignment horizontal="center" vertical="center"/>
    </xf>
    <xf numFmtId="0" fontId="5" fillId="2" borderId="16" xfId="0" quotePrefix="1" applyFont="1" applyFill="1" applyBorder="1" applyAlignment="1">
      <alignment horizontal="left"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49" fontId="0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49" fontId="0" fillId="2" borderId="15" xfId="0" applyNumberFormat="1" applyFill="1" applyBorder="1" applyAlignment="1">
      <alignment horizontal="center" vertical="center"/>
    </xf>
    <xf numFmtId="41" fontId="17" fillId="2" borderId="16" xfId="0" applyNumberFormat="1" applyFont="1" applyFill="1" applyBorder="1" applyAlignment="1">
      <alignment horizontal="right" vertical="center" wrapText="1"/>
    </xf>
    <xf numFmtId="41" fontId="0" fillId="0" borderId="0" xfId="24" applyNumberFormat="1" applyFont="1" applyFill="1" applyAlignment="1">
      <alignment vertical="center" wrapText="1"/>
    </xf>
    <xf numFmtId="49" fontId="4" fillId="2" borderId="15" xfId="0" applyNumberFormat="1" applyFont="1" applyFill="1" applyBorder="1" applyAlignment="1">
      <alignment horizontal="center" vertical="center"/>
    </xf>
    <xf numFmtId="41" fontId="4" fillId="2" borderId="16" xfId="0" applyNumberFormat="1" applyFont="1" applyFill="1" applyBorder="1" applyAlignment="1">
      <alignment horizontal="right" vertical="center"/>
    </xf>
    <xf numFmtId="49" fontId="5" fillId="2" borderId="16" xfId="0" applyNumberFormat="1" applyFont="1" applyFill="1" applyBorder="1" applyAlignment="1">
      <alignment horizontal="left" vertical="center" wrapText="1"/>
    </xf>
    <xf numFmtId="41" fontId="0" fillId="2" borderId="16" xfId="24" applyNumberFormat="1" applyFont="1" applyFill="1" applyBorder="1" applyAlignment="1">
      <alignment horizontal="right" vertical="center"/>
    </xf>
    <xf numFmtId="41" fontId="0" fillId="2" borderId="17" xfId="24" applyNumberFormat="1" applyFont="1" applyFill="1" applyBorder="1" applyAlignment="1">
      <alignment horizontal="right" vertical="center"/>
    </xf>
    <xf numFmtId="41" fontId="0" fillId="0" borderId="0" xfId="24" applyNumberFormat="1" applyFont="1" applyAlignment="1">
      <alignment horizontal="right" vertical="center"/>
    </xf>
    <xf numFmtId="41" fontId="0" fillId="0" borderId="0" xfId="24" applyNumberFormat="1" applyFont="1" applyFill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49" fontId="5" fillId="2" borderId="16" xfId="0" quotePrefix="1" applyNumberFormat="1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left" vertical="center" wrapText="1"/>
    </xf>
    <xf numFmtId="41" fontId="0" fillId="2" borderId="18" xfId="24" applyNumberFormat="1" applyFont="1" applyFill="1" applyBorder="1" applyAlignment="1">
      <alignment horizontal="right" vertical="center"/>
    </xf>
    <xf numFmtId="41" fontId="0" fillId="0" borderId="0" xfId="24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41" fontId="4" fillId="2" borderId="16" xfId="24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5" fillId="2" borderId="6" xfId="0" quotePrefix="1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vertical="center" wrapText="1"/>
    </xf>
    <xf numFmtId="41" fontId="0" fillId="2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5" fillId="2" borderId="8" xfId="0" applyNumberFormat="1" applyFont="1" applyFill="1" applyBorder="1" applyAlignment="1">
      <alignment horizontal="right" vertical="center"/>
    </xf>
    <xf numFmtId="0" fontId="17" fillId="2" borderId="6" xfId="0" quotePrefix="1" applyNumberFormat="1" applyFont="1" applyFill="1" applyBorder="1" applyAlignment="1">
      <alignment horizontal="center" vertical="center"/>
    </xf>
    <xf numFmtId="41" fontId="4" fillId="2" borderId="7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/>
    <xf numFmtId="0" fontId="0" fillId="0" borderId="0" xfId="0" applyFill="1" applyBorder="1" applyAlignment="1"/>
    <xf numFmtId="3" fontId="0" fillId="0" borderId="0" xfId="0" applyNumberFormat="1" applyAlignment="1"/>
    <xf numFmtId="0" fontId="0" fillId="0" borderId="0" xfId="0" applyAlignment="1"/>
    <xf numFmtId="49" fontId="0" fillId="2" borderId="7" xfId="0" quotePrefix="1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left" vertical="center" wrapText="1"/>
    </xf>
    <xf numFmtId="41" fontId="0" fillId="2" borderId="7" xfId="0" applyNumberFormat="1" applyFill="1" applyBorder="1" applyAlignment="1">
      <alignment horizontal="right" vertical="center"/>
    </xf>
    <xf numFmtId="41" fontId="0" fillId="2" borderId="5" xfId="0" applyNumberForma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/>
    </xf>
    <xf numFmtId="41" fontId="0" fillId="2" borderId="9" xfId="0" applyNumberFormat="1" applyFill="1" applyBorder="1" applyAlignment="1">
      <alignment horizontal="right" vertical="center"/>
    </xf>
    <xf numFmtId="49" fontId="0" fillId="2" borderId="7" xfId="0" quotePrefix="1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0" fontId="9" fillId="2" borderId="0" xfId="0" quotePrefix="1" applyFont="1" applyFill="1"/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/>
    <xf numFmtId="4" fontId="8" fillId="2" borderId="0" xfId="0" applyNumberFormat="1" applyFont="1" applyFill="1"/>
    <xf numFmtId="4" fontId="0" fillId="2" borderId="0" xfId="0" applyNumberFormat="1" applyFill="1" applyAlignment="1">
      <alignment wrapText="1"/>
    </xf>
    <xf numFmtId="4" fontId="9" fillId="2" borderId="0" xfId="0" applyNumberFormat="1" applyFont="1" applyFill="1" applyAlignment="1">
      <alignment horizontal="left"/>
    </xf>
    <xf numFmtId="4" fontId="9" fillId="2" borderId="0" xfId="0" applyNumberFormat="1" applyFont="1" applyFill="1"/>
    <xf numFmtId="4" fontId="6" fillId="2" borderId="0" xfId="0" applyNumberFormat="1" applyFont="1" applyFill="1"/>
    <xf numFmtId="4" fontId="9" fillId="2" borderId="0" xfId="0" quotePrefix="1" applyNumberFormat="1" applyFont="1" applyFill="1" applyAlignment="1">
      <alignment horizontal="left"/>
    </xf>
    <xf numFmtId="0" fontId="9" fillId="2" borderId="0" xfId="0" applyFont="1" applyFill="1" applyBorder="1"/>
    <xf numFmtId="0" fontId="0" fillId="2" borderId="0" xfId="0" applyFill="1" applyBorder="1"/>
    <xf numFmtId="4" fontId="9" fillId="2" borderId="0" xfId="0" applyNumberFormat="1" applyFont="1" applyFill="1" applyBorder="1"/>
    <xf numFmtId="4" fontId="4" fillId="2" borderId="0" xfId="0" applyNumberFormat="1" applyFont="1" applyFill="1" applyBorder="1" applyAlignment="1">
      <alignment horizontal="center" wrapText="1"/>
    </xf>
    <xf numFmtId="4" fontId="0" fillId="2" borderId="0" xfId="0" applyNumberFormat="1" applyFill="1" applyBorder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4" fontId="0" fillId="2" borderId="0" xfId="0" applyNumberFormat="1" applyFill="1" applyAlignment="1">
      <alignment horizontal="center" wrapText="1"/>
    </xf>
    <xf numFmtId="0" fontId="5" fillId="2" borderId="15" xfId="0" quotePrefix="1" applyFont="1" applyFill="1" applyBorder="1" applyAlignment="1">
      <alignment horizontal="center" vertical="center"/>
    </xf>
    <xf numFmtId="41" fontId="5" fillId="2" borderId="16" xfId="24" applyNumberFormat="1" applyFont="1" applyFill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41" fontId="0" fillId="2" borderId="16" xfId="24" applyNumberFormat="1" applyFont="1" applyFill="1" applyBorder="1" applyAlignment="1">
      <alignment vertical="center"/>
    </xf>
    <xf numFmtId="41" fontId="0" fillId="2" borderId="17" xfId="24" applyNumberFormat="1" applyFont="1" applyFill="1" applyBorder="1" applyAlignment="1">
      <alignment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left" wrapText="1"/>
    </xf>
    <xf numFmtId="41" fontId="17" fillId="2" borderId="16" xfId="24" applyNumberFormat="1" applyFont="1" applyFill="1" applyBorder="1" applyAlignment="1">
      <alignment horizontal="right" vertical="center"/>
    </xf>
    <xf numFmtId="4" fontId="0" fillId="0" borderId="0" xfId="0" applyNumberFormat="1"/>
    <xf numFmtId="41" fontId="5" fillId="2" borderId="7" xfId="0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9" fontId="4" fillId="2" borderId="7" xfId="0" applyNumberFormat="1" applyFont="1" applyFill="1" applyBorder="1" applyAlignment="1">
      <alignment horizontal="right" vertical="center"/>
    </xf>
    <xf numFmtId="41" fontId="0" fillId="2" borderId="7" xfId="24" applyNumberFormat="1" applyFont="1" applyFill="1" applyBorder="1" applyAlignment="1">
      <alignment horizontal="right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41" fontId="4" fillId="2" borderId="46" xfId="24" applyNumberFormat="1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left" vertical="center" wrapText="1"/>
    </xf>
    <xf numFmtId="41" fontId="5" fillId="2" borderId="33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41" fontId="17" fillId="2" borderId="16" xfId="0" applyNumberFormat="1" applyFont="1" applyFill="1" applyBorder="1" applyAlignment="1">
      <alignment horizontal="right" vertical="center"/>
    </xf>
    <xf numFmtId="41" fontId="4" fillId="2" borderId="10" xfId="24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41" fontId="0" fillId="2" borderId="5" xfId="24" applyNumberFormat="1" applyFont="1" applyFill="1" applyBorder="1" applyAlignment="1">
      <alignment horizontal="right" vertical="center"/>
    </xf>
    <xf numFmtId="41" fontId="0" fillId="2" borderId="21" xfId="24" applyNumberFormat="1" applyFont="1" applyFill="1" applyBorder="1" applyAlignment="1">
      <alignment horizontal="right" vertic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left" vertical="center" wrapText="1"/>
    </xf>
    <xf numFmtId="49" fontId="0" fillId="2" borderId="16" xfId="0" applyNumberFormat="1" applyFill="1" applyBorder="1" applyAlignment="1">
      <alignment horizontal="left" vertical="center" wrapText="1"/>
    </xf>
    <xf numFmtId="41" fontId="0" fillId="2" borderId="14" xfId="24" applyNumberFormat="1" applyFont="1" applyFill="1" applyBorder="1" applyAlignment="1">
      <alignment horizontal="right" vertical="center"/>
    </xf>
    <xf numFmtId="49" fontId="0" fillId="2" borderId="13" xfId="0" applyNumberFormat="1" applyFill="1" applyBorder="1" applyAlignment="1">
      <alignment horizontal="left" vertical="center" wrapText="1"/>
    </xf>
    <xf numFmtId="41" fontId="0" fillId="0" borderId="34" xfId="24" applyNumberFormat="1" applyFont="1" applyBorder="1" applyAlignment="1">
      <alignment horizontal="right" vertical="center"/>
    </xf>
    <xf numFmtId="49" fontId="0" fillId="2" borderId="7" xfId="0" applyNumberFormat="1" applyFill="1" applyBorder="1" applyAlignment="1">
      <alignment wrapText="1"/>
    </xf>
    <xf numFmtId="41" fontId="0" fillId="0" borderId="0" xfId="24" applyNumberFormat="1" applyFont="1" applyFill="1"/>
    <xf numFmtId="3" fontId="0" fillId="2" borderId="7" xfId="0" applyNumberFormat="1" applyFill="1" applyBorder="1" applyAlignment="1">
      <alignment horizontal="center" vertical="center"/>
    </xf>
    <xf numFmtId="41" fontId="4" fillId="0" borderId="0" xfId="0" quotePrefix="1" applyNumberFormat="1" applyFont="1" applyFill="1" applyBorder="1" applyAlignment="1">
      <alignment horizontal="right" vertical="center" wrapText="1"/>
    </xf>
    <xf numFmtId="41" fontId="4" fillId="2" borderId="7" xfId="24" applyNumberFormat="1" applyFont="1" applyFill="1" applyBorder="1" applyAlignment="1">
      <alignment horizontal="right" vertical="center"/>
    </xf>
    <xf numFmtId="41" fontId="0" fillId="2" borderId="8" xfId="0" applyNumberFormat="1" applyFont="1" applyFill="1" applyBorder="1" applyAlignment="1">
      <alignment horizontal="right" vertical="center"/>
    </xf>
    <xf numFmtId="170" fontId="0" fillId="0" borderId="0" xfId="0" applyNumberFormat="1"/>
    <xf numFmtId="170" fontId="4" fillId="0" borderId="0" xfId="0" applyNumberFormat="1" applyFont="1"/>
    <xf numFmtId="0" fontId="69" fillId="0" borderId="0" xfId="0" applyFont="1" applyBorder="1"/>
    <xf numFmtId="0" fontId="0" fillId="0" borderId="0" xfId="0" applyAlignment="1">
      <alignment vertical="center"/>
    </xf>
    <xf numFmtId="49" fontId="4" fillId="0" borderId="0" xfId="0" quotePrefix="1" applyNumberFormat="1" applyFont="1" applyFill="1" applyBorder="1" applyAlignment="1">
      <alignment horizontal="center" vertical="center" wrapText="1"/>
    </xf>
    <xf numFmtId="0" fontId="70" fillId="2" borderId="0" xfId="0" applyFont="1" applyFill="1"/>
    <xf numFmtId="49" fontId="0" fillId="2" borderId="16" xfId="0" applyNumberFormat="1" applyFont="1" applyFill="1" applyBorder="1" applyAlignment="1">
      <alignment vertical="center" wrapText="1"/>
    </xf>
    <xf numFmtId="49" fontId="0" fillId="2" borderId="15" xfId="0" quotePrefix="1" applyNumberFormat="1" applyFill="1" applyBorder="1" applyAlignment="1">
      <alignment horizontal="center" vertical="center"/>
    </xf>
    <xf numFmtId="41" fontId="0" fillId="0" borderId="0" xfId="24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8" fillId="0" borderId="0" xfId="0" applyFont="1"/>
    <xf numFmtId="0" fontId="9" fillId="2" borderId="0" xfId="0" applyFont="1" applyFill="1" applyAlignment="1">
      <alignment horizontal="left" wrapText="1"/>
    </xf>
    <xf numFmtId="2" fontId="7" fillId="2" borderId="0" xfId="0" quotePrefix="1" applyNumberFormat="1" applyFont="1" applyFill="1" applyAlignment="1">
      <alignment horizontal="left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165" fontId="0" fillId="0" borderId="0" xfId="24" applyNumberFormat="1" applyFont="1" applyAlignment="1">
      <alignment wrapText="1"/>
    </xf>
    <xf numFmtId="165" fontId="0" fillId="0" borderId="0" xfId="24" applyNumberFormat="1" applyFont="1" applyBorder="1" applyAlignment="1">
      <alignment wrapText="1"/>
    </xf>
    <xf numFmtId="41" fontId="5" fillId="2" borderId="16" xfId="0" applyNumberFormat="1" applyFont="1" applyFill="1" applyBorder="1" applyAlignment="1">
      <alignment horizontal="right" vertical="center" wrapText="1"/>
    </xf>
    <xf numFmtId="49" fontId="4" fillId="0" borderId="1" xfId="0" quotePrefix="1" applyNumberFormat="1" applyFont="1" applyFill="1" applyBorder="1" applyAlignment="1">
      <alignment horizontal="center" wrapText="1"/>
    </xf>
    <xf numFmtId="0" fontId="9" fillId="2" borderId="0" xfId="0" applyFont="1" applyFill="1" applyAlignment="1"/>
    <xf numFmtId="0" fontId="6" fillId="2" borderId="0" xfId="0" applyFont="1" applyFill="1" applyAlignment="1"/>
    <xf numFmtId="41" fontId="3" fillId="2" borderId="10" xfId="24" applyNumberFormat="1" applyFont="1" applyFill="1" applyBorder="1" applyAlignment="1">
      <alignment horizontal="right" vertical="center"/>
    </xf>
    <xf numFmtId="41" fontId="3" fillId="2" borderId="10" xfId="24" applyNumberFormat="1" applyFont="1" applyFill="1" applyBorder="1" applyAlignment="1">
      <alignment horizontal="center" vertical="center"/>
    </xf>
    <xf numFmtId="41" fontId="3" fillId="2" borderId="10" xfId="24" applyNumberFormat="1" applyFont="1" applyFill="1" applyBorder="1" applyAlignment="1">
      <alignment horizontal="left" vertical="center"/>
    </xf>
    <xf numFmtId="164" fontId="0" fillId="2" borderId="31" xfId="0" applyNumberForma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1" fontId="4" fillId="2" borderId="10" xfId="24" applyNumberFormat="1" applyFont="1" applyFill="1" applyBorder="1" applyAlignment="1">
      <alignment horizontal="left" vertical="center"/>
    </xf>
    <xf numFmtId="41" fontId="0" fillId="2" borderId="10" xfId="24" quotePrefix="1" applyNumberFormat="1" applyFont="1" applyFill="1" applyBorder="1" applyAlignment="1">
      <alignment horizontal="center" vertical="center"/>
    </xf>
    <xf numFmtId="0" fontId="7" fillId="2" borderId="0" xfId="0" quotePrefix="1" applyFont="1" applyFill="1" applyAlignment="1">
      <alignment horizontal="left"/>
    </xf>
    <xf numFmtId="38" fontId="0" fillId="0" borderId="0" xfId="0" applyNumberFormat="1" applyFont="1" applyAlignment="1"/>
    <xf numFmtId="0" fontId="0" fillId="0" borderId="0" xfId="0" applyFont="1" applyAlignment="1"/>
    <xf numFmtId="41" fontId="0" fillId="2" borderId="8" xfId="0" applyNumberForma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wrapText="1"/>
    </xf>
    <xf numFmtId="41" fontId="0" fillId="0" borderId="0" xfId="0" applyNumberFormat="1"/>
    <xf numFmtId="0" fontId="5" fillId="2" borderId="6" xfId="0" quotePrefix="1" applyNumberFormat="1" applyFont="1" applyFill="1" applyBorder="1" applyAlignment="1">
      <alignment horizontal="center" vertical="center" wrapText="1"/>
    </xf>
    <xf numFmtId="41" fontId="0" fillId="2" borderId="7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wrapText="1"/>
    </xf>
    <xf numFmtId="41" fontId="0" fillId="2" borderId="10" xfId="24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43" fontId="5" fillId="2" borderId="33" xfId="0" applyNumberFormat="1" applyFont="1" applyFill="1" applyBorder="1" applyAlignment="1">
      <alignment horizontal="right" vertical="center"/>
    </xf>
    <xf numFmtId="43" fontId="0" fillId="2" borderId="7" xfId="24" applyNumberFormat="1" applyFont="1" applyFill="1" applyBorder="1" applyAlignment="1">
      <alignment horizontal="right" vertical="center"/>
    </xf>
    <xf numFmtId="43" fontId="0" fillId="2" borderId="16" xfId="0" applyNumberFormat="1" applyFont="1" applyFill="1" applyBorder="1" applyAlignment="1">
      <alignment horizontal="right" vertical="center"/>
    </xf>
    <xf numFmtId="43" fontId="0" fillId="0" borderId="0" xfId="0" applyNumberFormat="1" applyFill="1" applyAlignment="1">
      <alignment vertical="center"/>
    </xf>
    <xf numFmtId="43" fontId="17" fillId="2" borderId="16" xfId="0" applyNumberFormat="1" applyFont="1" applyFill="1" applyBorder="1" applyAlignment="1">
      <alignment horizontal="right" vertical="center"/>
    </xf>
    <xf numFmtId="43" fontId="4" fillId="2" borderId="16" xfId="0" applyNumberFormat="1" applyFont="1" applyFill="1" applyBorder="1" applyAlignment="1">
      <alignment horizontal="right" vertical="center"/>
    </xf>
    <xf numFmtId="43" fontId="0" fillId="2" borderId="17" xfId="0" applyNumberFormat="1" applyFill="1" applyBorder="1" applyAlignment="1">
      <alignment vertical="center"/>
    </xf>
    <xf numFmtId="43" fontId="0" fillId="2" borderId="14" xfId="0" applyNumberFormat="1" applyFill="1" applyBorder="1" applyAlignment="1">
      <alignment vertical="center"/>
    </xf>
    <xf numFmtId="43" fontId="0" fillId="0" borderId="0" xfId="24" applyNumberFormat="1" applyFont="1" applyAlignment="1">
      <alignment vertical="center"/>
    </xf>
    <xf numFmtId="43" fontId="0" fillId="0" borderId="0" xfId="24" applyNumberFormat="1" applyFont="1" applyFill="1" applyAlignment="1">
      <alignment horizontal="right" vertical="center"/>
    </xf>
    <xf numFmtId="43" fontId="0" fillId="0" borderId="0" xfId="0" applyNumberFormat="1" applyFill="1"/>
    <xf numFmtId="43" fontId="17" fillId="2" borderId="16" xfId="0" applyNumberFormat="1" applyFont="1" applyFill="1" applyBorder="1" applyAlignment="1">
      <alignment horizontal="right" vertical="center" wrapText="1"/>
    </xf>
    <xf numFmtId="43" fontId="0" fillId="0" borderId="0" xfId="24" applyNumberFormat="1" applyFont="1" applyFill="1" applyAlignment="1">
      <alignment vertical="center" wrapText="1"/>
    </xf>
    <xf numFmtId="165" fontId="0" fillId="51" borderId="0" xfId="24" applyNumberFormat="1" applyFont="1" applyFill="1" applyAlignment="1">
      <alignment wrapText="1"/>
    </xf>
    <xf numFmtId="43" fontId="3" fillId="2" borderId="10" xfId="24" applyNumberFormat="1" applyFont="1" applyFill="1" applyBorder="1" applyAlignment="1">
      <alignment horizontal="right" vertical="center"/>
    </xf>
    <xf numFmtId="43" fontId="0" fillId="2" borderId="5" xfId="0" applyNumberFormat="1" applyFill="1" applyBorder="1" applyAlignment="1">
      <alignment horizontal="right" vertical="center"/>
    </xf>
    <xf numFmtId="43" fontId="0" fillId="0" borderId="0" xfId="24" applyNumberFormat="1" applyFont="1" applyFill="1" applyBorder="1" applyAlignment="1">
      <alignment horizontal="right" vertical="center"/>
    </xf>
    <xf numFmtId="43" fontId="0" fillId="0" borderId="11" xfId="24" applyNumberFormat="1" applyFont="1" applyFill="1" applyBorder="1" applyAlignment="1">
      <alignment horizontal="right" vertical="center"/>
    </xf>
    <xf numFmtId="43" fontId="4" fillId="0" borderId="0" xfId="0" quotePrefix="1" applyNumberFormat="1" applyFont="1" applyFill="1" applyBorder="1" applyAlignment="1">
      <alignment horizontal="right" vertical="center" wrapText="1"/>
    </xf>
    <xf numFmtId="43" fontId="0" fillId="0" borderId="0" xfId="0" quotePrefix="1" applyNumberFormat="1" applyFont="1" applyFill="1" applyBorder="1" applyAlignment="1">
      <alignment horizontal="right" vertical="center" wrapText="1"/>
    </xf>
    <xf numFmtId="43" fontId="4" fillId="2" borderId="10" xfId="24" applyNumberFormat="1" applyFont="1" applyFill="1" applyBorder="1" applyAlignment="1">
      <alignment horizontal="right" vertical="center"/>
    </xf>
    <xf numFmtId="43" fontId="4" fillId="2" borderId="46" xfId="24" applyNumberFormat="1" applyFont="1" applyFill="1" applyBorder="1" applyAlignment="1">
      <alignment horizontal="right" vertical="center"/>
    </xf>
    <xf numFmtId="49" fontId="0" fillId="2" borderId="10" xfId="24" applyNumberFormat="1" applyFont="1" applyFill="1" applyBorder="1" applyAlignment="1">
      <alignment horizontal="center" vertical="center"/>
    </xf>
    <xf numFmtId="169" fontId="0" fillId="0" borderId="0" xfId="24" applyNumberFormat="1" applyFont="1" applyFill="1" applyAlignment="1">
      <alignment horizontal="right" vertical="center"/>
    </xf>
    <xf numFmtId="43" fontId="3" fillId="2" borderId="0" xfId="24" applyNumberFormat="1" applyFont="1" applyFill="1" applyBorder="1" applyAlignment="1">
      <alignment horizontal="right" vertical="center"/>
    </xf>
    <xf numFmtId="43" fontId="4" fillId="2" borderId="0" xfId="24" applyNumberFormat="1" applyFont="1" applyFill="1" applyBorder="1" applyAlignment="1">
      <alignment horizontal="right" vertical="center"/>
    </xf>
    <xf numFmtId="41" fontId="5" fillId="0" borderId="0" xfId="24" applyNumberFormat="1" applyFont="1" applyAlignment="1">
      <alignment horizontal="right" vertical="center"/>
    </xf>
    <xf numFmtId="169" fontId="0" fillId="2" borderId="5" xfId="24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horizontal="right" vertical="center" wrapText="1"/>
    </xf>
    <xf numFmtId="169" fontId="5" fillId="2" borderId="7" xfId="0" applyNumberFormat="1" applyFont="1" applyFill="1" applyBorder="1" applyAlignment="1">
      <alignment horizontal="right" vertical="center" wrapText="1"/>
    </xf>
    <xf numFmtId="169" fontId="0" fillId="2" borderId="7" xfId="0" applyNumberFormat="1" applyFont="1" applyFill="1" applyBorder="1" applyAlignment="1">
      <alignment horizontal="right" vertical="center" wrapText="1"/>
    </xf>
    <xf numFmtId="169" fontId="5" fillId="2" borderId="7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49" fontId="0" fillId="2" borderId="10" xfId="0" quotePrefix="1" applyNumberFormat="1" applyFill="1" applyBorder="1" applyAlignment="1">
      <alignment horizontal="center" vertical="center"/>
    </xf>
    <xf numFmtId="41" fontId="4" fillId="2" borderId="5" xfId="24" applyNumberFormat="1" applyFont="1" applyFill="1" applyBorder="1" applyAlignment="1">
      <alignment horizontal="right" vertical="center"/>
    </xf>
    <xf numFmtId="41" fontId="0" fillId="2" borderId="10" xfId="24" applyNumberFormat="1" applyFont="1" applyFill="1" applyBorder="1" applyAlignment="1">
      <alignment horizontal="right" vertical="center"/>
    </xf>
    <xf numFmtId="41" fontId="4" fillId="2" borderId="0" xfId="24" applyNumberFormat="1" applyFont="1" applyFill="1" applyBorder="1" applyAlignment="1">
      <alignment horizontal="right" vertical="center"/>
    </xf>
    <xf numFmtId="41" fontId="0" fillId="0" borderId="10" xfId="24" applyNumberFormat="1" applyFont="1" applyFill="1" applyBorder="1" applyAlignment="1">
      <alignment horizontal="right" vertical="center"/>
    </xf>
    <xf numFmtId="169" fontId="4" fillId="2" borderId="0" xfId="24" applyNumberFormat="1" applyFont="1" applyFill="1" applyBorder="1" applyAlignment="1">
      <alignment horizontal="right" vertical="center"/>
    </xf>
    <xf numFmtId="169" fontId="0" fillId="0" borderId="10" xfId="24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wrapText="1"/>
    </xf>
    <xf numFmtId="41" fontId="0" fillId="0" borderId="47" xfId="0" applyNumberFormat="1" applyFill="1" applyBorder="1" applyAlignment="1">
      <alignment horizontal="right" vertical="center"/>
    </xf>
    <xf numFmtId="41" fontId="0" fillId="0" borderId="34" xfId="0" applyNumberFormat="1" applyFill="1" applyBorder="1" applyAlignment="1">
      <alignment horizontal="right" vertical="center"/>
    </xf>
    <xf numFmtId="0" fontId="18" fillId="2" borderId="45" xfId="0" applyFont="1" applyFill="1" applyBorder="1" applyAlignment="1">
      <alignment horizontal="left"/>
    </xf>
    <xf numFmtId="0" fontId="19" fillId="0" borderId="45" xfId="0" applyFont="1" applyBorder="1" applyAlignment="1">
      <alignment horizontal="left"/>
    </xf>
    <xf numFmtId="0" fontId="0" fillId="0" borderId="45" xfId="0" applyBorder="1" applyAlignment="1"/>
  </cellXfs>
  <cellStyles count="282">
    <cellStyle name="20% - Accent1" xfId="180" builtinId="30" customBuiltin="1"/>
    <cellStyle name="20% - Accent1 2" xfId="25"/>
    <cellStyle name="20% - Accent2" xfId="184" builtinId="34" customBuiltin="1"/>
    <cellStyle name="20% - Accent2 2" xfId="26"/>
    <cellStyle name="20% - Accent3" xfId="188" builtinId="38" customBuiltin="1"/>
    <cellStyle name="20% - Accent3 2" xfId="27"/>
    <cellStyle name="20% - Accent4" xfId="192" builtinId="42" customBuiltin="1"/>
    <cellStyle name="20% - Accent4 2" xfId="28"/>
    <cellStyle name="20% - Accent5" xfId="196" builtinId="46" customBuiltin="1"/>
    <cellStyle name="20% - Accent5 2" xfId="29"/>
    <cellStyle name="20% - Accent6" xfId="200" builtinId="50" customBuiltin="1"/>
    <cellStyle name="20% - Accent6 2" xfId="30"/>
    <cellStyle name="40% - Accent1" xfId="181" builtinId="31" customBuiltin="1"/>
    <cellStyle name="40% - Accent1 2" xfId="31"/>
    <cellStyle name="40% - Accent2" xfId="185" builtinId="35" customBuiltin="1"/>
    <cellStyle name="40% - Accent2 2" xfId="32"/>
    <cellStyle name="40% - Accent3" xfId="189" builtinId="39" customBuiltin="1"/>
    <cellStyle name="40% - Accent3 2" xfId="33"/>
    <cellStyle name="40% - Accent4" xfId="193" builtinId="43" customBuiltin="1"/>
    <cellStyle name="40% - Accent4 2" xfId="34"/>
    <cellStyle name="40% - Accent5" xfId="197" builtinId="47" customBuiltin="1"/>
    <cellStyle name="40% - Accent5 2" xfId="35"/>
    <cellStyle name="40% - Accent6" xfId="201" builtinId="51" customBuiltin="1"/>
    <cellStyle name="40% - Accent6 2" xfId="36"/>
    <cellStyle name="60% - Accent1" xfId="182" builtinId="32" customBuiltin="1"/>
    <cellStyle name="60% - Accent1 2" xfId="37"/>
    <cellStyle name="60% - Accent2" xfId="186" builtinId="36" customBuiltin="1"/>
    <cellStyle name="60% - Accent2 2" xfId="38"/>
    <cellStyle name="60% - Accent3" xfId="190" builtinId="40" customBuiltin="1"/>
    <cellStyle name="60% - Accent3 2" xfId="39"/>
    <cellStyle name="60% - Accent4" xfId="194" builtinId="44" customBuiltin="1"/>
    <cellStyle name="60% - Accent4 2" xfId="40"/>
    <cellStyle name="60% - Accent5" xfId="198" builtinId="48" customBuiltin="1"/>
    <cellStyle name="60% - Accent5 2" xfId="41"/>
    <cellStyle name="60% - Accent6" xfId="202" builtinId="52" customBuiltin="1"/>
    <cellStyle name="60% - Accent6 2" xfId="42"/>
    <cellStyle name="Accent1" xfId="179" builtinId="29" customBuiltin="1"/>
    <cellStyle name="Accent1 2" xfId="43"/>
    <cellStyle name="Accent2" xfId="183" builtinId="33" customBuiltin="1"/>
    <cellStyle name="Accent2 2" xfId="44"/>
    <cellStyle name="Accent3" xfId="187" builtinId="37" customBuiltin="1"/>
    <cellStyle name="Accent3 2" xfId="45"/>
    <cellStyle name="Accent4" xfId="191" builtinId="41" customBuiltin="1"/>
    <cellStyle name="Accent4 2" xfId="46"/>
    <cellStyle name="Accent5" xfId="195" builtinId="45" customBuiltin="1"/>
    <cellStyle name="Accent5 2" xfId="47"/>
    <cellStyle name="Accent6" xfId="199" builtinId="49" customBuiltin="1"/>
    <cellStyle name="Accent6 2" xfId="48"/>
    <cellStyle name="Bad" xfId="168" builtinId="27" customBuiltin="1"/>
    <cellStyle name="Bad 2" xfId="49"/>
    <cellStyle name="Calculation" xfId="172" builtinId="22" customBuiltin="1"/>
    <cellStyle name="Calculation 2" xfId="50"/>
    <cellStyle name="Check Cell" xfId="174" builtinId="23" customBuiltin="1"/>
    <cellStyle name="Check Cell 2" xfId="51"/>
    <cellStyle name="Comma" xfId="24" builtinId="3"/>
    <cellStyle name="Comma 12" xfId="205"/>
    <cellStyle name="Comma 12 2" xfId="206"/>
    <cellStyle name="Comma 12 2 2" xfId="207"/>
    <cellStyle name="Comma 12 3" xfId="208"/>
    <cellStyle name="Comma 2" xfId="1"/>
    <cellStyle name="Comma 2 2" xfId="5"/>
    <cellStyle name="Comma 2 2 2" xfId="80"/>
    <cellStyle name="Comma 2 2 2 2" xfId="266"/>
    <cellStyle name="Comma 2 3" xfId="6"/>
    <cellStyle name="Comma 2 3 2" xfId="81"/>
    <cellStyle name="Comma 2 3 3" xfId="265"/>
    <cellStyle name="Comma 2 4" xfId="4"/>
    <cellStyle name="Comma 2 4 2" xfId="75"/>
    <cellStyle name="Comma 2 4 3" xfId="79"/>
    <cellStyle name="Comma 2 4 4" xfId="73"/>
    <cellStyle name="Comma 2 5" xfId="20"/>
    <cellStyle name="Comma 3" xfId="17"/>
    <cellStyle name="Comma 3 2" xfId="87"/>
    <cellStyle name="Comma 4" xfId="92"/>
    <cellStyle name="Comma 4 2" xfId="116"/>
    <cellStyle name="Comma 5" xfId="111"/>
    <cellStyle name="Comma 5 2" xfId="141"/>
    <cellStyle name="Comma 6" xfId="209"/>
    <cellStyle name="Comma 6 2" xfId="210"/>
    <cellStyle name="Comma 8" xfId="117"/>
    <cellStyle name="Comma0" xfId="93"/>
    <cellStyle name="Comma0 2" xfId="94"/>
    <cellStyle name="Currency 2" xfId="12"/>
    <cellStyle name="Currency 2 2" xfId="85"/>
    <cellStyle name="Currency 2 2 2" xfId="125"/>
    <cellStyle name="Currency 2 2 2 2" xfId="267"/>
    <cellStyle name="Currency 2 3" xfId="136"/>
    <cellStyle name="Currency 3" xfId="15"/>
    <cellStyle name="Currency 3 2" xfId="96"/>
    <cellStyle name="Currency 3 3" xfId="126"/>
    <cellStyle name="Currency 4" xfId="95"/>
    <cellStyle name="Currency 4 2" xfId="137"/>
    <cellStyle name="Currency 4 2 2" xfId="148"/>
    <cellStyle name="Currency 4 2 3" xfId="161"/>
    <cellStyle name="Currency 4 3" xfId="140"/>
    <cellStyle name="Currency 4 4" xfId="156"/>
    <cellStyle name="Currency 5" xfId="152"/>
    <cellStyle name="Currency 6" xfId="115"/>
    <cellStyle name="Currency 8" xfId="52"/>
    <cellStyle name="Explanatory Text" xfId="177" builtinId="53" customBuiltin="1"/>
    <cellStyle name="Explanatory Text 2" xfId="53"/>
    <cellStyle name="Good" xfId="167" builtinId="26" customBuiltin="1"/>
    <cellStyle name="Good 2" xfId="54"/>
    <cellStyle name="Heading 1" xfId="163" builtinId="16" customBuiltin="1"/>
    <cellStyle name="Heading 1 2" xfId="55"/>
    <cellStyle name="Heading 2" xfId="164" builtinId="17" customBuiltin="1"/>
    <cellStyle name="Heading 2 2" xfId="56"/>
    <cellStyle name="Heading 3" xfId="165" builtinId="18" customBuiltin="1"/>
    <cellStyle name="Heading 3 2" xfId="57"/>
    <cellStyle name="Heading 4" xfId="166" builtinId="19" customBuiltin="1"/>
    <cellStyle name="Heading 4 2" xfId="58"/>
    <cellStyle name="Hyperlink" xfId="281" builtinId="8" customBuiltin="1"/>
    <cellStyle name="Hyperlink 2" xfId="120"/>
    <cellStyle name="Hyperlink 2 2" xfId="133"/>
    <cellStyle name="Hyperlink 2 3" xfId="151"/>
    <cellStyle name="Hyperlink 3" xfId="131"/>
    <cellStyle name="Hyperlink 4" xfId="157"/>
    <cellStyle name="Input" xfId="170" builtinId="20" customBuiltin="1"/>
    <cellStyle name="Input 2" xfId="59"/>
    <cellStyle name="Linked Cell" xfId="173" builtinId="24" customBuiltin="1"/>
    <cellStyle name="Linked Cell 2" xfId="60"/>
    <cellStyle name="Neutral" xfId="169" builtinId="28" customBuiltin="1"/>
    <cellStyle name="Neutral 2" xfId="61"/>
    <cellStyle name="Normal" xfId="0" builtinId="0"/>
    <cellStyle name="Normal 10" xfId="97"/>
    <cellStyle name="Normal 10 2" xfId="204"/>
    <cellStyle name="Normal 10 2 2" xfId="212"/>
    <cellStyle name="Normal 10 3" xfId="211"/>
    <cellStyle name="Normal 11" xfId="98"/>
    <cellStyle name="Normal 11 2" xfId="142"/>
    <cellStyle name="Normal 11 3" xfId="213"/>
    <cellStyle name="Normal 12" xfId="91"/>
    <cellStyle name="Normal 12 2" xfId="215"/>
    <cellStyle name="Normal 12 3" xfId="214"/>
    <cellStyle name="Normal 13" xfId="110"/>
    <cellStyle name="Normal 13 2" xfId="143"/>
    <cellStyle name="Normal 13 3" xfId="279"/>
    <cellStyle name="Normal 2" xfId="2"/>
    <cellStyle name="Normal 2 2" xfId="8"/>
    <cellStyle name="Normal 2 2 2" xfId="69"/>
    <cellStyle name="Normal 2 2 2 2" xfId="154"/>
    <cellStyle name="Normal 2 2 2 3" xfId="216"/>
    <cellStyle name="Normal 2 2 3" xfId="68"/>
    <cellStyle name="Normal 2 2 4" xfId="99"/>
    <cellStyle name="Normal 2 2 5" xfId="113"/>
    <cellStyle name="Normal 2 2 5 2" xfId="277"/>
    <cellStyle name="Normal 2 3" xfId="9"/>
    <cellStyle name="Normal 2 3 2" xfId="100"/>
    <cellStyle name="Normal 2 3 2 2" xfId="218"/>
    <cellStyle name="Normal 2 3 3" xfId="153"/>
    <cellStyle name="Normal 2 3 3 2" xfId="268"/>
    <cellStyle name="Normal 2 3 4" xfId="217"/>
    <cellStyle name="Normal 2 4" xfId="7"/>
    <cellStyle name="Normal 2 4 2" xfId="76"/>
    <cellStyle name="Normal 2 4 3" xfId="82"/>
    <cellStyle name="Normal 2 4 3 2" xfId="269"/>
    <cellStyle name="Normal 2 4 4" xfId="72"/>
    <cellStyle name="Normal 2 4 5" xfId="101"/>
    <cellStyle name="Normal 2 4 5 2" xfId="144"/>
    <cellStyle name="Normal 2 5" xfId="18"/>
    <cellStyle name="Normal 2 5 2" xfId="219"/>
    <cellStyle name="Normal 2 6" xfId="78"/>
    <cellStyle name="Normal 2 6 2" xfId="275"/>
    <cellStyle name="Normal 2 7" xfId="112"/>
    <cellStyle name="Normal 2 8" xfId="150"/>
    <cellStyle name="Normal 2 9" xfId="280"/>
    <cellStyle name="Normal 2_Sheet1" xfId="102"/>
    <cellStyle name="Normal 3" xfId="13"/>
    <cellStyle name="Normal 3 10" xfId="278"/>
    <cellStyle name="Normal 3 2" xfId="10"/>
    <cellStyle name="Normal 3 2 2" xfId="83"/>
    <cellStyle name="Normal 3 2 2 2" xfId="159"/>
    <cellStyle name="Normal 3 2 2 2 2" xfId="220"/>
    <cellStyle name="Normal 3 2 3" xfId="104"/>
    <cellStyle name="Normal 3 2 3 2" xfId="221"/>
    <cellStyle name="Normal 3 2 4" xfId="134"/>
    <cellStyle name="Normal 3 2 4 2" xfId="271"/>
    <cellStyle name="Normal 3 3" xfId="11"/>
    <cellStyle name="Normal 3 3 2" xfId="84"/>
    <cellStyle name="Normal 3 3 2 2" xfId="158"/>
    <cellStyle name="Normal 3 3 2 2 2" xfId="222"/>
    <cellStyle name="Normal 3 3 3" xfId="132"/>
    <cellStyle name="Normal 3 3 3 2" xfId="223"/>
    <cellStyle name="Normal 3 3 4" xfId="272"/>
    <cellStyle name="Normal 3 4" xfId="19"/>
    <cellStyle name="Normal 3 4 2" xfId="127"/>
    <cellStyle name="Normal 3 4 2 2" xfId="226"/>
    <cellStyle name="Normal 3 4 2 3" xfId="225"/>
    <cellStyle name="Normal 3 4 3" xfId="227"/>
    <cellStyle name="Normal 3 4 4" xfId="224"/>
    <cellStyle name="Normal 3 5" xfId="77"/>
    <cellStyle name="Normal 3 5 2" xfId="229"/>
    <cellStyle name="Normal 3 5 2 2" xfId="230"/>
    <cellStyle name="Normal 3 5 3" xfId="231"/>
    <cellStyle name="Normal 3 5 4" xfId="228"/>
    <cellStyle name="Normal 3 6" xfId="71"/>
    <cellStyle name="Normal 3 6 2" xfId="233"/>
    <cellStyle name="Normal 3 6 3" xfId="232"/>
    <cellStyle name="Normal 3 7" xfId="103"/>
    <cellStyle name="Normal 3 7 2" xfId="234"/>
    <cellStyle name="Normal 3 8" xfId="264"/>
    <cellStyle name="Normal 3 9" xfId="270"/>
    <cellStyle name="Normal 4" xfId="14"/>
    <cellStyle name="Normal 4 2" xfId="21"/>
    <cellStyle name="Normal 4 2 2" xfId="89"/>
    <cellStyle name="Normal 4 2 2 2" xfId="237"/>
    <cellStyle name="Normal 4 2 2 3" xfId="236"/>
    <cellStyle name="Normal 4 2 3" xfId="106"/>
    <cellStyle name="Normal 4 2 3 2" xfId="238"/>
    <cellStyle name="Normal 4 2 4" xfId="135"/>
    <cellStyle name="Normal 4 2 4 2" xfId="273"/>
    <cellStyle name="Normal 4 2 5" xfId="235"/>
    <cellStyle name="Normal 4 3" xfId="86"/>
    <cellStyle name="Normal 4 3 2" xfId="128"/>
    <cellStyle name="Normal 4 3 2 2" xfId="241"/>
    <cellStyle name="Normal 4 3 2 3" xfId="240"/>
    <cellStyle name="Normal 4 3 3" xfId="242"/>
    <cellStyle name="Normal 4 3 4" xfId="239"/>
    <cellStyle name="Normal 4 4" xfId="70"/>
    <cellStyle name="Normal 4 4 2" xfId="244"/>
    <cellStyle name="Normal 4 4 2 2" xfId="245"/>
    <cellStyle name="Normal 4 4 3" xfId="246"/>
    <cellStyle name="Normal 4 4 4" xfId="243"/>
    <cellStyle name="Normal 4 5" xfId="105"/>
    <cellStyle name="Normal 4 5 2" xfId="248"/>
    <cellStyle name="Normal 4 5 2 2" xfId="249"/>
    <cellStyle name="Normal 4 5 3" xfId="250"/>
    <cellStyle name="Normal 4 5 4" xfId="247"/>
    <cellStyle name="Normal 4 6" xfId="121"/>
    <cellStyle name="Normal 4 6 2" xfId="251"/>
    <cellStyle name="Normal 4 7" xfId="252"/>
    <cellStyle name="Normal 4 8" xfId="276"/>
    <cellStyle name="Normal 4 9" xfId="203"/>
    <cellStyle name="Normal 5" xfId="16"/>
    <cellStyle name="Normal 5 2" xfId="22"/>
    <cellStyle name="Normal 5 2 2" xfId="274"/>
    <cellStyle name="Normal 5 3" xfId="129"/>
    <cellStyle name="Normal 5 3 2" xfId="146"/>
    <cellStyle name="Normal 5 4" xfId="253"/>
    <cellStyle name="Normal 6" xfId="62"/>
    <cellStyle name="Normal 6 2" xfId="107"/>
    <cellStyle name="Normal 6 2 2" xfId="124"/>
    <cellStyle name="Normal 6 2 2 2" xfId="256"/>
    <cellStyle name="Normal 6 2 3" xfId="255"/>
    <cellStyle name="Normal 6 3" xfId="257"/>
    <cellStyle name="Normal 6 4" xfId="254"/>
    <cellStyle name="Normal 7" xfId="108"/>
    <cellStyle name="Normal 7 2" xfId="114"/>
    <cellStyle name="Normal 7 2 2" xfId="160"/>
    <cellStyle name="Normal 7 2 2 2" xfId="260"/>
    <cellStyle name="Normal 7 2 3" xfId="259"/>
    <cellStyle name="Normal 7 3" xfId="122"/>
    <cellStyle name="Normal 7 3 2" xfId="145"/>
    <cellStyle name="Normal 7 3 3" xfId="261"/>
    <cellStyle name="Normal 7 4" xfId="155"/>
    <cellStyle name="Normal 7 4 2" xfId="258"/>
    <cellStyle name="Normal 8" xfId="90"/>
    <cellStyle name="Normal 8 2" xfId="149"/>
    <cellStyle name="Normal 8 2 2" xfId="262"/>
    <cellStyle name="Normal 9" xfId="109"/>
    <cellStyle name="Normal 9 2" xfId="263"/>
    <cellStyle name="Note" xfId="176" builtinId="10" customBuiltin="1"/>
    <cellStyle name="Note 2" xfId="63"/>
    <cellStyle name="Output" xfId="171" builtinId="21" customBuiltin="1"/>
    <cellStyle name="Output 2" xfId="64"/>
    <cellStyle name="Percent 2" xfId="3"/>
    <cellStyle name="Percent 2 2" xfId="23"/>
    <cellStyle name="Percent 2 2 2" xfId="88"/>
    <cellStyle name="Percent 2 2 3" xfId="130"/>
    <cellStyle name="Percent 2 2 3 2" xfId="147"/>
    <cellStyle name="Percent 2 2 4" xfId="139"/>
    <cellStyle name="Percent 2 3" xfId="118"/>
    <cellStyle name="Percent 3" xfId="74"/>
    <cellStyle name="Percent 3 2" xfId="119"/>
    <cellStyle name="Percent 4" xfId="123"/>
    <cellStyle name="Percent 4 2" xfId="138"/>
    <cellStyle name="Title" xfId="162" builtinId="15" customBuiltin="1"/>
    <cellStyle name="Title 2" xfId="65"/>
    <cellStyle name="Total" xfId="178" builtinId="25" customBuiltin="1"/>
    <cellStyle name="Total 2" xfId="66"/>
    <cellStyle name="Warning Text" xfId="175" builtinId="11" customBuiltin="1"/>
    <cellStyle name="Warning Text 2" xfId="67"/>
  </cellStyles>
  <dxfs count="0"/>
  <tableStyles count="0" defaultTableStyle="TableStyleMedium9" defaultPivotStyle="PivotStyleLight16"/>
  <colors>
    <mruColors>
      <color rgb="FFCCFFCC"/>
      <color rgb="FFC3E6BA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CFFCC"/>
  </sheetPr>
  <dimension ref="A1:AL57"/>
  <sheetViews>
    <sheetView workbookViewId="0">
      <pane xSplit="9" ySplit="8" topLeftCell="AE21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AG24" sqref="AG24"/>
    </sheetView>
  </sheetViews>
  <sheetFormatPr defaultColWidth="8.88671875" defaultRowHeight="14.4" x14ac:dyDescent="0.3"/>
  <cols>
    <col min="1" max="1" width="8.88671875" style="71"/>
    <col min="2" max="2" width="31.5546875" style="50" customWidth="1"/>
    <col min="3" max="3" width="11.109375" style="71" customWidth="1"/>
    <col min="4" max="4" width="30.5546875" style="50" customWidth="1"/>
    <col min="5" max="9" width="14.6640625" style="51" customWidth="1"/>
    <col min="10" max="36" width="15.6640625" style="50" customWidth="1"/>
    <col min="37" max="38" width="21.33203125" style="50" customWidth="1"/>
    <col min="39" max="16384" width="8.88671875" style="50"/>
  </cols>
  <sheetData>
    <row r="1" spans="1:38" s="51" customFormat="1" ht="21" x14ac:dyDescent="0.4">
      <c r="A1" s="68" t="s">
        <v>0</v>
      </c>
      <c r="B1" s="59"/>
      <c r="C1" s="72" t="s">
        <v>353</v>
      </c>
      <c r="D1" s="56"/>
      <c r="E1" s="56"/>
      <c r="F1" s="56"/>
      <c r="G1" s="56"/>
      <c r="H1" s="56"/>
      <c r="I1" s="60"/>
      <c r="J1" s="59"/>
      <c r="K1" s="54"/>
      <c r="L1" s="72" t="str">
        <f>$C$1</f>
        <v>21st Century Cohort 7</v>
      </c>
      <c r="M1" s="59"/>
      <c r="N1" s="59"/>
      <c r="O1" s="54"/>
      <c r="P1" s="59"/>
      <c r="Q1" s="59"/>
      <c r="R1" s="72" t="str">
        <f>$C$1</f>
        <v>21st Century Cohort 7</v>
      </c>
      <c r="S1" s="54"/>
      <c r="T1" s="54"/>
      <c r="U1" s="59"/>
      <c r="V1" s="54"/>
      <c r="W1" s="59"/>
      <c r="X1" s="59"/>
      <c r="Y1" s="72" t="str">
        <f>$C$1</f>
        <v>21st Century Cohort 7</v>
      </c>
      <c r="Z1" s="59"/>
      <c r="AA1" s="54"/>
      <c r="AB1" s="59"/>
      <c r="AC1" s="59"/>
      <c r="AD1" s="59"/>
      <c r="AE1" s="54"/>
      <c r="AF1" s="72" t="str">
        <f>$C$1</f>
        <v>21st Century Cohort 7</v>
      </c>
      <c r="AG1" s="54"/>
      <c r="AH1" s="54"/>
      <c r="AI1" s="59"/>
      <c r="AJ1" s="59"/>
      <c r="AK1" s="53"/>
      <c r="AL1" s="53"/>
    </row>
    <row r="2" spans="1:38" s="3" customFormat="1" ht="21" x14ac:dyDescent="0.4">
      <c r="A2" s="53" t="s">
        <v>358</v>
      </c>
      <c r="B2" s="55"/>
      <c r="C2" s="68" t="s">
        <v>360</v>
      </c>
      <c r="D2" s="54"/>
      <c r="E2" s="54"/>
      <c r="F2" s="54"/>
      <c r="G2" s="54"/>
      <c r="H2" s="54"/>
      <c r="I2" s="15"/>
      <c r="J2" s="55"/>
      <c r="K2" s="55"/>
      <c r="L2" s="56" t="str">
        <f>"FY"&amp;$C$4</f>
        <v>FY2017-18</v>
      </c>
      <c r="M2" s="55"/>
      <c r="N2" s="55"/>
      <c r="O2" s="55"/>
      <c r="P2" s="55"/>
      <c r="Q2" s="55"/>
      <c r="R2" s="56" t="str">
        <f>"FY"&amp;$C$4</f>
        <v>FY2017-18</v>
      </c>
      <c r="S2" s="55"/>
      <c r="T2" s="55"/>
      <c r="U2" s="55"/>
      <c r="V2" s="55"/>
      <c r="W2" s="55"/>
      <c r="X2" s="55"/>
      <c r="Y2" s="56" t="str">
        <f>"FY"&amp;$C$4</f>
        <v>FY2017-18</v>
      </c>
      <c r="Z2" s="55"/>
      <c r="AA2" s="55"/>
      <c r="AB2" s="55"/>
      <c r="AC2" s="55"/>
      <c r="AD2" s="55"/>
      <c r="AE2" s="55"/>
      <c r="AF2" s="56" t="str">
        <f>"FY"&amp;$C$4</f>
        <v>FY2017-18</v>
      </c>
      <c r="AG2" s="55"/>
      <c r="AH2" s="55"/>
      <c r="AI2" s="55"/>
      <c r="AJ2" s="55"/>
      <c r="AK2" s="53"/>
      <c r="AL2" s="53"/>
    </row>
    <row r="3" spans="1:38" s="51" customFormat="1" ht="15.6" x14ac:dyDescent="0.3">
      <c r="A3" s="69" t="s">
        <v>1</v>
      </c>
      <c r="B3" s="59"/>
      <c r="C3" s="73">
        <v>5287</v>
      </c>
      <c r="D3" s="56"/>
      <c r="E3" s="56"/>
      <c r="F3" s="56"/>
      <c r="G3" s="56"/>
      <c r="H3" s="56"/>
      <c r="I3" s="60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60"/>
      <c r="AL3" s="60"/>
    </row>
    <row r="4" spans="1:38" s="51" customFormat="1" ht="15.6" x14ac:dyDescent="0.3">
      <c r="A4" s="69" t="s">
        <v>2</v>
      </c>
      <c r="B4" s="59"/>
      <c r="C4" s="73" t="s">
        <v>241</v>
      </c>
      <c r="D4" s="56"/>
      <c r="E4" s="56"/>
      <c r="F4" s="56"/>
      <c r="G4" s="56"/>
      <c r="H4" s="56"/>
      <c r="I4" s="60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0"/>
      <c r="AL4" s="60"/>
    </row>
    <row r="5" spans="1:38" s="51" customFormat="1" ht="15.6" x14ac:dyDescent="0.3">
      <c r="A5" s="69" t="s">
        <v>18</v>
      </c>
      <c r="B5" s="59"/>
      <c r="C5" s="69" t="s">
        <v>419</v>
      </c>
      <c r="D5" s="56"/>
      <c r="E5" s="56"/>
      <c r="F5" s="56"/>
      <c r="G5" s="56"/>
      <c r="H5" s="56"/>
      <c r="I5" s="58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8"/>
      <c r="AL5" s="58"/>
    </row>
    <row r="6" spans="1:38" s="51" customFormat="1" ht="15.6" x14ac:dyDescent="0.3">
      <c r="A6" s="69" t="s">
        <v>19</v>
      </c>
      <c r="B6" s="59"/>
      <c r="C6" s="73" t="s">
        <v>429</v>
      </c>
      <c r="D6" s="56"/>
      <c r="E6" s="56"/>
      <c r="F6" s="56"/>
      <c r="G6" s="56"/>
      <c r="H6" s="56"/>
      <c r="I6" s="58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8"/>
      <c r="AL6" s="58"/>
    </row>
    <row r="7" spans="1:38" s="51" customFormat="1" ht="24" thickBot="1" x14ac:dyDescent="0.5">
      <c r="A7" s="265"/>
      <c r="B7" s="266"/>
      <c r="C7" s="266"/>
      <c r="D7" s="266"/>
      <c r="E7" s="266"/>
      <c r="F7" s="267"/>
      <c r="G7" s="267"/>
      <c r="H7" s="267"/>
      <c r="I7" s="267"/>
      <c r="J7" s="58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8"/>
      <c r="AL7" s="58"/>
    </row>
    <row r="8" spans="1:38" ht="29.4" thickBot="1" x14ac:dyDescent="0.35">
      <c r="A8" s="11" t="s">
        <v>297</v>
      </c>
      <c r="B8" s="12" t="s">
        <v>255</v>
      </c>
      <c r="C8" s="11" t="s">
        <v>355</v>
      </c>
      <c r="D8" s="12" t="s">
        <v>45</v>
      </c>
      <c r="E8" s="13" t="s">
        <v>15</v>
      </c>
      <c r="F8" s="12" t="s">
        <v>354</v>
      </c>
      <c r="G8" s="12" t="s">
        <v>314</v>
      </c>
      <c r="H8" s="12" t="s">
        <v>16</v>
      </c>
      <c r="I8" s="29" t="s">
        <v>17</v>
      </c>
      <c r="J8" s="26" t="s">
        <v>60</v>
      </c>
      <c r="K8" s="27" t="s">
        <v>61</v>
      </c>
      <c r="L8" s="26" t="s">
        <v>62</v>
      </c>
      <c r="M8" s="27" t="s">
        <v>63</v>
      </c>
      <c r="N8" s="26" t="s">
        <v>64</v>
      </c>
      <c r="O8" s="27" t="s">
        <v>65</v>
      </c>
      <c r="P8" s="27" t="s">
        <v>66</v>
      </c>
      <c r="Q8" s="27" t="s">
        <v>67</v>
      </c>
      <c r="R8" s="27" t="s">
        <v>68</v>
      </c>
      <c r="S8" s="27" t="s">
        <v>69</v>
      </c>
      <c r="T8" s="27" t="s">
        <v>70</v>
      </c>
      <c r="U8" s="27" t="s">
        <v>71</v>
      </c>
      <c r="V8" s="26" t="s">
        <v>72</v>
      </c>
      <c r="W8" s="27" t="s">
        <v>73</v>
      </c>
      <c r="X8" s="27" t="s">
        <v>74</v>
      </c>
      <c r="Y8" s="27" t="s">
        <v>242</v>
      </c>
      <c r="Z8" s="26" t="s">
        <v>243</v>
      </c>
      <c r="AA8" s="27" t="s">
        <v>253</v>
      </c>
      <c r="AB8" s="27" t="s">
        <v>244</v>
      </c>
      <c r="AC8" s="27" t="s">
        <v>245</v>
      </c>
      <c r="AD8" s="27" t="s">
        <v>246</v>
      </c>
      <c r="AE8" s="27" t="s">
        <v>247</v>
      </c>
      <c r="AF8" s="27" t="s">
        <v>248</v>
      </c>
      <c r="AG8" s="27" t="s">
        <v>249</v>
      </c>
      <c r="AH8" s="26" t="s">
        <v>250</v>
      </c>
      <c r="AI8" s="27" t="s">
        <v>251</v>
      </c>
      <c r="AJ8" s="27" t="s">
        <v>252</v>
      </c>
      <c r="AK8" s="12" t="s">
        <v>377</v>
      </c>
      <c r="AL8" s="12" t="s">
        <v>378</v>
      </c>
    </row>
    <row r="9" spans="1:38" s="39" customFormat="1" ht="15" thickBot="1" x14ac:dyDescent="0.35">
      <c r="A9" s="121" t="s">
        <v>24</v>
      </c>
      <c r="B9" s="116" t="s">
        <v>41</v>
      </c>
      <c r="C9" s="115" t="s">
        <v>129</v>
      </c>
      <c r="D9" s="116" t="s">
        <v>132</v>
      </c>
      <c r="E9" s="117">
        <v>222040</v>
      </c>
      <c r="F9" s="118">
        <v>5542</v>
      </c>
      <c r="G9" s="118">
        <f t="shared" ref="G9:G30" si="0">E9+F9</f>
        <v>227582</v>
      </c>
      <c r="H9" s="117">
        <f t="shared" ref="H9:H23" si="1">SUM(J9:AJ9)</f>
        <v>216465</v>
      </c>
      <c r="I9" s="117">
        <f t="shared" ref="I9:I30" si="2">G9-H9</f>
        <v>11117</v>
      </c>
      <c r="J9" s="263"/>
      <c r="K9" s="264"/>
      <c r="L9" s="264">
        <v>14728</v>
      </c>
      <c r="M9" s="264">
        <v>24465</v>
      </c>
      <c r="N9" s="264">
        <v>10327</v>
      </c>
      <c r="O9" s="264">
        <v>8637</v>
      </c>
      <c r="P9" s="264">
        <v>7606</v>
      </c>
      <c r="Q9" s="264">
        <v>13517</v>
      </c>
      <c r="R9" s="264">
        <v>15905</v>
      </c>
      <c r="S9" s="264">
        <v>8501</v>
      </c>
      <c r="T9" s="264">
        <v>64780</v>
      </c>
      <c r="U9" s="264">
        <v>20521</v>
      </c>
      <c r="V9" s="264">
        <v>11222</v>
      </c>
      <c r="W9" s="264">
        <v>16256</v>
      </c>
      <c r="X9" s="264"/>
      <c r="Y9" s="264"/>
      <c r="Z9" s="264"/>
      <c r="AA9" s="264"/>
      <c r="AB9" s="264"/>
      <c r="AC9" s="264"/>
      <c r="AD9" s="264"/>
      <c r="AE9" s="264"/>
      <c r="AF9" s="264"/>
      <c r="AG9" s="169"/>
      <c r="AH9" s="169"/>
      <c r="AI9" s="169"/>
      <c r="AJ9" s="169"/>
      <c r="AK9" s="50"/>
      <c r="AL9" s="50"/>
    </row>
    <row r="10" spans="1:38" s="39" customFormat="1" ht="29.4" thickBot="1" x14ac:dyDescent="0.35">
      <c r="A10" s="121" t="s">
        <v>75</v>
      </c>
      <c r="B10" s="116" t="s">
        <v>151</v>
      </c>
      <c r="C10" s="115" t="s">
        <v>128</v>
      </c>
      <c r="D10" s="116" t="s">
        <v>131</v>
      </c>
      <c r="E10" s="117">
        <v>222040</v>
      </c>
      <c r="F10" s="118">
        <v>9044</v>
      </c>
      <c r="G10" s="118">
        <f t="shared" si="0"/>
        <v>231084</v>
      </c>
      <c r="H10" s="117">
        <f t="shared" si="1"/>
        <v>214023</v>
      </c>
      <c r="I10" s="117">
        <f t="shared" si="2"/>
        <v>17061</v>
      </c>
      <c r="J10" s="184"/>
      <c r="K10" s="184"/>
      <c r="L10" s="184"/>
      <c r="M10" s="184">
        <v>35470</v>
      </c>
      <c r="N10" s="184">
        <v>10934</v>
      </c>
      <c r="O10" s="184">
        <v>11344</v>
      </c>
      <c r="P10" s="184">
        <v>11751</v>
      </c>
      <c r="Q10" s="184">
        <v>6042</v>
      </c>
      <c r="R10" s="184">
        <v>32972</v>
      </c>
      <c r="S10" s="184">
        <v>16235</v>
      </c>
      <c r="T10" s="184"/>
      <c r="U10" s="184"/>
      <c r="V10" s="184"/>
      <c r="W10" s="184"/>
      <c r="X10" s="184">
        <f>38603.62+50671.38</f>
        <v>89275</v>
      </c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50"/>
      <c r="AL10" s="50"/>
    </row>
    <row r="11" spans="1:38" s="39" customFormat="1" ht="29.4" thickBot="1" x14ac:dyDescent="0.35">
      <c r="A11" s="121" t="s">
        <v>30</v>
      </c>
      <c r="B11" s="116" t="s">
        <v>152</v>
      </c>
      <c r="C11" s="115" t="s">
        <v>130</v>
      </c>
      <c r="D11" s="116" t="s">
        <v>133</v>
      </c>
      <c r="E11" s="117">
        <v>222040</v>
      </c>
      <c r="F11" s="118">
        <v>18836</v>
      </c>
      <c r="G11" s="118">
        <f t="shared" si="0"/>
        <v>240876</v>
      </c>
      <c r="H11" s="117">
        <f t="shared" si="1"/>
        <v>232419</v>
      </c>
      <c r="I11" s="117">
        <f t="shared" si="2"/>
        <v>8457</v>
      </c>
      <c r="J11" s="92"/>
      <c r="K11" s="92"/>
      <c r="L11" s="92"/>
      <c r="M11" s="92"/>
      <c r="N11" s="92">
        <f>20726+17318</f>
        <v>38044</v>
      </c>
      <c r="O11" s="92">
        <v>18227</v>
      </c>
      <c r="P11" s="92">
        <v>51087</v>
      </c>
      <c r="Q11" s="92">
        <v>14696</v>
      </c>
      <c r="R11" s="92">
        <v>20874</v>
      </c>
      <c r="S11" s="92">
        <v>16197</v>
      </c>
      <c r="T11" s="92">
        <v>21199</v>
      </c>
      <c r="U11" s="92">
        <v>20457</v>
      </c>
      <c r="V11" s="92">
        <v>11308</v>
      </c>
      <c r="W11" s="92"/>
      <c r="X11" s="92">
        <v>20330</v>
      </c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50"/>
      <c r="AL11" s="50"/>
    </row>
    <row r="12" spans="1:38" s="39" customFormat="1" ht="15" thickBot="1" x14ac:dyDescent="0.35">
      <c r="A12" s="121">
        <v>3120</v>
      </c>
      <c r="B12" s="116" t="s">
        <v>112</v>
      </c>
      <c r="C12" s="115">
        <v>1384</v>
      </c>
      <c r="D12" s="116" t="s">
        <v>134</v>
      </c>
      <c r="E12" s="117">
        <v>577304</v>
      </c>
      <c r="F12" s="118">
        <v>18468</v>
      </c>
      <c r="G12" s="118">
        <f t="shared" si="0"/>
        <v>595772</v>
      </c>
      <c r="H12" s="117">
        <f t="shared" si="1"/>
        <v>574866</v>
      </c>
      <c r="I12" s="117">
        <f t="shared" si="2"/>
        <v>20906</v>
      </c>
      <c r="J12" s="92"/>
      <c r="K12" s="92"/>
      <c r="L12" s="92"/>
      <c r="M12" s="92">
        <v>187040</v>
      </c>
      <c r="N12" s="92">
        <v>66577</v>
      </c>
      <c r="O12" s="92">
        <v>43564</v>
      </c>
      <c r="P12" s="92">
        <v>37420</v>
      </c>
      <c r="Q12" s="92">
        <v>29392</v>
      </c>
      <c r="R12" s="92">
        <v>47109</v>
      </c>
      <c r="S12" s="92">
        <v>38459</v>
      </c>
      <c r="T12" s="92">
        <v>55622</v>
      </c>
      <c r="U12" s="92">
        <v>30495</v>
      </c>
      <c r="V12" s="92"/>
      <c r="W12" s="92"/>
      <c r="X12" s="92">
        <v>39188</v>
      </c>
      <c r="Y12" s="92"/>
      <c r="Z12" s="92" t="s">
        <v>34</v>
      </c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50"/>
      <c r="AL12" s="50"/>
    </row>
    <row r="13" spans="1:38" s="39" customFormat="1" ht="15" thickBot="1" x14ac:dyDescent="0.35">
      <c r="A13" s="121" t="s">
        <v>24</v>
      </c>
      <c r="B13" s="116" t="s">
        <v>41</v>
      </c>
      <c r="C13" s="115">
        <v>1556</v>
      </c>
      <c r="D13" s="116" t="s">
        <v>135</v>
      </c>
      <c r="E13" s="117">
        <v>222040</v>
      </c>
      <c r="F13" s="118">
        <v>12096</v>
      </c>
      <c r="G13" s="118">
        <f t="shared" si="0"/>
        <v>234136</v>
      </c>
      <c r="H13" s="117">
        <f t="shared" si="1"/>
        <v>208178</v>
      </c>
      <c r="I13" s="117">
        <f t="shared" si="2"/>
        <v>25958</v>
      </c>
      <c r="J13" s="92"/>
      <c r="K13" s="92"/>
      <c r="L13" s="92">
        <v>28406</v>
      </c>
      <c r="M13" s="92">
        <v>8786</v>
      </c>
      <c r="N13" s="92">
        <v>15176</v>
      </c>
      <c r="O13" s="92">
        <v>17511</v>
      </c>
      <c r="P13" s="92">
        <v>8406</v>
      </c>
      <c r="Q13" s="92">
        <v>20540</v>
      </c>
      <c r="R13" s="92">
        <v>9006</v>
      </c>
      <c r="S13" s="92">
        <v>4129</v>
      </c>
      <c r="T13" s="92">
        <v>26951</v>
      </c>
      <c r="U13" s="92">
        <v>20592</v>
      </c>
      <c r="V13" s="92">
        <v>31784</v>
      </c>
      <c r="W13" s="92">
        <v>16891</v>
      </c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50"/>
      <c r="AL13" s="50"/>
    </row>
    <row r="14" spans="1:38" s="39" customFormat="1" ht="29.4" thickBot="1" x14ac:dyDescent="0.35">
      <c r="A14" s="121" t="s">
        <v>51</v>
      </c>
      <c r="B14" s="116" t="s">
        <v>153</v>
      </c>
      <c r="C14" s="119">
        <v>1774</v>
      </c>
      <c r="D14" s="116" t="s">
        <v>136</v>
      </c>
      <c r="E14" s="117">
        <v>887069</v>
      </c>
      <c r="F14" s="118">
        <v>25575</v>
      </c>
      <c r="G14" s="118">
        <f t="shared" si="0"/>
        <v>912644</v>
      </c>
      <c r="H14" s="117">
        <f t="shared" si="1"/>
        <v>890928</v>
      </c>
      <c r="I14" s="117">
        <f t="shared" si="2"/>
        <v>21716</v>
      </c>
      <c r="J14" s="92"/>
      <c r="K14" s="92"/>
      <c r="L14" s="92"/>
      <c r="M14" s="92"/>
      <c r="N14" s="92">
        <v>103104</v>
      </c>
      <c r="O14" s="92">
        <v>60076</v>
      </c>
      <c r="P14" s="92">
        <v>57825</v>
      </c>
      <c r="Q14" s="92">
        <v>122058</v>
      </c>
      <c r="R14" s="92">
        <v>81854</v>
      </c>
      <c r="S14" s="92">
        <v>63588</v>
      </c>
      <c r="T14" s="92"/>
      <c r="U14" s="92">
        <f>105499+79955</f>
        <v>185454</v>
      </c>
      <c r="V14" s="92">
        <v>70017</v>
      </c>
      <c r="W14" s="92"/>
      <c r="X14" s="92"/>
      <c r="Y14" s="92">
        <v>146952</v>
      </c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50"/>
      <c r="AL14" s="50"/>
    </row>
    <row r="15" spans="1:38" s="39" customFormat="1" ht="15" thickBot="1" x14ac:dyDescent="0.35">
      <c r="A15" s="121" t="s">
        <v>23</v>
      </c>
      <c r="B15" s="116" t="s">
        <v>100</v>
      </c>
      <c r="C15" s="119">
        <v>1878</v>
      </c>
      <c r="D15" s="116" t="s">
        <v>137</v>
      </c>
      <c r="E15" s="117">
        <v>1321175</v>
      </c>
      <c r="F15" s="118">
        <v>0</v>
      </c>
      <c r="G15" s="118">
        <f t="shared" si="0"/>
        <v>1321175</v>
      </c>
      <c r="H15" s="117">
        <f t="shared" si="1"/>
        <v>1173172</v>
      </c>
      <c r="I15" s="117">
        <f t="shared" si="2"/>
        <v>148003</v>
      </c>
      <c r="J15" s="92"/>
      <c r="K15" s="92"/>
      <c r="L15" s="92"/>
      <c r="M15" s="92"/>
      <c r="N15" s="92">
        <f>136257+133664</f>
        <v>269921</v>
      </c>
      <c r="O15" s="92"/>
      <c r="P15" s="92">
        <v>109280</v>
      </c>
      <c r="Q15" s="92">
        <f>71318+76845</f>
        <v>148163</v>
      </c>
      <c r="R15" s="92">
        <v>84358</v>
      </c>
      <c r="S15" s="92"/>
      <c r="T15" s="92">
        <f>98054+79215</f>
        <v>177269</v>
      </c>
      <c r="U15" s="92">
        <f>84645+2917</f>
        <v>87562</v>
      </c>
      <c r="V15" s="92">
        <v>68544</v>
      </c>
      <c r="W15" s="92"/>
      <c r="X15" s="92">
        <v>31563</v>
      </c>
      <c r="Y15" s="92">
        <v>74056</v>
      </c>
      <c r="Z15" s="92">
        <v>122456</v>
      </c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50"/>
      <c r="AL15" s="50"/>
    </row>
    <row r="16" spans="1:38" s="39" customFormat="1" ht="15" thickBot="1" x14ac:dyDescent="0.35">
      <c r="A16" s="121" t="s">
        <v>24</v>
      </c>
      <c r="B16" s="116" t="s">
        <v>41</v>
      </c>
      <c r="C16" s="115">
        <v>2752</v>
      </c>
      <c r="D16" s="116" t="s">
        <v>138</v>
      </c>
      <c r="E16" s="117">
        <v>222040</v>
      </c>
      <c r="F16" s="118">
        <v>16951</v>
      </c>
      <c r="G16" s="118">
        <f t="shared" si="0"/>
        <v>238991</v>
      </c>
      <c r="H16" s="117">
        <f t="shared" si="1"/>
        <v>208826</v>
      </c>
      <c r="I16" s="117">
        <f t="shared" si="2"/>
        <v>30165</v>
      </c>
      <c r="J16" s="92"/>
      <c r="K16" s="92"/>
      <c r="L16" s="92">
        <v>22848</v>
      </c>
      <c r="M16" s="92">
        <v>6338</v>
      </c>
      <c r="N16" s="92">
        <v>22838</v>
      </c>
      <c r="O16" s="92">
        <v>54164</v>
      </c>
      <c r="P16" s="92">
        <v>10121</v>
      </c>
      <c r="Q16" s="92">
        <v>6253</v>
      </c>
      <c r="R16" s="92">
        <v>6608</v>
      </c>
      <c r="S16" s="92">
        <v>9824</v>
      </c>
      <c r="T16" s="92">
        <v>8897</v>
      </c>
      <c r="U16" s="92">
        <v>32742</v>
      </c>
      <c r="V16" s="92">
        <v>18250</v>
      </c>
      <c r="W16" s="92">
        <v>9943</v>
      </c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51"/>
      <c r="AL16" s="51"/>
    </row>
    <row r="17" spans="1:38" s="39" customFormat="1" ht="15" thickBot="1" x14ac:dyDescent="0.35">
      <c r="A17" s="121" t="s">
        <v>4</v>
      </c>
      <c r="B17" s="116" t="s">
        <v>154</v>
      </c>
      <c r="C17" s="115">
        <v>3272</v>
      </c>
      <c r="D17" s="116" t="s">
        <v>139</v>
      </c>
      <c r="E17" s="117">
        <v>551556</v>
      </c>
      <c r="F17" s="118">
        <v>67500</v>
      </c>
      <c r="G17" s="118">
        <f t="shared" si="0"/>
        <v>619056</v>
      </c>
      <c r="H17" s="117">
        <f t="shared" si="1"/>
        <v>474950</v>
      </c>
      <c r="I17" s="117">
        <f t="shared" si="2"/>
        <v>144106</v>
      </c>
      <c r="J17" s="92"/>
      <c r="K17" s="92"/>
      <c r="L17" s="92"/>
      <c r="M17" s="92">
        <v>55937</v>
      </c>
      <c r="N17" s="92"/>
      <c r="O17" s="92">
        <v>28058</v>
      </c>
      <c r="P17" s="92">
        <v>35720</v>
      </c>
      <c r="Q17" s="92"/>
      <c r="R17" s="92">
        <v>76803</v>
      </c>
      <c r="S17" s="92">
        <v>47927</v>
      </c>
      <c r="T17" s="92">
        <v>53483</v>
      </c>
      <c r="U17" s="92">
        <v>13235</v>
      </c>
      <c r="V17" s="92">
        <v>59019</v>
      </c>
      <c r="W17" s="92">
        <v>32542</v>
      </c>
      <c r="X17" s="92"/>
      <c r="Y17" s="92">
        <v>72226</v>
      </c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51"/>
      <c r="AL17" s="51"/>
    </row>
    <row r="18" spans="1:38" s="39" customFormat="1" ht="15" thickBot="1" x14ac:dyDescent="0.35">
      <c r="A18" s="121" t="s">
        <v>51</v>
      </c>
      <c r="B18" s="116" t="s">
        <v>153</v>
      </c>
      <c r="C18" s="115">
        <v>3600</v>
      </c>
      <c r="D18" s="116" t="s">
        <v>140</v>
      </c>
      <c r="E18" s="117">
        <v>222015</v>
      </c>
      <c r="F18" s="118">
        <v>0</v>
      </c>
      <c r="G18" s="118">
        <f t="shared" si="0"/>
        <v>222015</v>
      </c>
      <c r="H18" s="117">
        <f t="shared" si="1"/>
        <v>221975</v>
      </c>
      <c r="I18" s="117">
        <f t="shared" si="2"/>
        <v>40</v>
      </c>
      <c r="J18" s="92"/>
      <c r="K18" s="92"/>
      <c r="L18" s="92"/>
      <c r="M18" s="92"/>
      <c r="N18" s="92"/>
      <c r="O18" s="92">
        <v>18137</v>
      </c>
      <c r="P18" s="92">
        <v>23913</v>
      </c>
      <c r="Q18" s="92"/>
      <c r="R18" s="92">
        <v>16728</v>
      </c>
      <c r="S18" s="92">
        <v>14091</v>
      </c>
      <c r="T18" s="92"/>
      <c r="U18" s="92">
        <f>73371+61464</f>
        <v>134835</v>
      </c>
      <c r="V18" s="92"/>
      <c r="W18" s="92">
        <v>14271</v>
      </c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3"/>
      <c r="AL18" s="93"/>
    </row>
    <row r="19" spans="1:38" s="39" customFormat="1" ht="15" thickBot="1" x14ac:dyDescent="0.35">
      <c r="A19" s="121" t="s">
        <v>30</v>
      </c>
      <c r="B19" s="116" t="s">
        <v>152</v>
      </c>
      <c r="C19" s="115">
        <v>4422</v>
      </c>
      <c r="D19" s="116" t="s">
        <v>141</v>
      </c>
      <c r="E19" s="117">
        <v>666120</v>
      </c>
      <c r="F19" s="118">
        <v>53517</v>
      </c>
      <c r="G19" s="118">
        <f t="shared" si="0"/>
        <v>719637</v>
      </c>
      <c r="H19" s="117">
        <f t="shared" si="1"/>
        <v>716579</v>
      </c>
      <c r="I19" s="117">
        <f t="shared" si="2"/>
        <v>3058</v>
      </c>
      <c r="J19" s="92"/>
      <c r="K19" s="92"/>
      <c r="L19" s="92"/>
      <c r="M19" s="92"/>
      <c r="N19" s="92">
        <f>85687+53698</f>
        <v>139385</v>
      </c>
      <c r="O19" s="92">
        <v>67925</v>
      </c>
      <c r="P19" s="92">
        <v>54701</v>
      </c>
      <c r="Q19" s="92">
        <v>46982</v>
      </c>
      <c r="R19" s="92">
        <v>58703</v>
      </c>
      <c r="S19" s="92">
        <v>76412</v>
      </c>
      <c r="T19" s="92">
        <v>51460</v>
      </c>
      <c r="U19" s="92">
        <v>67862</v>
      </c>
      <c r="V19" s="92"/>
      <c r="W19" s="92"/>
      <c r="X19" s="92">
        <v>153149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3"/>
      <c r="AL19" s="93"/>
    </row>
    <row r="20" spans="1:38" s="39" customFormat="1" ht="15" thickBot="1" x14ac:dyDescent="0.35">
      <c r="A20" s="121">
        <v>1510</v>
      </c>
      <c r="B20" s="116" t="s">
        <v>123</v>
      </c>
      <c r="C20" s="115">
        <v>4901</v>
      </c>
      <c r="D20" s="116" t="s">
        <v>142</v>
      </c>
      <c r="E20" s="117">
        <v>221976</v>
      </c>
      <c r="F20" s="118">
        <v>15357</v>
      </c>
      <c r="G20" s="118">
        <f t="shared" si="0"/>
        <v>237333</v>
      </c>
      <c r="H20" s="117">
        <f t="shared" si="1"/>
        <v>218215</v>
      </c>
      <c r="I20" s="117">
        <f t="shared" si="2"/>
        <v>19118</v>
      </c>
      <c r="J20" s="92"/>
      <c r="K20" s="92"/>
      <c r="L20" s="92"/>
      <c r="M20" s="92"/>
      <c r="N20" s="92">
        <v>37816</v>
      </c>
      <c r="O20" s="92">
        <v>17474</v>
      </c>
      <c r="P20" s="92"/>
      <c r="Q20" s="92">
        <v>25676</v>
      </c>
      <c r="R20" s="92">
        <v>20167</v>
      </c>
      <c r="S20" s="92">
        <v>20928</v>
      </c>
      <c r="T20" s="92">
        <v>24120</v>
      </c>
      <c r="U20" s="92"/>
      <c r="V20" s="92"/>
      <c r="W20" s="92"/>
      <c r="X20" s="92">
        <v>72034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50"/>
      <c r="AL20" s="50"/>
    </row>
    <row r="21" spans="1:38" s="39" customFormat="1" ht="29.4" thickBot="1" x14ac:dyDescent="0.35">
      <c r="A21" s="121" t="s">
        <v>51</v>
      </c>
      <c r="B21" s="116" t="s">
        <v>153</v>
      </c>
      <c r="C21" s="115">
        <v>6188</v>
      </c>
      <c r="D21" s="116" t="s">
        <v>143</v>
      </c>
      <c r="E21" s="117">
        <v>222001</v>
      </c>
      <c r="F21" s="118">
        <v>34</v>
      </c>
      <c r="G21" s="118">
        <f t="shared" si="0"/>
        <v>222035</v>
      </c>
      <c r="H21" s="117">
        <f t="shared" si="1"/>
        <v>219402</v>
      </c>
      <c r="I21" s="117">
        <f t="shared" si="2"/>
        <v>2633</v>
      </c>
      <c r="J21" s="92"/>
      <c r="K21" s="92"/>
      <c r="L21" s="92"/>
      <c r="M21" s="92"/>
      <c r="N21" s="92">
        <v>25617</v>
      </c>
      <c r="O21" s="92">
        <v>19227</v>
      </c>
      <c r="P21" s="92"/>
      <c r="Q21" s="92">
        <v>32039</v>
      </c>
      <c r="R21" s="92">
        <v>22939</v>
      </c>
      <c r="S21" s="92">
        <v>20253</v>
      </c>
      <c r="T21" s="92"/>
      <c r="U21" s="92">
        <f>18181+33187</f>
        <v>51368</v>
      </c>
      <c r="V21" s="92">
        <v>26229</v>
      </c>
      <c r="W21" s="92">
        <v>21730</v>
      </c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50"/>
      <c r="AL21" s="50"/>
    </row>
    <row r="22" spans="1:38" s="39" customFormat="1" ht="15" thickBot="1" x14ac:dyDescent="0.35">
      <c r="A22" s="121" t="s">
        <v>30</v>
      </c>
      <c r="B22" s="116" t="s">
        <v>152</v>
      </c>
      <c r="C22" s="115">
        <v>6848</v>
      </c>
      <c r="D22" s="116" t="s">
        <v>144</v>
      </c>
      <c r="E22" s="117">
        <v>217133</v>
      </c>
      <c r="F22" s="118">
        <v>0</v>
      </c>
      <c r="G22" s="118">
        <f t="shared" si="0"/>
        <v>217133</v>
      </c>
      <c r="H22" s="117">
        <f t="shared" si="1"/>
        <v>216828</v>
      </c>
      <c r="I22" s="117">
        <f t="shared" si="2"/>
        <v>305</v>
      </c>
      <c r="J22" s="92"/>
      <c r="K22" s="92"/>
      <c r="L22" s="92"/>
      <c r="M22" s="92"/>
      <c r="N22" s="92">
        <f>35148+25725</f>
        <v>60873</v>
      </c>
      <c r="O22" s="92">
        <v>25774</v>
      </c>
      <c r="P22" s="92">
        <v>19801</v>
      </c>
      <c r="Q22" s="92">
        <v>17214</v>
      </c>
      <c r="R22" s="92">
        <v>15283</v>
      </c>
      <c r="S22" s="92">
        <v>16473</v>
      </c>
      <c r="T22" s="92">
        <v>13967</v>
      </c>
      <c r="U22" s="92">
        <v>14713</v>
      </c>
      <c r="V22" s="92">
        <v>13331</v>
      </c>
      <c r="W22" s="92"/>
      <c r="X22" s="92">
        <v>19399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3"/>
      <c r="AL22" s="93"/>
    </row>
    <row r="23" spans="1:38" s="39" customFormat="1" ht="29.4" thickBot="1" x14ac:dyDescent="0.35">
      <c r="A23" s="121" t="s">
        <v>51</v>
      </c>
      <c r="B23" s="116" t="s">
        <v>153</v>
      </c>
      <c r="C23" s="115">
        <v>7045</v>
      </c>
      <c r="D23" s="116" t="s">
        <v>145</v>
      </c>
      <c r="E23" s="117">
        <v>135000</v>
      </c>
      <c r="F23" s="118">
        <v>0</v>
      </c>
      <c r="G23" s="118">
        <f t="shared" si="0"/>
        <v>135000</v>
      </c>
      <c r="H23" s="117">
        <f t="shared" si="1"/>
        <v>119107</v>
      </c>
      <c r="I23" s="117">
        <f t="shared" si="2"/>
        <v>15893</v>
      </c>
      <c r="J23" s="92"/>
      <c r="K23" s="92"/>
      <c r="L23" s="92"/>
      <c r="M23" s="92">
        <v>5878</v>
      </c>
      <c r="N23" s="92"/>
      <c r="O23" s="92">
        <v>21885</v>
      </c>
      <c r="P23" s="92">
        <v>10347</v>
      </c>
      <c r="Q23" s="92">
        <v>16042</v>
      </c>
      <c r="R23" s="92"/>
      <c r="S23" s="92">
        <f>13602+11692</f>
        <v>25294</v>
      </c>
      <c r="T23" s="92"/>
      <c r="U23" s="92">
        <f>10665+14215</f>
        <v>24880</v>
      </c>
      <c r="V23" s="92"/>
      <c r="W23" s="92">
        <v>14781</v>
      </c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50"/>
      <c r="AL23" s="50"/>
    </row>
    <row r="24" spans="1:38" s="39" customFormat="1" ht="29.4" thickBot="1" x14ac:dyDescent="0.35">
      <c r="A24" s="121" t="s">
        <v>5</v>
      </c>
      <c r="B24" s="116" t="s">
        <v>39</v>
      </c>
      <c r="C24" s="115">
        <v>7592</v>
      </c>
      <c r="D24" s="116" t="s">
        <v>146</v>
      </c>
      <c r="E24" s="117">
        <v>222040</v>
      </c>
      <c r="F24" s="118">
        <v>1304</v>
      </c>
      <c r="G24" s="118">
        <f t="shared" si="0"/>
        <v>223344</v>
      </c>
      <c r="H24" s="117">
        <f>SUM(J24:AJ24)</f>
        <v>203094</v>
      </c>
      <c r="I24" s="117">
        <f t="shared" si="2"/>
        <v>20250</v>
      </c>
      <c r="J24" s="92"/>
      <c r="K24" s="92"/>
      <c r="L24" s="92"/>
      <c r="M24" s="92">
        <v>31416</v>
      </c>
      <c r="N24" s="92">
        <v>20299</v>
      </c>
      <c r="O24" s="92">
        <v>24226</v>
      </c>
      <c r="P24" s="92">
        <v>14367</v>
      </c>
      <c r="Q24" s="92">
        <v>13038</v>
      </c>
      <c r="R24" s="92">
        <v>19520</v>
      </c>
      <c r="S24" s="92">
        <v>19943</v>
      </c>
      <c r="T24" s="92">
        <v>5364</v>
      </c>
      <c r="U24" s="92">
        <v>35109</v>
      </c>
      <c r="V24" s="92">
        <v>6069</v>
      </c>
      <c r="W24" s="92"/>
      <c r="X24" s="92"/>
      <c r="Y24" s="92"/>
      <c r="Z24" s="92"/>
      <c r="AA24" s="92"/>
      <c r="AB24" s="92"/>
      <c r="AC24" s="92"/>
      <c r="AD24" s="92"/>
      <c r="AE24" s="92"/>
      <c r="AF24" s="92">
        <v>13743</v>
      </c>
      <c r="AG24" s="92"/>
      <c r="AH24" s="92"/>
      <c r="AI24" s="92"/>
      <c r="AJ24" s="92"/>
      <c r="AK24" s="50"/>
      <c r="AL24" s="50"/>
    </row>
    <row r="25" spans="1:38" s="39" customFormat="1" ht="15" thickBot="1" x14ac:dyDescent="0.35">
      <c r="A25" s="119" t="s">
        <v>125</v>
      </c>
      <c r="B25" s="116" t="s">
        <v>147</v>
      </c>
      <c r="C25" s="122"/>
      <c r="D25" s="116" t="s">
        <v>155</v>
      </c>
      <c r="E25" s="117">
        <v>665671</v>
      </c>
      <c r="F25" s="118">
        <v>0</v>
      </c>
      <c r="G25" s="118">
        <f t="shared" si="0"/>
        <v>665671</v>
      </c>
      <c r="H25" s="117">
        <f t="shared" ref="H25:H30" si="3">SUM(J25:AJ25)</f>
        <v>647102</v>
      </c>
      <c r="I25" s="117">
        <f t="shared" si="2"/>
        <v>18569</v>
      </c>
      <c r="J25" s="92"/>
      <c r="K25" s="92"/>
      <c r="L25" s="92"/>
      <c r="M25" s="92"/>
      <c r="N25" s="92"/>
      <c r="O25" s="92"/>
      <c r="P25" s="92">
        <f>33723+32113+31595+35994+19313+22103</f>
        <v>174841</v>
      </c>
      <c r="Q25" s="92">
        <v>56354</v>
      </c>
      <c r="R25" s="92">
        <v>36810</v>
      </c>
      <c r="S25" s="92">
        <v>42782</v>
      </c>
      <c r="T25" s="92">
        <v>68612</v>
      </c>
      <c r="U25" s="92">
        <v>73842</v>
      </c>
      <c r="V25" s="92">
        <v>54246</v>
      </c>
      <c r="W25" s="92">
        <v>44225</v>
      </c>
      <c r="X25" s="92">
        <v>51655</v>
      </c>
      <c r="Y25" s="92">
        <v>43735</v>
      </c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50"/>
      <c r="AL25" s="50"/>
    </row>
    <row r="26" spans="1:38" s="39" customFormat="1" ht="15" thickBot="1" x14ac:dyDescent="0.35">
      <c r="A26" s="119" t="s">
        <v>82</v>
      </c>
      <c r="B26" s="116" t="s">
        <v>99</v>
      </c>
      <c r="C26" s="122"/>
      <c r="D26" s="116" t="s">
        <v>156</v>
      </c>
      <c r="E26" s="117">
        <v>129130</v>
      </c>
      <c r="F26" s="118">
        <v>0</v>
      </c>
      <c r="G26" s="118">
        <f t="shared" si="0"/>
        <v>129130</v>
      </c>
      <c r="H26" s="117">
        <f t="shared" si="3"/>
        <v>129130</v>
      </c>
      <c r="I26" s="117">
        <f t="shared" si="2"/>
        <v>0</v>
      </c>
      <c r="J26" s="92"/>
      <c r="K26" s="92"/>
      <c r="L26" s="92">
        <v>10433</v>
      </c>
      <c r="M26" s="92">
        <f>14438+7543</f>
        <v>21981</v>
      </c>
      <c r="N26" s="92">
        <v>6365</v>
      </c>
      <c r="O26" s="92">
        <v>8351</v>
      </c>
      <c r="P26" s="92">
        <v>7232</v>
      </c>
      <c r="Q26" s="92">
        <v>12663</v>
      </c>
      <c r="R26" s="92">
        <v>15514</v>
      </c>
      <c r="S26" s="92">
        <v>16515</v>
      </c>
      <c r="T26" s="92">
        <v>11053</v>
      </c>
      <c r="U26" s="92">
        <v>12894</v>
      </c>
      <c r="V26" s="92"/>
      <c r="W26" s="92"/>
      <c r="X26" s="92">
        <v>6129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50"/>
      <c r="AL26" s="50"/>
    </row>
    <row r="27" spans="1:38" s="39" customFormat="1" ht="15" thickBot="1" x14ac:dyDescent="0.35">
      <c r="A27" s="119" t="s">
        <v>126</v>
      </c>
      <c r="B27" s="116" t="s">
        <v>148</v>
      </c>
      <c r="C27" s="122"/>
      <c r="D27" s="116" t="s">
        <v>157</v>
      </c>
      <c r="E27" s="117">
        <v>148027</v>
      </c>
      <c r="F27" s="118">
        <v>12183</v>
      </c>
      <c r="G27" s="118">
        <f t="shared" si="0"/>
        <v>160210</v>
      </c>
      <c r="H27" s="117">
        <f t="shared" si="3"/>
        <v>160210</v>
      </c>
      <c r="I27" s="117">
        <f t="shared" si="2"/>
        <v>0</v>
      </c>
      <c r="J27" s="92"/>
      <c r="K27" s="92"/>
      <c r="L27" s="92"/>
      <c r="M27" s="92">
        <f>50722</f>
        <v>50722</v>
      </c>
      <c r="N27" s="92">
        <v>6779</v>
      </c>
      <c r="O27" s="92">
        <v>8166</v>
      </c>
      <c r="P27" s="92">
        <v>16330</v>
      </c>
      <c r="Q27" s="92"/>
      <c r="R27" s="92">
        <f>11013+17489</f>
        <v>28502</v>
      </c>
      <c r="S27" s="92">
        <v>17325</v>
      </c>
      <c r="T27" s="92"/>
      <c r="U27" s="92">
        <v>9171</v>
      </c>
      <c r="V27" s="92">
        <v>21641</v>
      </c>
      <c r="W27" s="92">
        <v>1574</v>
      </c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50"/>
      <c r="AL27" s="50"/>
    </row>
    <row r="28" spans="1:38" s="39" customFormat="1" ht="29.4" thickBot="1" x14ac:dyDescent="0.35">
      <c r="A28" s="119" t="s">
        <v>14</v>
      </c>
      <c r="B28" s="116" t="s">
        <v>149</v>
      </c>
      <c r="C28" s="122"/>
      <c r="D28" s="116" t="s">
        <v>158</v>
      </c>
      <c r="E28" s="117">
        <v>505892</v>
      </c>
      <c r="F28" s="118">
        <v>12786</v>
      </c>
      <c r="G28" s="118">
        <f t="shared" si="0"/>
        <v>518678</v>
      </c>
      <c r="H28" s="117">
        <f t="shared" si="3"/>
        <v>497068</v>
      </c>
      <c r="I28" s="117">
        <f t="shared" si="2"/>
        <v>21610</v>
      </c>
      <c r="J28" s="92"/>
      <c r="K28" s="92"/>
      <c r="L28" s="92"/>
      <c r="M28" s="92"/>
      <c r="N28" s="92">
        <v>136095</v>
      </c>
      <c r="O28" s="92"/>
      <c r="P28" s="92">
        <v>55252</v>
      </c>
      <c r="Q28" s="92"/>
      <c r="R28" s="92">
        <f>24252+36945</f>
        <v>61197</v>
      </c>
      <c r="S28" s="92">
        <v>30417</v>
      </c>
      <c r="T28" s="92">
        <f>34085+40007</f>
        <v>74092</v>
      </c>
      <c r="U28" s="92"/>
      <c r="V28" s="92">
        <f>37907+32184</f>
        <v>70091</v>
      </c>
      <c r="W28" s="92"/>
      <c r="X28" s="92">
        <v>58508</v>
      </c>
      <c r="Y28" s="92">
        <v>11416</v>
      </c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  <c r="AL28" s="93"/>
    </row>
    <row r="29" spans="1:38" s="39" customFormat="1" ht="29.4" thickBot="1" x14ac:dyDescent="0.35">
      <c r="A29" s="119" t="s">
        <v>127</v>
      </c>
      <c r="B29" s="116" t="s">
        <v>150</v>
      </c>
      <c r="C29" s="121"/>
      <c r="D29" s="116" t="s">
        <v>159</v>
      </c>
      <c r="E29" s="117">
        <v>222040</v>
      </c>
      <c r="F29" s="120">
        <v>17967</v>
      </c>
      <c r="G29" s="118">
        <f t="shared" si="0"/>
        <v>240007</v>
      </c>
      <c r="H29" s="117">
        <f t="shared" si="3"/>
        <v>193296</v>
      </c>
      <c r="I29" s="117">
        <f t="shared" si="2"/>
        <v>46711</v>
      </c>
      <c r="J29" s="92"/>
      <c r="K29" s="92">
        <v>12437</v>
      </c>
      <c r="L29" s="92">
        <v>9094</v>
      </c>
      <c r="M29" s="92">
        <f>13166</f>
        <v>13166</v>
      </c>
      <c r="N29" s="92">
        <v>14528</v>
      </c>
      <c r="O29" s="92">
        <v>11933</v>
      </c>
      <c r="P29" s="92">
        <v>6881</v>
      </c>
      <c r="Q29" s="92">
        <v>13749</v>
      </c>
      <c r="R29" s="92">
        <v>14145</v>
      </c>
      <c r="S29" s="92">
        <v>21625</v>
      </c>
      <c r="T29" s="92">
        <v>17988</v>
      </c>
      <c r="U29" s="92">
        <v>25834</v>
      </c>
      <c r="V29" s="92">
        <v>16665</v>
      </c>
      <c r="W29" s="92"/>
      <c r="X29" s="92"/>
      <c r="Y29" s="92">
        <v>15251</v>
      </c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50"/>
      <c r="AL29" s="50"/>
    </row>
    <row r="30" spans="1:38" s="39" customFormat="1" ht="29.4" thickBot="1" x14ac:dyDescent="0.35">
      <c r="A30" s="119" t="s">
        <v>118</v>
      </c>
      <c r="B30" s="116" t="s">
        <v>120</v>
      </c>
      <c r="C30" s="122"/>
      <c r="D30" s="116" t="s">
        <v>160</v>
      </c>
      <c r="E30" s="117">
        <v>598990</v>
      </c>
      <c r="F30" s="117">
        <v>0</v>
      </c>
      <c r="G30" s="118">
        <f t="shared" si="0"/>
        <v>598990</v>
      </c>
      <c r="H30" s="117">
        <f t="shared" si="3"/>
        <v>392573</v>
      </c>
      <c r="I30" s="117">
        <f t="shared" si="2"/>
        <v>206417</v>
      </c>
      <c r="J30" s="92"/>
      <c r="K30" s="92"/>
      <c r="L30" s="92">
        <v>15353</v>
      </c>
      <c r="M30" s="92">
        <f>45296+23312</f>
        <v>68608</v>
      </c>
      <c r="N30" s="92"/>
      <c r="O30" s="92">
        <f>7459+38515</f>
        <v>45974</v>
      </c>
      <c r="P30" s="92">
        <f>29575-13635</f>
        <v>15940</v>
      </c>
      <c r="Q30" s="92">
        <v>18242</v>
      </c>
      <c r="R30" s="92">
        <v>69454</v>
      </c>
      <c r="S30" s="92">
        <v>31369</v>
      </c>
      <c r="T30" s="92">
        <v>24766</v>
      </c>
      <c r="U30" s="92">
        <v>38108</v>
      </c>
      <c r="V30" s="92"/>
      <c r="W30" s="92">
        <v>64759</v>
      </c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50"/>
      <c r="AL30" s="50"/>
    </row>
    <row r="31" spans="1:38" ht="15" thickBot="1" x14ac:dyDescent="0.35">
      <c r="A31" s="119"/>
      <c r="B31" s="67"/>
      <c r="C31" s="48"/>
      <c r="D31" s="67"/>
      <c r="E31" s="117"/>
      <c r="F31" s="118"/>
      <c r="G31" s="118"/>
      <c r="H31" s="117"/>
      <c r="I31" s="117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51"/>
      <c r="AL31" s="51"/>
    </row>
    <row r="32" spans="1:38" s="14" customFormat="1" ht="15" thickBot="1" x14ac:dyDescent="0.35">
      <c r="A32" s="123" t="s">
        <v>49</v>
      </c>
      <c r="B32" s="49"/>
      <c r="C32" s="70"/>
      <c r="D32" s="49"/>
      <c r="E32" s="110">
        <f>SUM(E9:E31)</f>
        <v>8623339</v>
      </c>
      <c r="F32" s="110">
        <f>SUM(F9:F31)</f>
        <v>287160</v>
      </c>
      <c r="G32" s="110">
        <f>SUM(G9:G31)</f>
        <v>8910499</v>
      </c>
      <c r="H32" s="110">
        <f>SUM(H9:H30)</f>
        <v>8128406</v>
      </c>
      <c r="I32" s="110">
        <f>SUM(I9:I31)</f>
        <v>782093</v>
      </c>
      <c r="J32" s="110">
        <f>SUM(J9:J30)</f>
        <v>0</v>
      </c>
      <c r="K32" s="110">
        <f>SUM(K9:K30)</f>
        <v>12437</v>
      </c>
      <c r="L32" s="110">
        <f>SUM(L9:L30)</f>
        <v>100862</v>
      </c>
      <c r="M32" s="110">
        <f t="shared" ref="M32:AL32" si="4">SUM(M9:M31)</f>
        <v>509807</v>
      </c>
      <c r="N32" s="110">
        <f t="shared" si="4"/>
        <v>984678</v>
      </c>
      <c r="O32" s="110">
        <f t="shared" si="4"/>
        <v>510653</v>
      </c>
      <c r="P32" s="110">
        <f t="shared" si="4"/>
        <v>728821</v>
      </c>
      <c r="Q32" s="110">
        <f t="shared" si="4"/>
        <v>612660</v>
      </c>
      <c r="R32" s="110">
        <f t="shared" si="4"/>
        <v>754451</v>
      </c>
      <c r="S32" s="110">
        <f t="shared" si="4"/>
        <v>558287</v>
      </c>
      <c r="T32" s="110">
        <f t="shared" si="4"/>
        <v>699623</v>
      </c>
      <c r="U32" s="110">
        <f t="shared" si="4"/>
        <v>899674</v>
      </c>
      <c r="V32" s="110">
        <f t="shared" si="4"/>
        <v>478416</v>
      </c>
      <c r="W32" s="110">
        <f t="shared" si="4"/>
        <v>236972</v>
      </c>
      <c r="X32" s="110">
        <f t="shared" si="4"/>
        <v>541230</v>
      </c>
      <c r="Y32" s="110">
        <f t="shared" si="4"/>
        <v>363636</v>
      </c>
      <c r="Z32" s="110">
        <f t="shared" si="4"/>
        <v>122456</v>
      </c>
      <c r="AA32" s="110">
        <f t="shared" si="4"/>
        <v>0</v>
      </c>
      <c r="AB32" s="110">
        <f t="shared" si="4"/>
        <v>0</v>
      </c>
      <c r="AC32" s="110">
        <f t="shared" si="4"/>
        <v>0</v>
      </c>
      <c r="AD32" s="110">
        <f t="shared" si="4"/>
        <v>0</v>
      </c>
      <c r="AE32" s="110">
        <f t="shared" si="4"/>
        <v>0</v>
      </c>
      <c r="AF32" s="110">
        <f t="shared" si="4"/>
        <v>13743</v>
      </c>
      <c r="AG32" s="110">
        <f t="shared" si="4"/>
        <v>0</v>
      </c>
      <c r="AH32" s="110">
        <f t="shared" si="4"/>
        <v>0</v>
      </c>
      <c r="AI32" s="110">
        <f t="shared" si="4"/>
        <v>0</v>
      </c>
      <c r="AJ32" s="110">
        <f t="shared" si="4"/>
        <v>0</v>
      </c>
      <c r="AK32" s="110">
        <f t="shared" si="4"/>
        <v>0</v>
      </c>
      <c r="AL32" s="110">
        <f t="shared" si="4"/>
        <v>0</v>
      </c>
    </row>
    <row r="33" spans="3:38" x14ac:dyDescent="0.3">
      <c r="E33" s="52"/>
      <c r="F33" s="52"/>
      <c r="G33" s="52"/>
      <c r="H33" s="52"/>
      <c r="I33" s="52"/>
      <c r="AK33" s="30"/>
      <c r="AL33" s="30"/>
    </row>
    <row r="34" spans="3:38" x14ac:dyDescent="0.3">
      <c r="C34" s="52"/>
      <c r="D34" s="52"/>
      <c r="E34" s="52"/>
      <c r="F34" s="52"/>
      <c r="G34" s="52"/>
      <c r="H34" s="50"/>
      <c r="I34" s="50"/>
      <c r="N34" s="30"/>
      <c r="S34" s="30"/>
      <c r="T34" s="30"/>
      <c r="Z34" s="30"/>
      <c r="AE34" s="30"/>
      <c r="AF34" s="30"/>
      <c r="AK34" s="30"/>
      <c r="AL34" s="30"/>
    </row>
    <row r="35" spans="3:38" x14ac:dyDescent="0.3">
      <c r="C35" s="52"/>
      <c r="D35" s="52"/>
      <c r="E35" s="52"/>
      <c r="F35" s="52"/>
      <c r="G35" s="52"/>
      <c r="H35" s="50"/>
      <c r="I35" s="50"/>
      <c r="S35" s="30"/>
      <c r="AE35" s="30"/>
      <c r="AK35" s="30"/>
      <c r="AL35" s="30"/>
    </row>
    <row r="36" spans="3:38" x14ac:dyDescent="0.3">
      <c r="C36" s="52"/>
      <c r="D36" s="52"/>
      <c r="E36" s="52"/>
      <c r="F36" s="52"/>
      <c r="G36" s="52"/>
      <c r="H36" s="50"/>
      <c r="I36" s="50"/>
      <c r="AK36" s="30"/>
      <c r="AL36" s="30"/>
    </row>
    <row r="37" spans="3:38" x14ac:dyDescent="0.3">
      <c r="C37" s="52"/>
      <c r="D37" s="52"/>
      <c r="E37" s="52"/>
      <c r="F37" s="52"/>
      <c r="G37" s="52"/>
      <c r="H37" s="50"/>
      <c r="I37" s="50"/>
      <c r="AK37" s="30"/>
      <c r="AL37" s="30"/>
    </row>
    <row r="38" spans="3:38" x14ac:dyDescent="0.3">
      <c r="C38" s="52"/>
      <c r="D38" s="52"/>
      <c r="E38" s="52"/>
      <c r="F38" s="52"/>
      <c r="G38" s="52"/>
      <c r="H38" s="50"/>
      <c r="I38" s="50"/>
      <c r="AK38" s="30"/>
      <c r="AL38" s="30"/>
    </row>
    <row r="39" spans="3:38" x14ac:dyDescent="0.3">
      <c r="C39" s="52"/>
      <c r="D39" s="52"/>
      <c r="E39" s="52"/>
      <c r="F39" s="52"/>
      <c r="G39" s="52"/>
      <c r="H39" s="50"/>
      <c r="I39" s="50"/>
      <c r="AK39" s="30"/>
      <c r="AL39" s="30"/>
    </row>
    <row r="40" spans="3:38" x14ac:dyDescent="0.3">
      <c r="C40" s="52"/>
      <c r="D40" s="52"/>
      <c r="E40" s="52"/>
      <c r="F40" s="52"/>
      <c r="G40" s="52"/>
      <c r="H40" s="50"/>
      <c r="I40" s="50"/>
      <c r="AK40" s="30"/>
      <c r="AL40" s="30"/>
    </row>
    <row r="41" spans="3:38" x14ac:dyDescent="0.3">
      <c r="C41" s="52"/>
      <c r="D41" s="52"/>
      <c r="E41" s="52"/>
      <c r="F41" s="52"/>
      <c r="G41" s="52"/>
      <c r="H41" s="50"/>
      <c r="I41" s="50"/>
      <c r="AK41" s="30"/>
      <c r="AL41" s="30"/>
    </row>
    <row r="42" spans="3:38" x14ac:dyDescent="0.3">
      <c r="C42" s="52"/>
      <c r="D42" s="52"/>
      <c r="E42" s="52"/>
      <c r="F42" s="52"/>
      <c r="G42" s="52"/>
      <c r="H42" s="50"/>
      <c r="I42" s="50"/>
      <c r="AK42" s="30"/>
      <c r="AL42" s="30"/>
    </row>
    <row r="43" spans="3:38" x14ac:dyDescent="0.3">
      <c r="C43" s="52"/>
      <c r="D43" s="52"/>
      <c r="E43" s="52"/>
      <c r="F43" s="52"/>
      <c r="G43" s="52"/>
      <c r="H43" s="50"/>
      <c r="I43" s="50"/>
      <c r="AK43" s="30"/>
      <c r="AL43" s="30"/>
    </row>
    <row r="44" spans="3:38" x14ac:dyDescent="0.3">
      <c r="C44" s="52"/>
      <c r="D44" s="52"/>
      <c r="E44" s="52"/>
      <c r="F44" s="52"/>
      <c r="G44" s="52"/>
      <c r="H44" s="50"/>
      <c r="I44" s="50"/>
      <c r="AK44" s="30"/>
      <c r="AL44" s="30"/>
    </row>
    <row r="45" spans="3:38" x14ac:dyDescent="0.3">
      <c r="C45" s="52"/>
      <c r="D45" s="52"/>
      <c r="E45" s="52"/>
      <c r="F45" s="52"/>
      <c r="G45" s="52"/>
      <c r="H45" s="50"/>
      <c r="I45" s="50"/>
      <c r="AK45" s="30"/>
      <c r="AL45" s="30"/>
    </row>
    <row r="46" spans="3:38" x14ac:dyDescent="0.3">
      <c r="C46" s="52"/>
      <c r="D46" s="52"/>
      <c r="E46" s="52"/>
      <c r="F46" s="52"/>
      <c r="G46" s="52"/>
      <c r="H46" s="50"/>
      <c r="I46" s="50"/>
    </row>
    <row r="47" spans="3:38" x14ac:dyDescent="0.3">
      <c r="C47" s="52"/>
      <c r="D47" s="52"/>
      <c r="E47" s="52"/>
      <c r="F47" s="52"/>
      <c r="G47" s="52"/>
      <c r="H47" s="50"/>
      <c r="I47" s="50"/>
    </row>
    <row r="48" spans="3:38" x14ac:dyDescent="0.3">
      <c r="C48" s="52"/>
      <c r="D48" s="52"/>
      <c r="E48" s="52"/>
      <c r="F48" s="52"/>
      <c r="G48" s="52"/>
      <c r="H48" s="50"/>
      <c r="I48" s="50"/>
    </row>
    <row r="49" spans="3:9" x14ac:dyDescent="0.3">
      <c r="C49" s="52"/>
      <c r="D49" s="52"/>
      <c r="E49" s="52"/>
      <c r="F49" s="52"/>
      <c r="G49" s="52"/>
      <c r="H49" s="50"/>
      <c r="I49" s="50"/>
    </row>
    <row r="50" spans="3:9" x14ac:dyDescent="0.3">
      <c r="E50" s="52"/>
      <c r="F50" s="52"/>
      <c r="G50" s="52"/>
      <c r="H50" s="52"/>
      <c r="I50" s="52"/>
    </row>
    <row r="51" spans="3:9" x14ac:dyDescent="0.3">
      <c r="E51" s="52"/>
      <c r="F51" s="52"/>
      <c r="G51" s="52"/>
      <c r="H51" s="52"/>
      <c r="I51" s="52"/>
    </row>
    <row r="52" spans="3:9" x14ac:dyDescent="0.3">
      <c r="E52" s="52"/>
      <c r="F52" s="52"/>
      <c r="G52" s="52"/>
      <c r="H52" s="52"/>
      <c r="I52" s="52"/>
    </row>
    <row r="53" spans="3:9" x14ac:dyDescent="0.3">
      <c r="E53" s="52"/>
      <c r="F53" s="52"/>
      <c r="G53" s="52"/>
      <c r="H53" s="52"/>
      <c r="I53" s="52"/>
    </row>
    <row r="54" spans="3:9" x14ac:dyDescent="0.3">
      <c r="E54" s="52"/>
      <c r="F54" s="52"/>
      <c r="G54" s="52"/>
      <c r="H54" s="52"/>
      <c r="I54" s="52"/>
    </row>
    <row r="55" spans="3:9" x14ac:dyDescent="0.3">
      <c r="G55" s="52"/>
      <c r="H55" s="52"/>
      <c r="I55" s="52"/>
    </row>
    <row r="56" spans="3:9" x14ac:dyDescent="0.3">
      <c r="G56" s="52"/>
      <c r="H56" s="52"/>
      <c r="I56" s="52"/>
    </row>
    <row r="57" spans="3:9" x14ac:dyDescent="0.3">
      <c r="G57" s="52"/>
      <c r="H57" s="52"/>
      <c r="I57" s="52"/>
    </row>
  </sheetData>
  <sheetProtection password="DC61" sheet="1" objects="1" scenarios="1"/>
  <autoFilter ref="A8:AL8">
    <sortState ref="A9:AL30">
      <sortCondition ref="C8"/>
    </sortState>
  </autoFilter>
  <mergeCells count="1">
    <mergeCell ref="A7:I7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CCFFCC"/>
  </sheetPr>
  <dimension ref="A1:M49"/>
  <sheetViews>
    <sheetView workbookViewId="0">
      <selection activeCell="A9" sqref="A9"/>
    </sheetView>
  </sheetViews>
  <sheetFormatPr defaultColWidth="8.88671875" defaultRowHeight="14.4" x14ac:dyDescent="0.3"/>
  <cols>
    <col min="1" max="1" width="8.88671875" style="71"/>
    <col min="2" max="2" width="31.5546875" style="50" customWidth="1"/>
    <col min="3" max="6" width="14.6640625" style="51" customWidth="1"/>
    <col min="7" max="7" width="18.88671875" style="51" customWidth="1"/>
    <col min="8" max="10" width="15.6640625" style="50" customWidth="1"/>
    <col min="11" max="11" width="13.44140625" style="50" customWidth="1"/>
    <col min="12" max="13" width="21.33203125" style="50" customWidth="1"/>
    <col min="14" max="16384" width="8.88671875" style="50"/>
  </cols>
  <sheetData>
    <row r="1" spans="1:13" s="51" customFormat="1" ht="21" x14ac:dyDescent="0.4">
      <c r="A1" s="68" t="s">
        <v>0</v>
      </c>
      <c r="B1" s="59"/>
      <c r="C1" s="53" t="s">
        <v>266</v>
      </c>
      <c r="D1" s="53"/>
      <c r="E1" s="53"/>
      <c r="F1" s="56"/>
      <c r="G1" s="60"/>
      <c r="H1" s="54"/>
      <c r="I1" s="54"/>
      <c r="J1" s="59"/>
      <c r="K1" s="59"/>
      <c r="L1" s="53"/>
      <c r="M1" s="53"/>
    </row>
    <row r="2" spans="1:13" s="51" customFormat="1" ht="21" x14ac:dyDescent="0.4">
      <c r="A2" s="53" t="s">
        <v>358</v>
      </c>
      <c r="B2" s="59"/>
      <c r="C2" s="53" t="s">
        <v>364</v>
      </c>
      <c r="D2" s="53"/>
      <c r="E2" s="53"/>
      <c r="F2" s="56"/>
      <c r="G2" s="60"/>
      <c r="H2" s="54"/>
      <c r="I2" s="54"/>
      <c r="J2" s="59"/>
      <c r="K2" s="59"/>
      <c r="L2" s="53"/>
      <c r="M2" s="53"/>
    </row>
    <row r="3" spans="1:13" s="51" customFormat="1" ht="15.6" x14ac:dyDescent="0.3">
      <c r="A3" s="69" t="s">
        <v>1</v>
      </c>
      <c r="B3" s="59"/>
      <c r="C3" s="124" t="s">
        <v>267</v>
      </c>
      <c r="D3" s="124"/>
      <c r="E3" s="124"/>
      <c r="F3" s="56"/>
      <c r="G3" s="60"/>
      <c r="H3" s="59"/>
      <c r="I3" s="59"/>
      <c r="J3" s="59"/>
      <c r="K3" s="59"/>
      <c r="L3" s="60"/>
      <c r="M3" s="60"/>
    </row>
    <row r="4" spans="1:13" s="51" customFormat="1" ht="15.6" x14ac:dyDescent="0.3">
      <c r="A4" s="69" t="s">
        <v>2</v>
      </c>
      <c r="B4" s="59"/>
      <c r="C4" s="56" t="s">
        <v>241</v>
      </c>
      <c r="D4" s="56"/>
      <c r="E4" s="56"/>
      <c r="F4" s="56"/>
      <c r="G4" s="60"/>
      <c r="H4" s="59"/>
      <c r="I4" s="59"/>
      <c r="J4" s="59"/>
      <c r="K4" s="59"/>
      <c r="L4" s="60"/>
      <c r="M4" s="60"/>
    </row>
    <row r="5" spans="1:13" s="51" customFormat="1" ht="15.6" x14ac:dyDescent="0.3">
      <c r="A5" s="69" t="s">
        <v>18</v>
      </c>
      <c r="B5" s="59"/>
      <c r="C5" s="56" t="s">
        <v>419</v>
      </c>
      <c r="D5" s="56"/>
      <c r="E5" s="56"/>
      <c r="F5" s="56"/>
      <c r="G5" s="58"/>
      <c r="H5" s="59"/>
      <c r="I5" s="59"/>
      <c r="J5" s="59"/>
      <c r="K5" s="59"/>
      <c r="L5" s="58"/>
      <c r="M5" s="58"/>
    </row>
    <row r="6" spans="1:13" s="51" customFormat="1" ht="15.6" x14ac:dyDescent="0.3">
      <c r="A6" s="69" t="s">
        <v>19</v>
      </c>
      <c r="B6" s="59"/>
      <c r="C6" s="56" t="s">
        <v>33</v>
      </c>
      <c r="D6" s="56"/>
      <c r="E6" s="56"/>
      <c r="F6" s="56"/>
      <c r="G6" s="58"/>
      <c r="H6" s="59"/>
      <c r="I6" s="59"/>
      <c r="J6" s="59"/>
      <c r="K6" s="59"/>
      <c r="L6" s="58"/>
      <c r="M6" s="58"/>
    </row>
    <row r="7" spans="1:13" s="51" customFormat="1" ht="16.2" thickBot="1" x14ac:dyDescent="0.35">
      <c r="A7" s="69"/>
      <c r="B7" s="59"/>
      <c r="C7" s="56"/>
      <c r="D7" s="56"/>
      <c r="E7" s="56"/>
      <c r="F7" s="56"/>
      <c r="G7" s="58"/>
      <c r="H7" s="59"/>
      <c r="I7" s="59"/>
      <c r="J7" s="59"/>
      <c r="K7" s="59"/>
      <c r="L7" s="58"/>
      <c r="M7" s="58"/>
    </row>
    <row r="8" spans="1:13" ht="29.4" thickBot="1" x14ac:dyDescent="0.35">
      <c r="A8" s="11" t="s">
        <v>297</v>
      </c>
      <c r="B8" s="12" t="s">
        <v>255</v>
      </c>
      <c r="C8" s="13" t="s">
        <v>15</v>
      </c>
      <c r="D8" s="61" t="s">
        <v>183</v>
      </c>
      <c r="E8" s="61" t="s">
        <v>313</v>
      </c>
      <c r="F8" s="12" t="s">
        <v>16</v>
      </c>
      <c r="G8" s="214" t="s">
        <v>17</v>
      </c>
      <c r="H8" s="12" t="s">
        <v>61</v>
      </c>
      <c r="I8" s="12" t="s">
        <v>62</v>
      </c>
      <c r="J8" s="12" t="s">
        <v>63</v>
      </c>
      <c r="K8" s="12" t="s">
        <v>64</v>
      </c>
      <c r="L8" s="12" t="s">
        <v>377</v>
      </c>
      <c r="M8" s="12" t="s">
        <v>378</v>
      </c>
    </row>
    <row r="9" spans="1:13" s="39" customFormat="1" ht="15" thickBot="1" x14ac:dyDescent="0.35">
      <c r="A9" s="115" t="s">
        <v>4</v>
      </c>
      <c r="B9" s="116" t="s">
        <v>177</v>
      </c>
      <c r="C9" s="117">
        <v>60000</v>
      </c>
      <c r="D9" s="152">
        <v>0</v>
      </c>
      <c r="E9" s="152">
        <f>C9+D9</f>
        <v>60000</v>
      </c>
      <c r="F9" s="117">
        <f>H9+I9+J9+K9</f>
        <v>59926</v>
      </c>
      <c r="G9" s="213">
        <f>C9-F9</f>
        <v>74</v>
      </c>
      <c r="H9" s="50"/>
      <c r="I9" s="50"/>
      <c r="J9" s="215">
        <v>58914</v>
      </c>
      <c r="K9" s="215">
        <v>1012</v>
      </c>
      <c r="L9" s="50"/>
      <c r="M9" s="50"/>
    </row>
    <row r="10" spans="1:13" s="39" customFormat="1" ht="15" thickBot="1" x14ac:dyDescent="0.35">
      <c r="A10" s="115" t="s">
        <v>108</v>
      </c>
      <c r="B10" s="116" t="s">
        <v>268</v>
      </c>
      <c r="C10" s="117">
        <v>3000</v>
      </c>
      <c r="D10" s="152">
        <v>0</v>
      </c>
      <c r="E10" s="152">
        <f t="shared" ref="E10:E11" si="0">C10+D10</f>
        <v>3000</v>
      </c>
      <c r="F10" s="117">
        <f>H10+I10+J10+K10</f>
        <v>2754</v>
      </c>
      <c r="G10" s="213">
        <f>C10-F10</f>
        <v>246</v>
      </c>
      <c r="H10" s="50"/>
      <c r="I10" s="50"/>
      <c r="J10" s="215">
        <v>2754</v>
      </c>
      <c r="K10" s="215"/>
      <c r="L10" s="50"/>
      <c r="M10" s="50"/>
    </row>
    <row r="11" spans="1:13" s="39" customFormat="1" ht="15" thickBot="1" x14ac:dyDescent="0.35">
      <c r="A11" s="115" t="s">
        <v>37</v>
      </c>
      <c r="B11" s="116" t="s">
        <v>38</v>
      </c>
      <c r="C11" s="117">
        <v>12000</v>
      </c>
      <c r="D11" s="152">
        <v>0</v>
      </c>
      <c r="E11" s="152">
        <f t="shared" si="0"/>
        <v>12000</v>
      </c>
      <c r="F11" s="117">
        <f>H11+I11+J11+K11</f>
        <v>11726</v>
      </c>
      <c r="G11" s="213">
        <f>C11-F11</f>
        <v>274</v>
      </c>
      <c r="H11" s="50"/>
      <c r="I11" s="50"/>
      <c r="J11" s="215">
        <v>11726</v>
      </c>
      <c r="K11" s="215"/>
      <c r="L11" s="50"/>
      <c r="M11" s="50"/>
    </row>
    <row r="12" spans="1:13" ht="15" thickBot="1" x14ac:dyDescent="0.35">
      <c r="A12" s="119"/>
      <c r="B12" s="67"/>
      <c r="C12" s="117"/>
      <c r="D12" s="117"/>
      <c r="E12" s="117"/>
      <c r="F12" s="117"/>
      <c r="G12" s="213"/>
    </row>
    <row r="13" spans="1:13" s="14" customFormat="1" ht="15" thickBot="1" x14ac:dyDescent="0.35">
      <c r="A13" s="123" t="s">
        <v>49</v>
      </c>
      <c r="B13" s="49"/>
      <c r="C13" s="110">
        <f>SUM(C9:C12)</f>
        <v>75000</v>
      </c>
      <c r="D13" s="110">
        <v>0</v>
      </c>
      <c r="E13" s="110">
        <f>C13+D13</f>
        <v>75000</v>
      </c>
      <c r="F13" s="110">
        <f>SUM(F9:F12)</f>
        <v>74406</v>
      </c>
      <c r="G13" s="110">
        <f>SUM(G9:G12)</f>
        <v>594</v>
      </c>
      <c r="H13" s="110">
        <f>SUM(H9:H11)</f>
        <v>0</v>
      </c>
      <c r="I13" s="110">
        <f>SUM(I9:I11)</f>
        <v>0</v>
      </c>
      <c r="J13" s="110">
        <f>SUM(J9:J12)</f>
        <v>73394</v>
      </c>
      <c r="K13" s="110">
        <f>SUM(K9:K12)</f>
        <v>1012</v>
      </c>
      <c r="L13" s="110">
        <f t="shared" ref="L13:M13" si="1">SUM(L9:L12)</f>
        <v>0</v>
      </c>
      <c r="M13" s="110">
        <f t="shared" si="1"/>
        <v>0</v>
      </c>
    </row>
    <row r="14" spans="1:13" x14ac:dyDescent="0.3">
      <c r="C14" s="52"/>
      <c r="D14" s="52"/>
      <c r="E14" s="52"/>
      <c r="F14" s="52"/>
      <c r="G14" s="52"/>
      <c r="L14" s="93"/>
      <c r="M14" s="93"/>
    </row>
    <row r="15" spans="1:13" x14ac:dyDescent="0.3">
      <c r="C15" s="52"/>
      <c r="D15" s="52"/>
      <c r="E15" s="52"/>
      <c r="F15" s="52"/>
      <c r="G15" s="52"/>
      <c r="L15" s="93"/>
      <c r="M15" s="93"/>
    </row>
    <row r="16" spans="1:13" x14ac:dyDescent="0.3">
      <c r="C16" s="52"/>
      <c r="D16" s="52"/>
      <c r="E16" s="52"/>
      <c r="F16" s="52"/>
      <c r="G16" s="52"/>
    </row>
    <row r="17" spans="3:13" x14ac:dyDescent="0.3">
      <c r="C17" s="52"/>
      <c r="D17" s="52"/>
      <c r="E17" s="52"/>
      <c r="F17" s="52"/>
      <c r="G17" s="52"/>
    </row>
    <row r="18" spans="3:13" x14ac:dyDescent="0.3">
      <c r="C18" s="52"/>
      <c r="D18" s="52"/>
      <c r="E18" s="52"/>
      <c r="F18" s="52"/>
      <c r="G18" s="52"/>
    </row>
    <row r="19" spans="3:13" x14ac:dyDescent="0.3">
      <c r="C19" s="52"/>
      <c r="D19" s="52"/>
      <c r="E19" s="52"/>
      <c r="F19" s="52"/>
      <c r="G19" s="52"/>
      <c r="L19" s="93"/>
      <c r="M19" s="93"/>
    </row>
    <row r="20" spans="3:13" x14ac:dyDescent="0.3">
      <c r="C20" s="52"/>
      <c r="D20" s="52"/>
      <c r="E20" s="52"/>
      <c r="F20" s="52"/>
      <c r="G20" s="52"/>
    </row>
    <row r="21" spans="3:13" x14ac:dyDescent="0.3">
      <c r="C21" s="52"/>
      <c r="D21" s="52"/>
      <c r="E21" s="52"/>
      <c r="F21" s="52"/>
      <c r="G21" s="52"/>
      <c r="L21" s="93"/>
      <c r="M21" s="93"/>
    </row>
    <row r="22" spans="3:13" x14ac:dyDescent="0.3">
      <c r="C22" s="52"/>
      <c r="D22" s="52"/>
      <c r="E22" s="52"/>
      <c r="F22" s="52"/>
      <c r="G22" s="52"/>
    </row>
    <row r="23" spans="3:13" x14ac:dyDescent="0.3">
      <c r="C23" s="52"/>
      <c r="D23" s="52"/>
      <c r="E23" s="52"/>
      <c r="F23" s="52"/>
      <c r="G23" s="52"/>
    </row>
    <row r="24" spans="3:13" x14ac:dyDescent="0.3">
      <c r="C24" s="52"/>
      <c r="D24" s="52"/>
      <c r="E24" s="52"/>
      <c r="F24" s="52"/>
      <c r="G24" s="52"/>
    </row>
    <row r="25" spans="3:13" x14ac:dyDescent="0.3">
      <c r="C25" s="52"/>
      <c r="D25" s="52"/>
      <c r="E25" s="52"/>
      <c r="F25" s="52"/>
      <c r="G25" s="52"/>
      <c r="L25" s="93"/>
      <c r="M25" s="93"/>
    </row>
    <row r="26" spans="3:13" x14ac:dyDescent="0.3">
      <c r="C26" s="52"/>
      <c r="D26" s="52"/>
      <c r="E26" s="52"/>
      <c r="F26" s="52"/>
      <c r="G26" s="52"/>
      <c r="L26" s="93"/>
      <c r="M26" s="93"/>
    </row>
    <row r="27" spans="3:13" x14ac:dyDescent="0.3">
      <c r="C27" s="52"/>
      <c r="D27" s="52"/>
      <c r="E27" s="52"/>
      <c r="F27" s="52"/>
      <c r="G27" s="52"/>
    </row>
    <row r="28" spans="3:13" x14ac:dyDescent="0.3">
      <c r="C28" s="52"/>
      <c r="D28" s="52"/>
      <c r="E28" s="52"/>
      <c r="F28" s="52"/>
      <c r="G28" s="52"/>
    </row>
    <row r="29" spans="3:13" x14ac:dyDescent="0.3">
      <c r="C29" s="52"/>
      <c r="D29" s="52"/>
      <c r="E29" s="52"/>
      <c r="F29" s="52"/>
      <c r="G29" s="52"/>
    </row>
    <row r="30" spans="3:13" x14ac:dyDescent="0.3">
      <c r="C30" s="52"/>
      <c r="D30" s="52"/>
      <c r="E30" s="52"/>
      <c r="F30" s="52"/>
      <c r="G30" s="52"/>
    </row>
    <row r="31" spans="3:13" x14ac:dyDescent="0.3">
      <c r="C31" s="52"/>
      <c r="D31" s="52"/>
      <c r="E31" s="52"/>
      <c r="F31" s="52"/>
      <c r="G31" s="52"/>
    </row>
    <row r="32" spans="3:13" x14ac:dyDescent="0.3">
      <c r="C32" s="52"/>
      <c r="D32" s="52"/>
      <c r="E32" s="52"/>
      <c r="F32" s="52"/>
      <c r="G32" s="52"/>
      <c r="L32" s="93"/>
      <c r="M32" s="93"/>
    </row>
    <row r="33" spans="3:13" x14ac:dyDescent="0.3">
      <c r="C33" s="52"/>
      <c r="D33" s="52"/>
      <c r="E33" s="52"/>
      <c r="F33" s="52"/>
      <c r="G33" s="52"/>
    </row>
    <row r="34" spans="3:13" x14ac:dyDescent="0.3">
      <c r="C34" s="52"/>
      <c r="D34" s="52"/>
      <c r="E34" s="52"/>
      <c r="F34" s="52"/>
      <c r="G34" s="52"/>
    </row>
    <row r="35" spans="3:13" x14ac:dyDescent="0.3">
      <c r="C35" s="52"/>
      <c r="D35" s="52"/>
      <c r="E35" s="52"/>
      <c r="F35" s="52"/>
      <c r="G35" s="52"/>
      <c r="L35" s="51"/>
      <c r="M35" s="51"/>
    </row>
    <row r="36" spans="3:13" x14ac:dyDescent="0.3">
      <c r="F36" s="52"/>
      <c r="G36" s="52"/>
      <c r="L36" s="30"/>
      <c r="M36" s="30"/>
    </row>
    <row r="37" spans="3:13" x14ac:dyDescent="0.3">
      <c r="F37" s="52"/>
      <c r="G37" s="52"/>
      <c r="L37" s="30"/>
      <c r="M37" s="30"/>
    </row>
    <row r="38" spans="3:13" x14ac:dyDescent="0.3">
      <c r="F38" s="52"/>
      <c r="G38" s="52"/>
      <c r="L38" s="30"/>
      <c r="M38" s="30"/>
    </row>
    <row r="39" spans="3:13" x14ac:dyDescent="0.3">
      <c r="L39" s="30"/>
      <c r="M39" s="30"/>
    </row>
    <row r="40" spans="3:13" x14ac:dyDescent="0.3">
      <c r="L40" s="30"/>
      <c r="M40" s="30"/>
    </row>
    <row r="41" spans="3:13" x14ac:dyDescent="0.3">
      <c r="L41" s="30"/>
      <c r="M41" s="30"/>
    </row>
    <row r="42" spans="3:13" x14ac:dyDescent="0.3">
      <c r="L42" s="30"/>
      <c r="M42" s="30"/>
    </row>
    <row r="43" spans="3:13" x14ac:dyDescent="0.3">
      <c r="L43" s="30"/>
      <c r="M43" s="30"/>
    </row>
    <row r="44" spans="3:13" x14ac:dyDescent="0.3">
      <c r="L44" s="30"/>
      <c r="M44" s="30"/>
    </row>
    <row r="45" spans="3:13" x14ac:dyDescent="0.3">
      <c r="L45" s="30"/>
      <c r="M45" s="30"/>
    </row>
    <row r="46" spans="3:13" x14ac:dyDescent="0.3">
      <c r="L46" s="30"/>
      <c r="M46" s="30"/>
    </row>
    <row r="47" spans="3:13" x14ac:dyDescent="0.3">
      <c r="L47" s="30"/>
      <c r="M47" s="30"/>
    </row>
    <row r="48" spans="3:13" x14ac:dyDescent="0.3">
      <c r="L48" s="30"/>
      <c r="M48" s="30"/>
    </row>
    <row r="49" spans="12:13" x14ac:dyDescent="0.3">
      <c r="L49" s="30"/>
      <c r="M49" s="30"/>
    </row>
  </sheetData>
  <sheetProtection algorithmName="SHA-512" hashValue="tTtMxdEhqY6w1px2EbwsHj953vqiOydolAp/tD9ik3MaU8jRXv8TjRriCLuhfoPwp31cCnU5py7KLcPeBoONvA==" saltValue="fTHrHhOa41PkE6NgBVJYAQ==" spinCount="100000" sheet="1" objects="1" scenarios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8">
    <tabColor rgb="FFCCFFCC"/>
  </sheetPr>
  <dimension ref="A1:AG82"/>
  <sheetViews>
    <sheetView workbookViewId="0">
      <pane xSplit="7" ySplit="8" topLeftCell="W9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X21" sqref="X21"/>
    </sheetView>
  </sheetViews>
  <sheetFormatPr defaultColWidth="9.109375" defaultRowHeight="14.4" x14ac:dyDescent="0.3"/>
  <cols>
    <col min="1" max="1" width="9.109375" style="51"/>
    <col min="2" max="2" width="35.33203125" style="51" customWidth="1"/>
    <col min="3" max="7" width="14.6640625" style="51" customWidth="1"/>
    <col min="8" max="31" width="12.6640625" style="51" customWidth="1"/>
    <col min="32" max="33" width="21.33203125" style="50" customWidth="1"/>
    <col min="34" max="16384" width="9.109375" style="51"/>
  </cols>
  <sheetData>
    <row r="1" spans="1:33" ht="21" x14ac:dyDescent="0.4">
      <c r="A1" s="53" t="s">
        <v>0</v>
      </c>
      <c r="B1" s="59"/>
      <c r="C1" s="54" t="s">
        <v>366</v>
      </c>
      <c r="D1" s="54"/>
      <c r="E1" s="54"/>
      <c r="F1" s="54"/>
      <c r="G1" s="54"/>
      <c r="H1" s="53"/>
      <c r="I1" s="55"/>
      <c r="J1" s="54"/>
      <c r="K1" s="59"/>
      <c r="L1" s="59"/>
      <c r="M1" s="59"/>
      <c r="N1" s="54" t="str">
        <f>$C$1</f>
        <v>Multi-Tiered System of Supports</v>
      </c>
      <c r="O1" s="59"/>
      <c r="P1" s="59"/>
      <c r="Q1" s="54"/>
      <c r="R1" s="59"/>
      <c r="S1" s="59"/>
      <c r="T1" s="54" t="str">
        <f>$C$1</f>
        <v>Multi-Tiered System of Supports</v>
      </c>
      <c r="U1" s="59"/>
      <c r="V1" s="59"/>
      <c r="W1" s="59"/>
      <c r="X1" s="59"/>
      <c r="Y1" s="59"/>
      <c r="Z1" s="59"/>
      <c r="AA1" s="54" t="str">
        <f>$C$1</f>
        <v>Multi-Tiered System of Supports</v>
      </c>
      <c r="AB1" s="59"/>
      <c r="AC1" s="59"/>
      <c r="AD1" s="59"/>
      <c r="AE1" s="59"/>
      <c r="AF1" s="53"/>
      <c r="AG1" s="53"/>
    </row>
    <row r="2" spans="1:33" ht="21" x14ac:dyDescent="0.4">
      <c r="A2" s="53" t="s">
        <v>358</v>
      </c>
      <c r="B2" s="59"/>
      <c r="C2" s="193" t="s">
        <v>365</v>
      </c>
      <c r="D2" s="193"/>
      <c r="E2" s="193"/>
      <c r="F2" s="54"/>
      <c r="G2" s="43"/>
      <c r="H2" s="56"/>
      <c r="I2" s="19"/>
      <c r="J2" s="56"/>
      <c r="K2" s="59"/>
      <c r="L2" s="59"/>
      <c r="M2" s="59"/>
      <c r="N2" s="56" t="str">
        <f>"FY"&amp;$C$4</f>
        <v>FY2017-18</v>
      </c>
      <c r="O2" s="59"/>
      <c r="P2" s="59"/>
      <c r="Q2" s="62"/>
      <c r="R2" s="59"/>
      <c r="S2" s="59"/>
      <c r="T2" s="56" t="str">
        <f>"FY"&amp;$C$4</f>
        <v>FY2017-18</v>
      </c>
      <c r="U2" s="59"/>
      <c r="V2" s="59"/>
      <c r="W2" s="59"/>
      <c r="X2" s="59"/>
      <c r="Y2" s="59"/>
      <c r="Z2" s="59"/>
      <c r="AA2" s="56" t="str">
        <f>"FY"&amp;$C$4</f>
        <v>FY2017-18</v>
      </c>
      <c r="AB2" s="59"/>
      <c r="AC2" s="59"/>
      <c r="AD2" s="59"/>
      <c r="AE2" s="59"/>
      <c r="AF2" s="53"/>
      <c r="AG2" s="53"/>
    </row>
    <row r="3" spans="1:33" ht="15.9" customHeight="1" x14ac:dyDescent="0.4">
      <c r="A3" s="56" t="s">
        <v>1</v>
      </c>
      <c r="B3" s="59"/>
      <c r="C3" s="57">
        <v>5323</v>
      </c>
      <c r="D3" s="57"/>
      <c r="E3" s="57"/>
      <c r="F3" s="54"/>
      <c r="G3" s="57"/>
      <c r="H3" s="56"/>
      <c r="I3" s="1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0"/>
      <c r="AG3" s="60"/>
    </row>
    <row r="4" spans="1:33" ht="15.9" customHeight="1" x14ac:dyDescent="0.4">
      <c r="A4" s="56" t="s">
        <v>2</v>
      </c>
      <c r="B4" s="59"/>
      <c r="C4" s="57" t="s">
        <v>241</v>
      </c>
      <c r="D4" s="57"/>
      <c r="E4" s="57"/>
      <c r="F4" s="54"/>
      <c r="G4" s="57"/>
      <c r="H4" s="56"/>
      <c r="I4" s="1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60"/>
      <c r="AG4" s="60"/>
    </row>
    <row r="5" spans="1:33" ht="15.9" customHeight="1" x14ac:dyDescent="0.4">
      <c r="A5" s="56" t="s">
        <v>18</v>
      </c>
      <c r="B5" s="59"/>
      <c r="C5" s="56" t="s">
        <v>419</v>
      </c>
      <c r="D5" s="56"/>
      <c r="E5" s="56"/>
      <c r="F5" s="54"/>
      <c r="G5" s="56"/>
      <c r="H5" s="19"/>
      <c r="I5" s="1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8"/>
      <c r="AG5" s="58"/>
    </row>
    <row r="6" spans="1:33" ht="15.9" customHeight="1" x14ac:dyDescent="0.4">
      <c r="A6" s="56" t="s">
        <v>19</v>
      </c>
      <c r="B6" s="59"/>
      <c r="C6" s="56" t="s">
        <v>48</v>
      </c>
      <c r="D6" s="56"/>
      <c r="E6" s="56"/>
      <c r="F6" s="54"/>
      <c r="G6" s="56"/>
      <c r="H6" s="19"/>
      <c r="I6" s="1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8"/>
      <c r="AG6" s="58"/>
    </row>
    <row r="7" spans="1:33" ht="15" thickBot="1" x14ac:dyDescent="0.3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8"/>
      <c r="AG7" s="58"/>
    </row>
    <row r="8" spans="1:33" ht="29.4" thickBot="1" x14ac:dyDescent="0.35">
      <c r="A8" s="61" t="s">
        <v>297</v>
      </c>
      <c r="B8" s="61" t="s">
        <v>46</v>
      </c>
      <c r="C8" s="61" t="s">
        <v>15</v>
      </c>
      <c r="D8" s="61" t="s">
        <v>183</v>
      </c>
      <c r="E8" s="61" t="s">
        <v>313</v>
      </c>
      <c r="F8" s="61" t="s">
        <v>16</v>
      </c>
      <c r="G8" s="25" t="s">
        <v>17</v>
      </c>
      <c r="H8" s="26" t="s">
        <v>63</v>
      </c>
      <c r="I8" s="27" t="s">
        <v>64</v>
      </c>
      <c r="J8" s="26" t="s">
        <v>65</v>
      </c>
      <c r="K8" s="27" t="s">
        <v>66</v>
      </c>
      <c r="L8" s="26" t="s">
        <v>67</v>
      </c>
      <c r="M8" s="27" t="s">
        <v>68</v>
      </c>
      <c r="N8" s="26" t="s">
        <v>69</v>
      </c>
      <c r="O8" s="27" t="s">
        <v>70</v>
      </c>
      <c r="P8" s="26" t="s">
        <v>71</v>
      </c>
      <c r="Q8" s="27" t="s">
        <v>72</v>
      </c>
      <c r="R8" s="26" t="s">
        <v>73</v>
      </c>
      <c r="S8" s="27" t="s">
        <v>74</v>
      </c>
      <c r="T8" s="27" t="s">
        <v>242</v>
      </c>
      <c r="U8" s="27" t="s">
        <v>243</v>
      </c>
      <c r="V8" s="27" t="s">
        <v>253</v>
      </c>
      <c r="W8" s="27" t="s">
        <v>244</v>
      </c>
      <c r="X8" s="27" t="s">
        <v>245</v>
      </c>
      <c r="Y8" s="27" t="s">
        <v>246</v>
      </c>
      <c r="Z8" s="27" t="s">
        <v>247</v>
      </c>
      <c r="AA8" s="27" t="s">
        <v>248</v>
      </c>
      <c r="AB8" s="27" t="s">
        <v>249</v>
      </c>
      <c r="AC8" s="27" t="s">
        <v>250</v>
      </c>
      <c r="AD8" s="27" t="s">
        <v>251</v>
      </c>
      <c r="AE8" s="27" t="s">
        <v>252</v>
      </c>
      <c r="AF8" s="61" t="s">
        <v>377</v>
      </c>
      <c r="AG8" s="61" t="s">
        <v>378</v>
      </c>
    </row>
    <row r="9" spans="1:33" ht="15" thickBot="1" x14ac:dyDescent="0.35">
      <c r="A9" s="115" t="s">
        <v>3</v>
      </c>
      <c r="B9" s="116" t="s">
        <v>224</v>
      </c>
      <c r="C9" s="152">
        <v>11021</v>
      </c>
      <c r="D9" s="152">
        <v>0</v>
      </c>
      <c r="E9" s="152">
        <f>C9+D9</f>
        <v>11021</v>
      </c>
      <c r="F9" s="162">
        <f t="shared" ref="F9:F40" si="0">SUM(H9:AY9)</f>
        <v>11021</v>
      </c>
      <c r="G9" s="162">
        <f t="shared" ref="G9:G40" si="1">C9-F9</f>
        <v>0</v>
      </c>
      <c r="H9" s="93"/>
      <c r="I9" s="93"/>
      <c r="J9" s="93"/>
      <c r="K9" s="93"/>
      <c r="L9" s="93"/>
      <c r="M9" s="93"/>
      <c r="N9" s="93"/>
      <c r="O9" s="93"/>
      <c r="P9" s="93"/>
      <c r="Q9" s="93">
        <v>11021</v>
      </c>
      <c r="R9" s="93"/>
      <c r="S9" s="245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3" ht="15" thickBot="1" x14ac:dyDescent="0.35">
      <c r="A10" s="115" t="s">
        <v>405</v>
      </c>
      <c r="B10" s="116" t="s">
        <v>406</v>
      </c>
      <c r="C10" s="152">
        <v>5000</v>
      </c>
      <c r="D10" s="152">
        <v>0</v>
      </c>
      <c r="E10" s="152">
        <v>5000</v>
      </c>
      <c r="F10" s="162">
        <f t="shared" si="0"/>
        <v>0</v>
      </c>
      <c r="G10" s="162">
        <f t="shared" si="1"/>
        <v>5000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245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3" ht="15" thickBot="1" x14ac:dyDescent="0.35">
      <c r="A11" s="115" t="s">
        <v>24</v>
      </c>
      <c r="B11" s="116" t="s">
        <v>225</v>
      </c>
      <c r="C11" s="152">
        <v>10947</v>
      </c>
      <c r="D11" s="152">
        <v>0</v>
      </c>
      <c r="E11" s="152">
        <f>C11+D11</f>
        <v>10947</v>
      </c>
      <c r="F11" s="162">
        <f t="shared" si="0"/>
        <v>10947</v>
      </c>
      <c r="G11" s="162">
        <f t="shared" si="1"/>
        <v>0</v>
      </c>
      <c r="H11" s="93"/>
      <c r="I11" s="93"/>
      <c r="J11" s="93"/>
      <c r="K11" s="93"/>
      <c r="L11" s="93"/>
      <c r="M11" s="93"/>
      <c r="N11" s="93"/>
      <c r="O11" s="93"/>
      <c r="P11" s="93">
        <v>6304</v>
      </c>
      <c r="Q11" s="93">
        <v>1388</v>
      </c>
      <c r="R11" s="93"/>
      <c r="S11" s="245">
        <v>3255</v>
      </c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3" ht="15" thickBot="1" x14ac:dyDescent="0.35">
      <c r="A12" s="115" t="s">
        <v>4</v>
      </c>
      <c r="B12" s="116" t="s">
        <v>119</v>
      </c>
      <c r="C12" s="152">
        <v>15395</v>
      </c>
      <c r="D12" s="152">
        <v>0</v>
      </c>
      <c r="E12" s="152">
        <f>C12+D12</f>
        <v>15395</v>
      </c>
      <c r="F12" s="162">
        <f t="shared" si="0"/>
        <v>15395</v>
      </c>
      <c r="G12" s="162">
        <f t="shared" si="1"/>
        <v>0</v>
      </c>
      <c r="H12" s="93"/>
      <c r="I12" s="93"/>
      <c r="J12" s="93"/>
      <c r="K12" s="93">
        <v>2694</v>
      </c>
      <c r="L12" s="93">
        <v>3921</v>
      </c>
      <c r="M12" s="93">
        <v>3192</v>
      </c>
      <c r="N12" s="93"/>
      <c r="O12" s="93"/>
      <c r="P12" s="93"/>
      <c r="Q12" s="93"/>
      <c r="R12" s="93">
        <v>3138</v>
      </c>
      <c r="S12" s="245"/>
      <c r="T12" s="93">
        <v>2450</v>
      </c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33" ht="15" thickBot="1" x14ac:dyDescent="0.35">
      <c r="A13" s="115" t="s">
        <v>403</v>
      </c>
      <c r="B13" s="116" t="s">
        <v>404</v>
      </c>
      <c r="C13" s="152">
        <v>5000</v>
      </c>
      <c r="D13" s="152">
        <v>0</v>
      </c>
      <c r="E13" s="152">
        <v>5000</v>
      </c>
      <c r="F13" s="162">
        <f t="shared" si="0"/>
        <v>1679</v>
      </c>
      <c r="G13" s="162">
        <f t="shared" si="1"/>
        <v>3321</v>
      </c>
      <c r="H13" s="93"/>
      <c r="I13" s="93"/>
      <c r="J13" s="93"/>
      <c r="K13" s="93"/>
      <c r="L13" s="93"/>
      <c r="M13" s="93"/>
      <c r="N13" s="93"/>
      <c r="O13" s="93"/>
      <c r="P13" s="93"/>
      <c r="Q13" s="93">
        <v>1679</v>
      </c>
      <c r="R13" s="93"/>
      <c r="S13" s="245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3" ht="15" thickBot="1" x14ac:dyDescent="0.35">
      <c r="A14" s="115" t="s">
        <v>40</v>
      </c>
      <c r="B14" s="116" t="s">
        <v>226</v>
      </c>
      <c r="C14" s="152">
        <v>10748</v>
      </c>
      <c r="D14" s="152">
        <v>0</v>
      </c>
      <c r="E14" s="152">
        <f t="shared" ref="E14:E25" si="2">C14+D14</f>
        <v>10748</v>
      </c>
      <c r="F14" s="162">
        <f t="shared" si="0"/>
        <v>10748</v>
      </c>
      <c r="G14" s="162">
        <f t="shared" si="1"/>
        <v>0</v>
      </c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245">
        <v>10748</v>
      </c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3" ht="15" thickBot="1" x14ac:dyDescent="0.35">
      <c r="A15" s="115" t="s">
        <v>117</v>
      </c>
      <c r="B15" s="116" t="s">
        <v>227</v>
      </c>
      <c r="C15" s="152">
        <v>21971</v>
      </c>
      <c r="D15" s="152">
        <v>0</v>
      </c>
      <c r="E15" s="152">
        <f t="shared" si="2"/>
        <v>21971</v>
      </c>
      <c r="F15" s="162">
        <f t="shared" si="0"/>
        <v>21971</v>
      </c>
      <c r="G15" s="162">
        <f t="shared" si="1"/>
        <v>0</v>
      </c>
      <c r="H15" s="93"/>
      <c r="I15" s="93"/>
      <c r="J15" s="93"/>
      <c r="K15" s="93"/>
      <c r="L15" s="93"/>
      <c r="M15" s="93"/>
      <c r="N15" s="93"/>
      <c r="O15" s="93"/>
      <c r="P15" s="93"/>
      <c r="Q15" s="93">
        <v>20720</v>
      </c>
      <c r="R15" s="93">
        <v>1251</v>
      </c>
      <c r="S15" s="245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3" ht="15" thickBot="1" x14ac:dyDescent="0.35">
      <c r="A16" s="115" t="s">
        <v>122</v>
      </c>
      <c r="B16" s="116" t="s">
        <v>228</v>
      </c>
      <c r="C16" s="152">
        <v>10779</v>
      </c>
      <c r="D16" s="152">
        <v>0</v>
      </c>
      <c r="E16" s="152">
        <f t="shared" si="2"/>
        <v>10779</v>
      </c>
      <c r="F16" s="162">
        <f t="shared" si="0"/>
        <v>0</v>
      </c>
      <c r="G16" s="162">
        <f t="shared" si="1"/>
        <v>10779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245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</row>
    <row r="17" spans="1:33" ht="15" thickBot="1" x14ac:dyDescent="0.35">
      <c r="A17" s="115" t="s">
        <v>83</v>
      </c>
      <c r="B17" s="116" t="s">
        <v>22</v>
      </c>
      <c r="C17" s="152">
        <v>12836</v>
      </c>
      <c r="D17" s="152">
        <v>0</v>
      </c>
      <c r="E17" s="152">
        <f t="shared" si="2"/>
        <v>12836</v>
      </c>
      <c r="F17" s="162">
        <f t="shared" si="0"/>
        <v>12836</v>
      </c>
      <c r="G17" s="162">
        <f t="shared" si="1"/>
        <v>0</v>
      </c>
      <c r="H17" s="93"/>
      <c r="I17" s="93"/>
      <c r="J17" s="93"/>
      <c r="K17" s="93"/>
      <c r="L17" s="93"/>
      <c r="M17" s="93"/>
      <c r="N17" s="93">
        <v>3436</v>
      </c>
      <c r="O17" s="93"/>
      <c r="P17" s="93"/>
      <c r="Q17" s="93"/>
      <c r="R17" s="93">
        <v>2335</v>
      </c>
      <c r="S17" s="245"/>
      <c r="T17" s="93">
        <v>4931</v>
      </c>
      <c r="U17" s="93">
        <v>1002</v>
      </c>
      <c r="V17" s="93"/>
      <c r="W17" s="93"/>
      <c r="X17" s="93"/>
      <c r="Y17" s="93"/>
      <c r="Z17" s="93"/>
      <c r="AA17" s="93">
        <v>1132</v>
      </c>
      <c r="AB17" s="93"/>
      <c r="AC17" s="93"/>
      <c r="AD17" s="93"/>
      <c r="AE17" s="93"/>
      <c r="AF17" s="93"/>
      <c r="AG17" s="93"/>
    </row>
    <row r="18" spans="1:33" ht="15" thickBot="1" x14ac:dyDescent="0.35">
      <c r="A18" s="115" t="s">
        <v>216</v>
      </c>
      <c r="B18" s="116" t="s">
        <v>229</v>
      </c>
      <c r="C18" s="152">
        <v>11323</v>
      </c>
      <c r="D18" s="152">
        <v>0</v>
      </c>
      <c r="E18" s="152">
        <f t="shared" si="2"/>
        <v>11323</v>
      </c>
      <c r="F18" s="162">
        <f t="shared" si="0"/>
        <v>11323</v>
      </c>
      <c r="G18" s="162">
        <f t="shared" si="1"/>
        <v>0</v>
      </c>
      <c r="H18" s="93"/>
      <c r="I18" s="93"/>
      <c r="J18" s="93"/>
      <c r="K18" s="93"/>
      <c r="L18" s="93"/>
      <c r="M18" s="93"/>
      <c r="N18" s="93"/>
      <c r="O18" s="93">
        <v>11323</v>
      </c>
      <c r="P18" s="93"/>
      <c r="Q18" s="93"/>
      <c r="R18" s="93"/>
      <c r="S18" s="245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3" ht="15" thickBot="1" x14ac:dyDescent="0.35">
      <c r="A19" s="115" t="s">
        <v>217</v>
      </c>
      <c r="B19" s="116" t="s">
        <v>230</v>
      </c>
      <c r="C19" s="152">
        <v>9750</v>
      </c>
      <c r="D19" s="152">
        <v>0</v>
      </c>
      <c r="E19" s="152">
        <f t="shared" si="2"/>
        <v>9750</v>
      </c>
      <c r="F19" s="162">
        <f t="shared" si="0"/>
        <v>9750</v>
      </c>
      <c r="G19" s="162">
        <f t="shared" si="1"/>
        <v>0</v>
      </c>
      <c r="H19" s="93"/>
      <c r="I19" s="93"/>
      <c r="J19" s="93"/>
      <c r="K19" s="93"/>
      <c r="L19" s="93"/>
      <c r="M19" s="93"/>
      <c r="N19" s="93"/>
      <c r="O19" s="93"/>
      <c r="P19" s="93">
        <v>9750</v>
      </c>
      <c r="Q19" s="93"/>
      <c r="R19" s="93"/>
      <c r="S19" s="245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3" ht="15" thickBot="1" x14ac:dyDescent="0.35">
      <c r="A20" s="115" t="s">
        <v>203</v>
      </c>
      <c r="B20" s="116" t="s">
        <v>231</v>
      </c>
      <c r="C20" s="152">
        <v>9473</v>
      </c>
      <c r="D20" s="152">
        <v>0</v>
      </c>
      <c r="E20" s="152">
        <f t="shared" si="2"/>
        <v>9473</v>
      </c>
      <c r="F20" s="162">
        <f t="shared" si="0"/>
        <v>9473</v>
      </c>
      <c r="G20" s="162">
        <f t="shared" si="1"/>
        <v>0</v>
      </c>
      <c r="H20" s="93"/>
      <c r="I20" s="93"/>
      <c r="J20" s="93"/>
      <c r="K20" s="93"/>
      <c r="L20" s="93"/>
      <c r="M20" s="93"/>
      <c r="N20" s="93">
        <v>9473</v>
      </c>
      <c r="O20" s="93"/>
      <c r="P20" s="93"/>
      <c r="Q20" s="93"/>
      <c r="R20" s="93"/>
      <c r="S20" s="245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3" ht="15" thickBot="1" x14ac:dyDescent="0.35">
      <c r="A21" s="115" t="s">
        <v>52</v>
      </c>
      <c r="B21" s="116" t="s">
        <v>232</v>
      </c>
      <c r="C21" s="152">
        <v>10969</v>
      </c>
      <c r="D21" s="152">
        <v>0</v>
      </c>
      <c r="E21" s="152">
        <f t="shared" si="2"/>
        <v>10969</v>
      </c>
      <c r="F21" s="162">
        <f t="shared" si="0"/>
        <v>7620</v>
      </c>
      <c r="G21" s="162">
        <f t="shared" si="1"/>
        <v>3349</v>
      </c>
      <c r="H21" s="93"/>
      <c r="I21" s="93"/>
      <c r="J21" s="93"/>
      <c r="K21" s="93">
        <v>5890</v>
      </c>
      <c r="L21" s="93">
        <v>405</v>
      </c>
      <c r="M21" s="93"/>
      <c r="N21" s="93"/>
      <c r="O21" s="93">
        <v>1325</v>
      </c>
      <c r="P21" s="93"/>
      <c r="Q21" s="93"/>
      <c r="R21" s="93"/>
      <c r="S21" s="245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</row>
    <row r="22" spans="1:33" ht="15" thickBot="1" x14ac:dyDescent="0.35">
      <c r="A22" s="115" t="s">
        <v>42</v>
      </c>
      <c r="B22" s="116" t="s">
        <v>107</v>
      </c>
      <c r="C22" s="152">
        <v>9229</v>
      </c>
      <c r="D22" s="152">
        <v>0</v>
      </c>
      <c r="E22" s="152">
        <f t="shared" si="2"/>
        <v>9229</v>
      </c>
      <c r="F22" s="162">
        <f t="shared" si="0"/>
        <v>4501</v>
      </c>
      <c r="G22" s="162">
        <f t="shared" si="1"/>
        <v>4728</v>
      </c>
      <c r="H22" s="93"/>
      <c r="I22" s="93"/>
      <c r="J22" s="93">
        <v>1258</v>
      </c>
      <c r="K22" s="93">
        <v>944</v>
      </c>
      <c r="L22" s="93">
        <v>414</v>
      </c>
      <c r="M22" s="93">
        <v>200</v>
      </c>
      <c r="N22" s="93">
        <v>882</v>
      </c>
      <c r="O22" s="93">
        <v>120</v>
      </c>
      <c r="P22" s="93">
        <v>604</v>
      </c>
      <c r="R22" s="93"/>
      <c r="S22" s="245">
        <v>79</v>
      </c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3" ht="15" thickBot="1" x14ac:dyDescent="0.35">
      <c r="A23" s="115" t="s">
        <v>407</v>
      </c>
      <c r="B23" s="116" t="s">
        <v>408</v>
      </c>
      <c r="C23" s="152">
        <v>5000</v>
      </c>
      <c r="D23" s="152">
        <v>0</v>
      </c>
      <c r="E23" s="152">
        <f t="shared" si="2"/>
        <v>5000</v>
      </c>
      <c r="F23" s="162">
        <f t="shared" si="0"/>
        <v>0</v>
      </c>
      <c r="G23" s="162">
        <f t="shared" si="1"/>
        <v>5000</v>
      </c>
      <c r="H23" s="93"/>
      <c r="I23" s="93"/>
      <c r="J23" s="93"/>
      <c r="K23" s="93"/>
      <c r="L23" s="93"/>
      <c r="M23" s="93"/>
      <c r="N23" s="93"/>
      <c r="O23" s="93"/>
      <c r="P23" s="93"/>
      <c r="R23" s="93"/>
      <c r="S23" s="245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3" ht="15" thickBot="1" x14ac:dyDescent="0.35">
      <c r="A24" s="115" t="s">
        <v>409</v>
      </c>
      <c r="B24" s="116" t="s">
        <v>410</v>
      </c>
      <c r="C24" s="152">
        <v>5000</v>
      </c>
      <c r="D24" s="152">
        <v>0</v>
      </c>
      <c r="E24" s="152">
        <f t="shared" si="2"/>
        <v>5000</v>
      </c>
      <c r="F24" s="162">
        <f t="shared" si="0"/>
        <v>0</v>
      </c>
      <c r="G24" s="162">
        <f t="shared" si="1"/>
        <v>5000</v>
      </c>
      <c r="H24" s="93"/>
      <c r="I24" s="93"/>
      <c r="J24" s="93"/>
      <c r="K24" s="93"/>
      <c r="L24" s="93"/>
      <c r="M24" s="93"/>
      <c r="N24" s="93"/>
      <c r="O24" s="93"/>
      <c r="P24" s="93"/>
      <c r="R24" s="93"/>
      <c r="S24" s="245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3" ht="15" thickBot="1" x14ac:dyDescent="0.35">
      <c r="A25" s="115" t="s">
        <v>108</v>
      </c>
      <c r="B25" s="116" t="s">
        <v>233</v>
      </c>
      <c r="C25" s="152">
        <v>14911</v>
      </c>
      <c r="D25" s="152">
        <v>0</v>
      </c>
      <c r="E25" s="152">
        <f t="shared" si="2"/>
        <v>14911</v>
      </c>
      <c r="F25" s="162">
        <f t="shared" si="0"/>
        <v>14911</v>
      </c>
      <c r="G25" s="162">
        <f t="shared" si="1"/>
        <v>0</v>
      </c>
      <c r="H25" s="93"/>
      <c r="I25" s="93"/>
      <c r="J25" s="93"/>
      <c r="K25" s="93"/>
      <c r="L25" s="93"/>
      <c r="M25" s="93"/>
      <c r="N25" s="93"/>
      <c r="O25" s="93"/>
      <c r="P25" s="93"/>
      <c r="Q25" s="93">
        <v>6802</v>
      </c>
      <c r="R25" s="93"/>
      <c r="S25" s="245"/>
      <c r="T25" s="93"/>
      <c r="U25" s="93">
        <v>3469</v>
      </c>
      <c r="V25" s="93">
        <v>4640</v>
      </c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</row>
    <row r="26" spans="1:33" ht="15" thickBot="1" x14ac:dyDescent="0.35">
      <c r="A26" s="115" t="s">
        <v>425</v>
      </c>
      <c r="B26" s="116" t="s">
        <v>426</v>
      </c>
      <c r="C26" s="152">
        <v>5000</v>
      </c>
      <c r="D26" s="152">
        <v>0</v>
      </c>
      <c r="E26" s="152">
        <v>5000</v>
      </c>
      <c r="F26" s="162">
        <f t="shared" si="0"/>
        <v>524</v>
      </c>
      <c r="G26" s="162">
        <f t="shared" si="1"/>
        <v>4476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245"/>
      <c r="T26" s="93"/>
      <c r="U26" s="93"/>
      <c r="V26" s="93">
        <v>524</v>
      </c>
      <c r="W26" s="93"/>
      <c r="X26" s="93">
        <f>-524+524</f>
        <v>0</v>
      </c>
      <c r="Y26" s="93"/>
      <c r="Z26" s="93"/>
      <c r="AA26" s="93"/>
      <c r="AB26" s="93"/>
      <c r="AC26" s="93"/>
      <c r="AD26" s="93"/>
      <c r="AE26" s="93"/>
    </row>
    <row r="27" spans="1:33" ht="15" thickBot="1" x14ac:dyDescent="0.35">
      <c r="A27" s="115" t="s">
        <v>188</v>
      </c>
      <c r="B27" s="116" t="s">
        <v>411</v>
      </c>
      <c r="C27" s="152">
        <v>5000</v>
      </c>
      <c r="D27" s="152">
        <v>0</v>
      </c>
      <c r="E27" s="152">
        <v>5000</v>
      </c>
      <c r="F27" s="162">
        <f t="shared" si="0"/>
        <v>2500</v>
      </c>
      <c r="G27" s="162">
        <f t="shared" si="1"/>
        <v>2500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245"/>
      <c r="T27" s="93">
        <v>2500</v>
      </c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</row>
    <row r="28" spans="1:33" ht="15" thickBot="1" x14ac:dyDescent="0.35">
      <c r="A28" s="115" t="s">
        <v>179</v>
      </c>
      <c r="B28" s="116" t="s">
        <v>234</v>
      </c>
      <c r="C28" s="152">
        <v>11133</v>
      </c>
      <c r="D28" s="152">
        <v>0</v>
      </c>
      <c r="E28" s="152">
        <f t="shared" ref="E28:E40" si="3">C28+D28</f>
        <v>11133</v>
      </c>
      <c r="F28" s="162">
        <f t="shared" si="0"/>
        <v>11132.68</v>
      </c>
      <c r="G28" s="162">
        <f t="shared" si="1"/>
        <v>0.31999999999970896</v>
      </c>
      <c r="H28" s="93"/>
      <c r="I28" s="93">
        <v>658</v>
      </c>
      <c r="J28" s="93"/>
      <c r="K28" s="93"/>
      <c r="L28" s="93"/>
      <c r="M28" s="93"/>
      <c r="N28" s="93">
        <v>440</v>
      </c>
      <c r="O28" s="93"/>
      <c r="P28" s="93">
        <v>2156</v>
      </c>
      <c r="Q28" s="93"/>
      <c r="R28" s="93">
        <v>860</v>
      </c>
      <c r="S28" s="245">
        <v>832.8</v>
      </c>
      <c r="T28" s="93"/>
      <c r="U28" s="93"/>
      <c r="V28" s="93">
        <v>2607.88</v>
      </c>
      <c r="W28" s="93"/>
      <c r="X28" s="93"/>
      <c r="Y28" s="93"/>
      <c r="Z28" s="93"/>
      <c r="AA28" s="93">
        <v>3578</v>
      </c>
      <c r="AB28" s="93"/>
      <c r="AC28" s="93"/>
      <c r="AD28" s="93"/>
      <c r="AE28" s="93"/>
    </row>
    <row r="29" spans="1:33" ht="15" thickBot="1" x14ac:dyDescent="0.35">
      <c r="A29" s="115" t="s">
        <v>218</v>
      </c>
      <c r="B29" s="116" t="s">
        <v>235</v>
      </c>
      <c r="C29" s="152">
        <v>9103</v>
      </c>
      <c r="D29" s="152">
        <v>0</v>
      </c>
      <c r="E29" s="152">
        <f t="shared" si="3"/>
        <v>9103</v>
      </c>
      <c r="F29" s="162">
        <f t="shared" si="0"/>
        <v>6727</v>
      </c>
      <c r="G29" s="162">
        <f t="shared" si="1"/>
        <v>2376</v>
      </c>
      <c r="H29" s="93"/>
      <c r="I29" s="93"/>
      <c r="J29" s="93"/>
      <c r="K29" s="93"/>
      <c r="L29" s="93"/>
      <c r="M29" s="93">
        <v>4129</v>
      </c>
      <c r="N29" s="93"/>
      <c r="O29" s="93"/>
      <c r="P29" s="93">
        <v>1176</v>
      </c>
      <c r="R29" s="93"/>
      <c r="S29" s="245"/>
      <c r="T29" s="93"/>
      <c r="U29" s="93"/>
      <c r="V29" s="93"/>
      <c r="W29" s="93"/>
      <c r="X29" s="93"/>
      <c r="Y29" s="93"/>
      <c r="Z29" s="93"/>
      <c r="AA29" s="93">
        <v>1422</v>
      </c>
      <c r="AB29" s="93"/>
      <c r="AC29" s="93"/>
      <c r="AD29" s="93"/>
      <c r="AE29" s="93"/>
    </row>
    <row r="30" spans="1:33" ht="15" thickBot="1" x14ac:dyDescent="0.35">
      <c r="A30" s="115" t="s">
        <v>412</v>
      </c>
      <c r="B30" s="116" t="s">
        <v>413</v>
      </c>
      <c r="C30" s="162">
        <v>5000</v>
      </c>
      <c r="D30" s="152">
        <v>0</v>
      </c>
      <c r="E30" s="152">
        <f t="shared" si="3"/>
        <v>5000</v>
      </c>
      <c r="F30" s="249">
        <f t="shared" si="0"/>
        <v>4999.5600000000004</v>
      </c>
      <c r="G30" s="162">
        <f t="shared" si="1"/>
        <v>0.43999999999959982</v>
      </c>
      <c r="H30" s="93"/>
      <c r="I30" s="93"/>
      <c r="J30" s="93"/>
      <c r="K30" s="93"/>
      <c r="L30" s="93"/>
      <c r="M30" s="93"/>
      <c r="N30" s="93"/>
      <c r="O30" s="93"/>
      <c r="P30" s="93"/>
      <c r="R30" s="93"/>
      <c r="S30" s="245">
        <v>4623.5600000000004</v>
      </c>
      <c r="T30" s="93"/>
      <c r="U30" s="93"/>
      <c r="V30" s="93"/>
      <c r="W30" s="93"/>
      <c r="X30" s="93"/>
      <c r="Y30" s="93"/>
      <c r="Z30" s="93"/>
      <c r="AA30" s="93"/>
      <c r="AB30" s="93">
        <v>376</v>
      </c>
      <c r="AC30" s="93"/>
      <c r="AD30" s="93"/>
      <c r="AE30" s="93"/>
    </row>
    <row r="31" spans="1:33" ht="15" thickBot="1" x14ac:dyDescent="0.35">
      <c r="A31" s="115" t="s">
        <v>219</v>
      </c>
      <c r="B31" s="116" t="s">
        <v>236</v>
      </c>
      <c r="C31" s="162">
        <v>8905</v>
      </c>
      <c r="D31" s="152">
        <v>0</v>
      </c>
      <c r="E31" s="152">
        <f t="shared" si="3"/>
        <v>8905</v>
      </c>
      <c r="F31" s="162">
        <f t="shared" si="0"/>
        <v>4677</v>
      </c>
      <c r="G31" s="249">
        <f t="shared" si="1"/>
        <v>4228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245"/>
      <c r="T31" s="93"/>
      <c r="U31" s="245">
        <v>4677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3" ht="15" thickBot="1" x14ac:dyDescent="0.35">
      <c r="A32" s="115" t="s">
        <v>414</v>
      </c>
      <c r="B32" s="116" t="s">
        <v>415</v>
      </c>
      <c r="C32" s="162">
        <v>5000</v>
      </c>
      <c r="D32" s="152">
        <v>0</v>
      </c>
      <c r="E32" s="152">
        <f t="shared" si="3"/>
        <v>5000</v>
      </c>
      <c r="F32" s="162">
        <f t="shared" si="0"/>
        <v>5000</v>
      </c>
      <c r="G32" s="162">
        <f t="shared" si="1"/>
        <v>0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245"/>
      <c r="T32" s="93">
        <v>5000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3" ht="15" thickBot="1" x14ac:dyDescent="0.35">
      <c r="A33" s="115" t="s">
        <v>221</v>
      </c>
      <c r="B33" s="116" t="s">
        <v>238</v>
      </c>
      <c r="C33" s="162">
        <v>8047</v>
      </c>
      <c r="D33" s="152">
        <v>0</v>
      </c>
      <c r="E33" s="152">
        <f t="shared" si="3"/>
        <v>8047</v>
      </c>
      <c r="F33" s="162">
        <f t="shared" si="0"/>
        <v>6672</v>
      </c>
      <c r="G33" s="162">
        <f t="shared" si="1"/>
        <v>1375</v>
      </c>
      <c r="H33" s="93"/>
      <c r="I33" s="93">
        <v>1885</v>
      </c>
      <c r="J33" s="93">
        <v>1375</v>
      </c>
      <c r="K33" s="93"/>
      <c r="L33" s="93"/>
      <c r="M33" s="93">
        <v>1375</v>
      </c>
      <c r="N33" s="93">
        <v>1125</v>
      </c>
      <c r="O33" s="93">
        <v>912</v>
      </c>
      <c r="P33" s="93"/>
      <c r="Q33" s="93"/>
      <c r="R33" s="93"/>
      <c r="S33" s="245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</row>
    <row r="34" spans="1:33" ht="15" thickBot="1" x14ac:dyDescent="0.35">
      <c r="A34" s="115" t="s">
        <v>423</v>
      </c>
      <c r="B34" s="116" t="s">
        <v>416</v>
      </c>
      <c r="C34" s="162">
        <v>5000</v>
      </c>
      <c r="D34" s="152">
        <v>0</v>
      </c>
      <c r="E34" s="152">
        <f t="shared" si="3"/>
        <v>5000</v>
      </c>
      <c r="F34" s="162">
        <f t="shared" si="0"/>
        <v>5000</v>
      </c>
      <c r="G34" s="162">
        <f t="shared" si="1"/>
        <v>0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245">
        <v>5000</v>
      </c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1:33" ht="15" thickBot="1" x14ac:dyDescent="0.35">
      <c r="A35" s="115" t="s">
        <v>222</v>
      </c>
      <c r="B35" s="116" t="s">
        <v>239</v>
      </c>
      <c r="C35" s="162">
        <v>9521</v>
      </c>
      <c r="D35" s="152">
        <v>0</v>
      </c>
      <c r="E35" s="152">
        <f t="shared" si="3"/>
        <v>9521</v>
      </c>
      <c r="F35" s="162">
        <f t="shared" si="0"/>
        <v>9521</v>
      </c>
      <c r="G35" s="162">
        <f t="shared" si="1"/>
        <v>0</v>
      </c>
      <c r="H35" s="93"/>
      <c r="I35" s="93"/>
      <c r="J35" s="93"/>
      <c r="K35" s="93"/>
      <c r="L35" s="93"/>
      <c r="M35" s="93"/>
      <c r="N35" s="93"/>
      <c r="O35" s="93"/>
      <c r="P35" s="93">
        <v>4126</v>
      </c>
      <c r="Q35" s="93"/>
      <c r="R35" s="93"/>
      <c r="S35" s="245"/>
      <c r="T35" s="93"/>
      <c r="U35" s="93"/>
      <c r="V35" s="93">
        <v>5395</v>
      </c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1:33" ht="15" thickBot="1" x14ac:dyDescent="0.35">
      <c r="A36" s="115" t="s">
        <v>28</v>
      </c>
      <c r="B36" s="116" t="s">
        <v>112</v>
      </c>
      <c r="C36" s="162">
        <v>5000</v>
      </c>
      <c r="D36" s="152">
        <v>0</v>
      </c>
      <c r="E36" s="152">
        <f t="shared" si="3"/>
        <v>5000</v>
      </c>
      <c r="F36" s="162">
        <f t="shared" si="0"/>
        <v>3934</v>
      </c>
      <c r="G36" s="162">
        <f t="shared" si="1"/>
        <v>1066</v>
      </c>
      <c r="H36" s="93"/>
      <c r="I36" s="93"/>
      <c r="J36" s="93"/>
      <c r="K36" s="93"/>
      <c r="L36" s="93"/>
      <c r="M36" s="93">
        <v>224</v>
      </c>
      <c r="N36" s="93"/>
      <c r="O36" s="93">
        <v>20</v>
      </c>
      <c r="P36" s="93"/>
      <c r="Q36" s="93"/>
      <c r="R36" s="93"/>
      <c r="S36" s="245">
        <v>2975</v>
      </c>
      <c r="T36" s="93"/>
      <c r="U36" s="93"/>
      <c r="V36" s="93"/>
      <c r="W36" s="93"/>
      <c r="X36" s="93"/>
      <c r="Y36" s="93"/>
      <c r="Z36" s="93"/>
      <c r="AA36" s="93"/>
      <c r="AB36" s="93">
        <f>49+666</f>
        <v>715</v>
      </c>
      <c r="AC36" s="93"/>
      <c r="AD36" s="93"/>
      <c r="AE36" s="93"/>
    </row>
    <row r="37" spans="1:33" ht="15" thickBot="1" x14ac:dyDescent="0.35">
      <c r="A37" s="115" t="s">
        <v>223</v>
      </c>
      <c r="B37" s="116" t="s">
        <v>240</v>
      </c>
      <c r="C37" s="162">
        <v>9074</v>
      </c>
      <c r="D37" s="152">
        <v>0</v>
      </c>
      <c r="E37" s="152">
        <f t="shared" si="3"/>
        <v>9074</v>
      </c>
      <c r="F37" s="162">
        <f t="shared" si="0"/>
        <v>0</v>
      </c>
      <c r="G37" s="162">
        <f t="shared" si="1"/>
        <v>9074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3" ht="15" thickBot="1" x14ac:dyDescent="0.35">
      <c r="A38" s="115" t="s">
        <v>54</v>
      </c>
      <c r="B38" s="116" t="s">
        <v>58</v>
      </c>
      <c r="C38" s="162">
        <v>9169</v>
      </c>
      <c r="D38" s="152">
        <v>0</v>
      </c>
      <c r="E38" s="152">
        <f t="shared" si="3"/>
        <v>9169</v>
      </c>
      <c r="F38" s="162">
        <f t="shared" si="0"/>
        <v>6809</v>
      </c>
      <c r="G38" s="162">
        <f t="shared" si="1"/>
        <v>2360</v>
      </c>
      <c r="H38" s="93"/>
      <c r="I38" s="93"/>
      <c r="J38" s="93"/>
      <c r="K38" s="93"/>
      <c r="L38" s="93">
        <v>93</v>
      </c>
      <c r="M38" s="93">
        <v>16</v>
      </c>
      <c r="N38" s="93"/>
      <c r="O38" s="93"/>
      <c r="P38" s="93">
        <f>2144+3456</f>
        <v>5600</v>
      </c>
      <c r="Q38" s="93">
        <v>1100</v>
      </c>
      <c r="R38" s="93"/>
      <c r="S38" s="245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3" ht="15" thickBot="1" x14ac:dyDescent="0.35">
      <c r="A39" s="115" t="s">
        <v>76</v>
      </c>
      <c r="B39" s="116" t="s">
        <v>174</v>
      </c>
      <c r="C39" s="162">
        <v>10696</v>
      </c>
      <c r="D39" s="152">
        <v>0</v>
      </c>
      <c r="E39" s="152">
        <f t="shared" si="3"/>
        <v>10696</v>
      </c>
      <c r="F39" s="162">
        <f t="shared" si="0"/>
        <v>13056</v>
      </c>
      <c r="G39" s="162">
        <f t="shared" si="1"/>
        <v>-2360</v>
      </c>
      <c r="H39" s="93"/>
      <c r="I39" s="93"/>
      <c r="J39" s="93">
        <v>745</v>
      </c>
      <c r="K39" s="93"/>
      <c r="L39" s="93">
        <v>80</v>
      </c>
      <c r="M39" s="93">
        <v>387</v>
      </c>
      <c r="N39" s="93"/>
      <c r="O39" s="93"/>
      <c r="P39" s="93">
        <v>36</v>
      </c>
      <c r="Q39" s="93">
        <v>9448</v>
      </c>
      <c r="R39" s="93"/>
      <c r="S39" s="245"/>
      <c r="T39" s="93"/>
      <c r="U39" s="93"/>
      <c r="V39" s="93"/>
      <c r="W39" s="93"/>
      <c r="X39" s="93"/>
      <c r="Y39" s="93"/>
      <c r="Z39" s="93"/>
      <c r="AA39" s="93"/>
      <c r="AB39" s="93">
        <v>2360</v>
      </c>
      <c r="AC39" s="93"/>
      <c r="AD39" s="93"/>
      <c r="AE39" s="93"/>
    </row>
    <row r="40" spans="1:33" ht="15" thickBot="1" x14ac:dyDescent="0.35">
      <c r="A40" s="115" t="s">
        <v>114</v>
      </c>
      <c r="B40" s="116" t="s">
        <v>417</v>
      </c>
      <c r="C40" s="162">
        <v>5000</v>
      </c>
      <c r="D40" s="162">
        <v>0</v>
      </c>
      <c r="E40" s="162">
        <f t="shared" si="3"/>
        <v>5000</v>
      </c>
      <c r="F40" s="162">
        <f t="shared" si="0"/>
        <v>5000</v>
      </c>
      <c r="G40" s="162">
        <f t="shared" si="1"/>
        <v>0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>
        <v>2582</v>
      </c>
      <c r="S40" s="245">
        <v>2408</v>
      </c>
      <c r="T40" s="93"/>
      <c r="U40" s="93"/>
      <c r="V40" s="93"/>
      <c r="W40" s="93"/>
      <c r="X40" s="93"/>
      <c r="Y40" s="93"/>
      <c r="Z40" s="93"/>
      <c r="AA40" s="93">
        <v>10</v>
      </c>
      <c r="AB40" s="93"/>
      <c r="AC40" s="93"/>
      <c r="AD40" s="93"/>
      <c r="AE40" s="93"/>
    </row>
    <row r="41" spans="1:33" ht="15" thickBot="1" x14ac:dyDescent="0.35">
      <c r="A41" s="254" t="s">
        <v>49</v>
      </c>
      <c r="B41" s="28"/>
      <c r="C41" s="256">
        <f>SUM(C8:C39)</f>
        <v>285000</v>
      </c>
      <c r="D41" s="256">
        <v>0</v>
      </c>
      <c r="E41" s="256">
        <f>SUM(E9:E40)</f>
        <v>290000</v>
      </c>
      <c r="F41" s="256">
        <f t="shared" ref="F41:G41" si="4">SUM(F9:F40)</f>
        <v>227727.24</v>
      </c>
      <c r="G41" s="256">
        <f t="shared" si="4"/>
        <v>62272.76</v>
      </c>
      <c r="H41" s="258">
        <f t="shared" ref="H41:AG41" si="5">SUM(H8:H39)</f>
        <v>0</v>
      </c>
      <c r="I41" s="258">
        <f t="shared" si="5"/>
        <v>2543</v>
      </c>
      <c r="J41" s="258">
        <f t="shared" si="5"/>
        <v>3378</v>
      </c>
      <c r="K41" s="258">
        <f t="shared" si="5"/>
        <v>9528</v>
      </c>
      <c r="L41" s="258">
        <f t="shared" si="5"/>
        <v>4913</v>
      </c>
      <c r="M41" s="258">
        <f t="shared" si="5"/>
        <v>9523</v>
      </c>
      <c r="N41" s="258">
        <f t="shared" si="5"/>
        <v>15356</v>
      </c>
      <c r="O41" s="258">
        <f t="shared" si="5"/>
        <v>13700</v>
      </c>
      <c r="P41" s="258">
        <f t="shared" si="5"/>
        <v>29752</v>
      </c>
      <c r="Q41" s="258">
        <f t="shared" si="5"/>
        <v>52158</v>
      </c>
      <c r="R41" s="258">
        <f t="shared" si="5"/>
        <v>7584</v>
      </c>
      <c r="S41" s="260">
        <f>SUM(S9:S40)</f>
        <v>29921.360000000001</v>
      </c>
      <c r="T41" s="258">
        <f t="shared" si="5"/>
        <v>14881</v>
      </c>
      <c r="U41" s="258">
        <f t="shared" si="5"/>
        <v>9148</v>
      </c>
      <c r="V41" s="260">
        <f t="shared" si="5"/>
        <v>13166.880000000001</v>
      </c>
      <c r="W41" s="258">
        <f t="shared" si="5"/>
        <v>0</v>
      </c>
      <c r="X41" s="258">
        <f t="shared" si="5"/>
        <v>0</v>
      </c>
      <c r="Y41" s="258">
        <f t="shared" si="5"/>
        <v>0</v>
      </c>
      <c r="Z41" s="258">
        <f t="shared" si="5"/>
        <v>0</v>
      </c>
      <c r="AA41" s="258">
        <f>SUM(AA9:AA40)</f>
        <v>6142</v>
      </c>
      <c r="AB41" s="258">
        <f t="shared" si="5"/>
        <v>3451</v>
      </c>
      <c r="AC41" s="258">
        <f t="shared" si="5"/>
        <v>0</v>
      </c>
      <c r="AD41" s="258">
        <f t="shared" si="5"/>
        <v>0</v>
      </c>
      <c r="AE41" s="258">
        <f t="shared" si="5"/>
        <v>0</v>
      </c>
      <c r="AF41" s="258">
        <f t="shared" si="5"/>
        <v>0</v>
      </c>
      <c r="AG41" s="258">
        <f t="shared" si="5"/>
        <v>0</v>
      </c>
    </row>
    <row r="42" spans="1:33" s="24" customFormat="1" ht="15" thickBot="1" x14ac:dyDescent="0.35">
      <c r="A42" s="255"/>
      <c r="B42" s="28"/>
      <c r="C42" s="257"/>
      <c r="D42" s="257"/>
      <c r="E42" s="257"/>
      <c r="F42" s="257"/>
      <c r="G42" s="257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61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</row>
    <row r="43" spans="1:33" x14ac:dyDescent="0.3">
      <c r="A43" s="8"/>
      <c r="B43" s="1"/>
      <c r="C43" s="1"/>
      <c r="D43" s="1"/>
      <c r="E43" s="1"/>
      <c r="F43" s="52"/>
      <c r="G43" s="46"/>
      <c r="H43" s="46"/>
      <c r="I43" s="46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</row>
    <row r="44" spans="1:33" x14ac:dyDescent="0.3">
      <c r="A44" s="8"/>
      <c r="B44" s="1"/>
      <c r="C44" s="1"/>
      <c r="D44" s="1"/>
      <c r="E44" s="1"/>
      <c r="F44" s="52"/>
      <c r="G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93"/>
      <c r="AG44" s="93"/>
    </row>
    <row r="45" spans="1:33" x14ac:dyDescent="0.3">
      <c r="A45" s="8"/>
      <c r="B45" s="1"/>
      <c r="C45" s="1"/>
      <c r="D45" s="1"/>
      <c r="E45" s="1"/>
      <c r="F45" s="52"/>
      <c r="G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</row>
    <row r="46" spans="1:33" x14ac:dyDescent="0.3">
      <c r="F46" s="52"/>
      <c r="G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</row>
    <row r="47" spans="1:33" x14ac:dyDescent="0.3">
      <c r="F47" s="52"/>
      <c r="G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1"/>
      <c r="AG47" s="51"/>
    </row>
    <row r="48" spans="1:33" x14ac:dyDescent="0.3">
      <c r="F48" s="52"/>
      <c r="G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30"/>
      <c r="AG48" s="30"/>
    </row>
    <row r="49" spans="6:33" x14ac:dyDescent="0.3">
      <c r="F49" s="52"/>
      <c r="G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30"/>
      <c r="AG49" s="30"/>
    </row>
    <row r="50" spans="6:33" x14ac:dyDescent="0.3">
      <c r="F50" s="52"/>
      <c r="G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30"/>
      <c r="AG50" s="30"/>
    </row>
    <row r="51" spans="6:33" x14ac:dyDescent="0.3">
      <c r="F51" s="52"/>
      <c r="G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30"/>
      <c r="AG51" s="30"/>
    </row>
    <row r="52" spans="6:33" x14ac:dyDescent="0.3">
      <c r="F52" s="52"/>
      <c r="G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30"/>
      <c r="AG52" s="30"/>
    </row>
    <row r="53" spans="6:33" x14ac:dyDescent="0.3">
      <c r="F53" s="52"/>
      <c r="G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30"/>
      <c r="AG53" s="30"/>
    </row>
    <row r="54" spans="6:33" x14ac:dyDescent="0.3">
      <c r="F54" s="52"/>
      <c r="G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30"/>
      <c r="AG54" s="30"/>
    </row>
    <row r="55" spans="6:33" x14ac:dyDescent="0.3">
      <c r="F55" s="52"/>
      <c r="G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30"/>
      <c r="AG55" s="30"/>
    </row>
    <row r="56" spans="6:33" x14ac:dyDescent="0.3">
      <c r="F56" s="52"/>
      <c r="G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30"/>
      <c r="AG56" s="30"/>
    </row>
    <row r="57" spans="6:33" x14ac:dyDescent="0.3">
      <c r="F57" s="52"/>
      <c r="G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30"/>
      <c r="AG57" s="30"/>
    </row>
    <row r="58" spans="6:33" x14ac:dyDescent="0.3">
      <c r="F58" s="52"/>
      <c r="G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30"/>
      <c r="AG58" s="30"/>
    </row>
    <row r="59" spans="6:33" x14ac:dyDescent="0.3">
      <c r="F59" s="52"/>
      <c r="G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30"/>
      <c r="AG59" s="30"/>
    </row>
    <row r="60" spans="6:33" x14ac:dyDescent="0.3">
      <c r="F60" s="52"/>
      <c r="G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30"/>
      <c r="AG60" s="30"/>
    </row>
    <row r="61" spans="6:33" x14ac:dyDescent="0.3">
      <c r="F61" s="52"/>
      <c r="G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30"/>
      <c r="AG61" s="30"/>
    </row>
    <row r="62" spans="6:33" x14ac:dyDescent="0.3">
      <c r="F62" s="52"/>
      <c r="G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</row>
    <row r="63" spans="6:33" x14ac:dyDescent="0.3">
      <c r="F63" s="52"/>
      <c r="G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</row>
    <row r="64" spans="6:33" x14ac:dyDescent="0.3">
      <c r="F64" s="52"/>
      <c r="G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</row>
    <row r="65" spans="10:31" x14ac:dyDescent="0.3"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</row>
    <row r="66" spans="10:31" x14ac:dyDescent="0.3"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</row>
    <row r="67" spans="10:31" x14ac:dyDescent="0.3"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</row>
    <row r="68" spans="10:31" x14ac:dyDescent="0.3"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</row>
    <row r="69" spans="10:31" x14ac:dyDescent="0.3"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</row>
    <row r="70" spans="10:31" x14ac:dyDescent="0.3"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</row>
    <row r="71" spans="10:31" x14ac:dyDescent="0.3"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</row>
    <row r="72" spans="10:31" x14ac:dyDescent="0.3"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</row>
    <row r="73" spans="10:31" x14ac:dyDescent="0.3"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</row>
    <row r="74" spans="10:31" x14ac:dyDescent="0.3"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</row>
    <row r="75" spans="10:31" x14ac:dyDescent="0.3"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</row>
    <row r="76" spans="10:31" x14ac:dyDescent="0.3"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</row>
    <row r="77" spans="10:31" x14ac:dyDescent="0.3"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</row>
    <row r="78" spans="10:31" x14ac:dyDescent="0.3"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</row>
    <row r="79" spans="10:31" x14ac:dyDescent="0.3"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</row>
    <row r="80" spans="10:31" x14ac:dyDescent="0.3"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</row>
    <row r="81" spans="10:31" x14ac:dyDescent="0.3"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</row>
    <row r="82" spans="10:31" x14ac:dyDescent="0.3"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</row>
  </sheetData>
  <sheetProtection password="DC61" sheet="1" objects="1" scenarios="1"/>
  <sortState ref="A9:AG42">
    <sortCondition ref="A9:A42"/>
  </sortState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CCFFCC"/>
  </sheetPr>
  <dimension ref="A1:R50"/>
  <sheetViews>
    <sheetView workbookViewId="0">
      <pane xSplit="7" ySplit="8" topLeftCell="N18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O18" sqref="O18"/>
    </sheetView>
  </sheetViews>
  <sheetFormatPr defaultColWidth="9.109375" defaultRowHeight="14.4" x14ac:dyDescent="0.3"/>
  <cols>
    <col min="1" max="1" width="9.109375" style="50"/>
    <col min="2" max="2" width="33" style="50" customWidth="1"/>
    <col min="3" max="3" width="13.44140625" style="148" customWidth="1"/>
    <col min="4" max="5" width="15.5546875" style="148" customWidth="1"/>
    <col min="6" max="6" width="14" style="148" customWidth="1"/>
    <col min="7" max="7" width="16.6640625" style="148" customWidth="1"/>
    <col min="8" max="8" width="11.88671875" style="148" customWidth="1"/>
    <col min="9" max="9" width="12.5546875" style="148" customWidth="1"/>
    <col min="10" max="10" width="12.33203125" style="148" customWidth="1"/>
    <col min="11" max="11" width="12.5546875" style="148" customWidth="1"/>
    <col min="12" max="12" width="13.33203125" style="148" customWidth="1"/>
    <col min="13" max="13" width="11" style="148" customWidth="1"/>
    <col min="14" max="14" width="13.109375" style="148" customWidth="1"/>
    <col min="15" max="16" width="12.6640625" style="148" customWidth="1"/>
    <col min="17" max="18" width="21.33203125" style="50" customWidth="1"/>
    <col min="19" max="16384" width="9.109375" style="50"/>
  </cols>
  <sheetData>
    <row r="1" spans="1:18" ht="21" x14ac:dyDescent="0.4">
      <c r="A1" s="53" t="s">
        <v>0</v>
      </c>
      <c r="B1" s="59"/>
      <c r="C1" s="125" t="s">
        <v>269</v>
      </c>
      <c r="D1" s="125"/>
      <c r="E1" s="125"/>
      <c r="F1" s="126"/>
      <c r="G1" s="127"/>
      <c r="H1" s="125"/>
      <c r="I1" s="125"/>
      <c r="J1" s="126"/>
      <c r="K1" s="128"/>
      <c r="L1" s="125" t="str">
        <f>C1</f>
        <v xml:space="preserve">Race To The Top- Early Learning Challenge </v>
      </c>
      <c r="M1" s="127"/>
      <c r="N1" s="128"/>
      <c r="O1" s="128"/>
      <c r="P1" s="128"/>
      <c r="Q1" s="53"/>
      <c r="R1" s="53"/>
    </row>
    <row r="2" spans="1:18" ht="21" x14ac:dyDescent="0.4">
      <c r="A2" s="53" t="s">
        <v>358</v>
      </c>
      <c r="B2" s="55"/>
      <c r="C2" s="126" t="s">
        <v>367</v>
      </c>
      <c r="D2" s="129"/>
      <c r="E2" s="129"/>
      <c r="F2" s="130"/>
      <c r="G2" s="131"/>
      <c r="H2" s="130"/>
      <c r="I2" s="130"/>
      <c r="J2" s="129"/>
      <c r="K2" s="128"/>
      <c r="L2" s="130" t="str">
        <f>"FY"&amp;C4</f>
        <v>FY2017-18</v>
      </c>
      <c r="M2" s="131"/>
      <c r="N2" s="131"/>
      <c r="O2" s="131"/>
      <c r="P2" s="128"/>
      <c r="Q2" s="53"/>
      <c r="R2" s="53"/>
    </row>
    <row r="3" spans="1:18" ht="15.6" x14ac:dyDescent="0.3">
      <c r="A3" s="56" t="s">
        <v>1</v>
      </c>
      <c r="B3" s="59"/>
      <c r="C3" s="132" t="s">
        <v>270</v>
      </c>
      <c r="D3" s="132"/>
      <c r="E3" s="132"/>
      <c r="F3" s="130"/>
      <c r="G3" s="131"/>
      <c r="H3" s="128"/>
      <c r="I3" s="128"/>
      <c r="J3" s="128"/>
      <c r="K3" s="128"/>
      <c r="L3" s="128"/>
      <c r="M3" s="128"/>
      <c r="N3" s="128"/>
      <c r="O3" s="128"/>
      <c r="P3" s="128"/>
      <c r="Q3" s="60"/>
      <c r="R3" s="60"/>
    </row>
    <row r="4" spans="1:18" ht="15.6" x14ac:dyDescent="0.3">
      <c r="A4" s="56" t="s">
        <v>2</v>
      </c>
      <c r="B4" s="59"/>
      <c r="C4" s="129" t="s">
        <v>241</v>
      </c>
      <c r="D4" s="129"/>
      <c r="E4" s="129"/>
      <c r="F4" s="130"/>
      <c r="G4" s="131"/>
      <c r="H4" s="128"/>
      <c r="I4" s="128"/>
      <c r="J4" s="128"/>
      <c r="K4" s="128"/>
      <c r="L4" s="128"/>
      <c r="M4" s="128"/>
      <c r="N4" s="128"/>
      <c r="O4" s="128"/>
      <c r="P4" s="128"/>
      <c r="Q4" s="60"/>
      <c r="R4" s="60"/>
    </row>
    <row r="5" spans="1:18" ht="15.6" x14ac:dyDescent="0.3">
      <c r="A5" s="133" t="s">
        <v>18</v>
      </c>
      <c r="B5" s="134"/>
      <c r="C5" s="56" t="s">
        <v>419</v>
      </c>
      <c r="D5" s="56"/>
      <c r="E5" s="56"/>
      <c r="F5" s="135"/>
      <c r="G5" s="136"/>
      <c r="H5" s="136"/>
      <c r="I5" s="136"/>
      <c r="J5" s="137"/>
      <c r="K5" s="137"/>
      <c r="L5" s="137"/>
      <c r="M5" s="137"/>
      <c r="N5" s="137"/>
      <c r="O5" s="137"/>
      <c r="P5" s="137"/>
      <c r="Q5" s="58"/>
      <c r="R5" s="58"/>
    </row>
    <row r="6" spans="1:18" ht="15.6" x14ac:dyDescent="0.3">
      <c r="A6" s="133" t="s">
        <v>19</v>
      </c>
      <c r="B6" s="134"/>
      <c r="C6" s="135" t="s">
        <v>21</v>
      </c>
      <c r="D6" s="135"/>
      <c r="E6" s="135"/>
      <c r="F6" s="135"/>
      <c r="G6" s="136"/>
      <c r="H6" s="138"/>
      <c r="I6" s="138"/>
      <c r="J6" s="139"/>
      <c r="K6" s="139"/>
      <c r="L6" s="139"/>
      <c r="M6" s="139"/>
      <c r="N6" s="139"/>
      <c r="O6" s="139"/>
      <c r="P6" s="139"/>
      <c r="Q6" s="58"/>
      <c r="R6" s="58"/>
    </row>
    <row r="7" spans="1:18" ht="21.6" thickBot="1" x14ac:dyDescent="0.45">
      <c r="A7" s="53"/>
      <c r="B7" s="59"/>
      <c r="C7" s="131"/>
      <c r="D7" s="131"/>
      <c r="E7" s="131"/>
      <c r="F7" s="131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58"/>
      <c r="R7" s="58"/>
    </row>
    <row r="8" spans="1:18" ht="29.4" thickBot="1" x14ac:dyDescent="0.35">
      <c r="A8" s="186" t="s">
        <v>297</v>
      </c>
      <c r="B8" s="12" t="s">
        <v>255</v>
      </c>
      <c r="C8" s="194" t="s">
        <v>15</v>
      </c>
      <c r="D8" s="194" t="s">
        <v>368</v>
      </c>
      <c r="E8" s="194" t="s">
        <v>313</v>
      </c>
      <c r="F8" s="195" t="s">
        <v>16</v>
      </c>
      <c r="G8" s="196" t="s">
        <v>17</v>
      </c>
      <c r="H8" s="27" t="s">
        <v>60</v>
      </c>
      <c r="I8" s="26" t="s">
        <v>61</v>
      </c>
      <c r="J8" s="27" t="s">
        <v>62</v>
      </c>
      <c r="K8" s="26" t="s">
        <v>63</v>
      </c>
      <c r="L8" s="27" t="s">
        <v>64</v>
      </c>
      <c r="M8" s="26" t="s">
        <v>65</v>
      </c>
      <c r="N8" s="27" t="s">
        <v>66</v>
      </c>
      <c r="O8" s="26" t="s">
        <v>67</v>
      </c>
      <c r="P8" s="27" t="s">
        <v>68</v>
      </c>
      <c r="Q8" s="61" t="s">
        <v>377</v>
      </c>
      <c r="R8" s="61" t="s">
        <v>378</v>
      </c>
    </row>
    <row r="9" spans="1:18" ht="29.4" thickBot="1" x14ac:dyDescent="0.35">
      <c r="A9" s="140" t="s">
        <v>121</v>
      </c>
      <c r="B9" s="89" t="s">
        <v>271</v>
      </c>
      <c r="C9" s="141">
        <v>20000</v>
      </c>
      <c r="D9" s="141">
        <v>8000</v>
      </c>
      <c r="E9" s="141">
        <f>C9+D9</f>
        <v>28000</v>
      </c>
      <c r="F9" s="91">
        <f t="shared" ref="F9:F23" si="0">SUM(H9:P9)</f>
        <v>28000</v>
      </c>
      <c r="G9" s="91">
        <f>E9-F9</f>
        <v>0</v>
      </c>
      <c r="H9" s="86"/>
      <c r="I9" s="86"/>
      <c r="J9" s="86"/>
      <c r="K9" s="86">
        <v>28000</v>
      </c>
      <c r="L9" s="86"/>
      <c r="M9" s="86"/>
      <c r="N9" s="86"/>
      <c r="O9" s="86"/>
      <c r="P9" s="86"/>
    </row>
    <row r="10" spans="1:18" ht="15" thickBot="1" x14ac:dyDescent="0.35">
      <c r="A10" s="140" t="s">
        <v>272</v>
      </c>
      <c r="B10" s="89" t="s">
        <v>273</v>
      </c>
      <c r="C10" s="141">
        <v>19000</v>
      </c>
      <c r="D10" s="141">
        <v>8000</v>
      </c>
      <c r="E10" s="141">
        <f t="shared" ref="E10:E23" si="1">C10+D10</f>
        <v>27000</v>
      </c>
      <c r="F10" s="91">
        <f t="shared" si="0"/>
        <v>26999.83</v>
      </c>
      <c r="G10" s="91" t="s">
        <v>312</v>
      </c>
      <c r="H10" s="86"/>
      <c r="I10" s="86"/>
      <c r="J10" s="86"/>
      <c r="K10" s="86">
        <v>26999.83</v>
      </c>
      <c r="L10" s="86"/>
      <c r="M10" s="86"/>
      <c r="N10" s="86"/>
      <c r="O10" s="86"/>
      <c r="P10" s="86"/>
    </row>
    <row r="11" spans="1:18" ht="29.4" thickBot="1" x14ac:dyDescent="0.35">
      <c r="A11" s="140" t="s">
        <v>274</v>
      </c>
      <c r="B11" s="89" t="s">
        <v>275</v>
      </c>
      <c r="C11" s="90">
        <v>30000</v>
      </c>
      <c r="D11" s="90">
        <v>8000</v>
      </c>
      <c r="E11" s="141">
        <f t="shared" si="1"/>
        <v>38000</v>
      </c>
      <c r="F11" s="91">
        <f t="shared" si="0"/>
        <v>38000</v>
      </c>
      <c r="G11" s="91">
        <f t="shared" ref="G11:G23" si="2">E11-F11</f>
        <v>0</v>
      </c>
      <c r="H11" s="86"/>
      <c r="I11" s="86"/>
      <c r="J11" s="86"/>
      <c r="K11" s="86">
        <v>38000</v>
      </c>
      <c r="L11" s="86"/>
      <c r="M11" s="86"/>
      <c r="N11" s="86"/>
      <c r="O11" s="86"/>
      <c r="P11" s="86"/>
    </row>
    <row r="12" spans="1:18" ht="15" thickBot="1" x14ac:dyDescent="0.35">
      <c r="A12" s="140" t="s">
        <v>276</v>
      </c>
      <c r="B12" s="89" t="s">
        <v>273</v>
      </c>
      <c r="C12" s="141">
        <v>3000</v>
      </c>
      <c r="D12" s="141">
        <v>0</v>
      </c>
      <c r="E12" s="141">
        <f t="shared" si="1"/>
        <v>3000</v>
      </c>
      <c r="F12" s="91">
        <f t="shared" si="0"/>
        <v>3000</v>
      </c>
      <c r="G12" s="91">
        <f t="shared" si="2"/>
        <v>0</v>
      </c>
      <c r="H12" s="86"/>
      <c r="I12" s="86"/>
      <c r="J12" s="86"/>
      <c r="K12" s="86">
        <v>3000</v>
      </c>
      <c r="L12" s="86"/>
      <c r="M12" s="86"/>
      <c r="N12" s="86"/>
      <c r="O12" s="86"/>
      <c r="P12" s="86"/>
    </row>
    <row r="13" spans="1:18" ht="29.4" thickBot="1" x14ac:dyDescent="0.35">
      <c r="A13" s="140" t="s">
        <v>277</v>
      </c>
      <c r="B13" s="89" t="s">
        <v>278</v>
      </c>
      <c r="C13" s="141">
        <v>21000</v>
      </c>
      <c r="D13" s="141">
        <v>8000</v>
      </c>
      <c r="E13" s="141">
        <f t="shared" si="1"/>
        <v>29000</v>
      </c>
      <c r="F13" s="91">
        <f t="shared" si="0"/>
        <v>29000</v>
      </c>
      <c r="G13" s="91">
        <f t="shared" si="2"/>
        <v>0</v>
      </c>
      <c r="H13" s="86"/>
      <c r="I13" s="86"/>
      <c r="J13" s="86"/>
      <c r="K13" s="86">
        <v>29000</v>
      </c>
      <c r="L13" s="86"/>
      <c r="M13" s="86"/>
      <c r="N13" s="86"/>
      <c r="O13" s="86"/>
      <c r="P13" s="86"/>
    </row>
    <row r="14" spans="1:18" ht="29.4" thickBot="1" x14ac:dyDescent="0.35">
      <c r="A14" s="140" t="s">
        <v>279</v>
      </c>
      <c r="B14" s="89" t="s">
        <v>278</v>
      </c>
      <c r="C14" s="141">
        <v>6000</v>
      </c>
      <c r="D14" s="141">
        <v>0</v>
      </c>
      <c r="E14" s="141">
        <f t="shared" si="1"/>
        <v>6000</v>
      </c>
      <c r="F14" s="91">
        <f t="shared" si="0"/>
        <v>5300</v>
      </c>
      <c r="G14" s="91">
        <f t="shared" si="2"/>
        <v>700</v>
      </c>
      <c r="H14" s="86"/>
      <c r="I14" s="86"/>
      <c r="J14" s="86"/>
      <c r="K14" s="86">
        <v>5300</v>
      </c>
      <c r="L14" s="86"/>
      <c r="M14" s="86"/>
      <c r="N14" s="86"/>
      <c r="O14" s="86"/>
      <c r="P14" s="86"/>
      <c r="Q14" s="93"/>
      <c r="R14" s="93"/>
    </row>
    <row r="15" spans="1:18" ht="29.4" thickBot="1" x14ac:dyDescent="0.35">
      <c r="A15" s="140" t="s">
        <v>280</v>
      </c>
      <c r="B15" s="89" t="s">
        <v>278</v>
      </c>
      <c r="C15" s="141">
        <v>1500</v>
      </c>
      <c r="D15" s="141">
        <v>970</v>
      </c>
      <c r="E15" s="141">
        <f t="shared" si="1"/>
        <v>2470</v>
      </c>
      <c r="F15" s="91">
        <f t="shared" si="0"/>
        <v>970</v>
      </c>
      <c r="G15" s="91">
        <f t="shared" si="2"/>
        <v>1500</v>
      </c>
      <c r="H15" s="86"/>
      <c r="I15" s="86"/>
      <c r="J15" s="86"/>
      <c r="K15" s="86">
        <v>970</v>
      </c>
      <c r="L15" s="86"/>
      <c r="M15" s="86"/>
      <c r="N15" s="86"/>
      <c r="O15" s="86"/>
      <c r="P15" s="86"/>
      <c r="Q15" s="93"/>
      <c r="R15" s="93"/>
    </row>
    <row r="16" spans="1:18" ht="29.4" thickBot="1" x14ac:dyDescent="0.35">
      <c r="A16" s="140" t="s">
        <v>281</v>
      </c>
      <c r="B16" s="89" t="s">
        <v>120</v>
      </c>
      <c r="C16" s="141">
        <v>2000</v>
      </c>
      <c r="D16" s="141"/>
      <c r="E16" s="141">
        <f t="shared" si="1"/>
        <v>2000</v>
      </c>
      <c r="F16" s="91">
        <f t="shared" si="0"/>
        <v>1050</v>
      </c>
      <c r="G16" s="91">
        <f t="shared" si="2"/>
        <v>950</v>
      </c>
      <c r="H16" s="86"/>
      <c r="I16" s="86"/>
      <c r="J16" s="86"/>
      <c r="K16" s="86">
        <v>1050</v>
      </c>
      <c r="L16" s="86"/>
      <c r="M16" s="86"/>
      <c r="N16" s="86"/>
      <c r="O16" s="86"/>
      <c r="P16" s="86"/>
    </row>
    <row r="17" spans="1:18" ht="15" thickBot="1" x14ac:dyDescent="0.35">
      <c r="A17" s="140" t="s">
        <v>282</v>
      </c>
      <c r="B17" s="89" t="s">
        <v>283</v>
      </c>
      <c r="C17" s="141">
        <v>5000</v>
      </c>
      <c r="D17" s="141">
        <v>8000</v>
      </c>
      <c r="E17" s="141">
        <f t="shared" si="1"/>
        <v>13000</v>
      </c>
      <c r="F17" s="91">
        <f t="shared" si="0"/>
        <v>8000</v>
      </c>
      <c r="G17" s="91">
        <f t="shared" si="2"/>
        <v>5000</v>
      </c>
      <c r="H17" s="86"/>
      <c r="I17" s="86"/>
      <c r="J17" s="86"/>
      <c r="K17" s="86">
        <v>8000</v>
      </c>
      <c r="L17" s="86"/>
      <c r="M17" s="86"/>
      <c r="N17" s="86"/>
      <c r="O17" s="86"/>
      <c r="P17" s="86"/>
    </row>
    <row r="18" spans="1:18" ht="15" thickBot="1" x14ac:dyDescent="0.35">
      <c r="A18" s="140" t="s">
        <v>284</v>
      </c>
      <c r="B18" s="89" t="s">
        <v>285</v>
      </c>
      <c r="C18" s="141">
        <v>25000</v>
      </c>
      <c r="D18" s="141">
        <v>8000</v>
      </c>
      <c r="E18" s="141">
        <f t="shared" si="1"/>
        <v>33000</v>
      </c>
      <c r="F18" s="91">
        <f t="shared" si="0"/>
        <v>33000</v>
      </c>
      <c r="G18" s="91">
        <f t="shared" si="2"/>
        <v>0</v>
      </c>
      <c r="H18" s="86"/>
      <c r="I18" s="86"/>
      <c r="J18" s="86"/>
      <c r="K18" s="77"/>
      <c r="L18" s="86">
        <v>33000</v>
      </c>
      <c r="M18" s="86"/>
      <c r="N18" s="86"/>
      <c r="O18" s="86"/>
      <c r="P18" s="86"/>
    </row>
    <row r="19" spans="1:18" ht="15" thickBot="1" x14ac:dyDescent="0.35">
      <c r="A19" s="140" t="s">
        <v>286</v>
      </c>
      <c r="B19" s="89" t="s">
        <v>287</v>
      </c>
      <c r="C19" s="141">
        <v>77500</v>
      </c>
      <c r="D19" s="141">
        <v>8000</v>
      </c>
      <c r="E19" s="141">
        <f t="shared" si="1"/>
        <v>85500</v>
      </c>
      <c r="F19" s="91">
        <f t="shared" si="0"/>
        <v>85500</v>
      </c>
      <c r="G19" s="91">
        <f t="shared" si="2"/>
        <v>0</v>
      </c>
      <c r="H19" s="86"/>
      <c r="I19" s="86"/>
      <c r="J19" s="86"/>
      <c r="K19" s="86"/>
      <c r="L19" s="86">
        <v>85500</v>
      </c>
      <c r="M19" s="86"/>
      <c r="N19" s="86"/>
      <c r="O19" s="86"/>
      <c r="P19" s="86"/>
      <c r="Q19" s="93"/>
      <c r="R19" s="93"/>
    </row>
    <row r="20" spans="1:18" ht="29.4" thickBot="1" x14ac:dyDescent="0.35">
      <c r="A20" s="140" t="s">
        <v>288</v>
      </c>
      <c r="B20" s="89" t="s">
        <v>120</v>
      </c>
      <c r="C20" s="141">
        <v>70000</v>
      </c>
      <c r="D20" s="141">
        <v>0</v>
      </c>
      <c r="E20" s="141">
        <f t="shared" si="1"/>
        <v>70000</v>
      </c>
      <c r="F20" s="91">
        <v>70000</v>
      </c>
      <c r="G20" s="91">
        <f t="shared" si="2"/>
        <v>0</v>
      </c>
      <c r="H20" s="86"/>
      <c r="I20" s="86"/>
      <c r="J20" s="86"/>
      <c r="K20" s="86">
        <v>70000</v>
      </c>
      <c r="L20" s="86"/>
      <c r="M20" s="86"/>
      <c r="N20" s="86"/>
      <c r="O20" s="86"/>
      <c r="P20" s="86"/>
    </row>
    <row r="21" spans="1:18" ht="15" thickBot="1" x14ac:dyDescent="0.35">
      <c r="A21" s="140" t="s">
        <v>294</v>
      </c>
      <c r="B21" s="89" t="s">
        <v>295</v>
      </c>
      <c r="C21" s="141">
        <v>7000</v>
      </c>
      <c r="D21" s="141">
        <v>1930</v>
      </c>
      <c r="E21" s="141">
        <f t="shared" si="1"/>
        <v>8930</v>
      </c>
      <c r="F21" s="91">
        <f t="shared" si="0"/>
        <v>8930</v>
      </c>
      <c r="G21" s="91">
        <f t="shared" si="2"/>
        <v>0</v>
      </c>
      <c r="H21" s="86"/>
      <c r="I21" s="86"/>
      <c r="J21" s="86"/>
      <c r="K21" s="86">
        <v>7000</v>
      </c>
      <c r="L21" s="86">
        <v>1930</v>
      </c>
      <c r="M21" s="86"/>
      <c r="N21" s="86"/>
      <c r="O21" s="86"/>
      <c r="P21" s="86"/>
      <c r="Q21" s="93"/>
      <c r="R21" s="93"/>
    </row>
    <row r="22" spans="1:18" ht="29.4" thickBot="1" x14ac:dyDescent="0.35">
      <c r="A22" s="140" t="s">
        <v>289</v>
      </c>
      <c r="B22" s="89" t="s">
        <v>278</v>
      </c>
      <c r="C22" s="141">
        <v>55000</v>
      </c>
      <c r="D22" s="141">
        <v>8000</v>
      </c>
      <c r="E22" s="141">
        <f t="shared" si="1"/>
        <v>63000</v>
      </c>
      <c r="F22" s="91">
        <f t="shared" si="0"/>
        <v>63000</v>
      </c>
      <c r="G22" s="91">
        <f t="shared" si="2"/>
        <v>0</v>
      </c>
      <c r="H22" s="86"/>
      <c r="I22" s="86"/>
      <c r="J22" s="86"/>
      <c r="K22" s="86">
        <v>63000</v>
      </c>
      <c r="L22" s="86"/>
      <c r="M22" s="86"/>
      <c r="N22" s="142"/>
      <c r="O22" s="86"/>
      <c r="P22" s="86"/>
    </row>
    <row r="23" spans="1:18" ht="15" thickBot="1" x14ac:dyDescent="0.35">
      <c r="A23" s="140" t="s">
        <v>290</v>
      </c>
      <c r="B23" s="89" t="s">
        <v>291</v>
      </c>
      <c r="C23" s="141">
        <v>19000</v>
      </c>
      <c r="D23" s="141">
        <v>8000</v>
      </c>
      <c r="E23" s="141">
        <f t="shared" si="1"/>
        <v>27000</v>
      </c>
      <c r="F23" s="90">
        <f t="shared" si="0"/>
        <v>8000</v>
      </c>
      <c r="G23" s="91">
        <f t="shared" si="2"/>
        <v>19000</v>
      </c>
      <c r="H23" s="86"/>
      <c r="I23" s="86"/>
      <c r="J23" s="86"/>
      <c r="K23" s="86">
        <v>8000</v>
      </c>
      <c r="L23" s="86"/>
      <c r="M23" s="86"/>
      <c r="N23" s="86"/>
      <c r="O23" s="86"/>
      <c r="P23" s="86"/>
    </row>
    <row r="24" spans="1:18" ht="15" thickBot="1" x14ac:dyDescent="0.35">
      <c r="A24" s="140"/>
      <c r="B24" s="81"/>
      <c r="C24" s="141"/>
      <c r="D24" s="141"/>
      <c r="E24" s="141"/>
      <c r="F24" s="143"/>
      <c r="G24" s="144"/>
      <c r="H24" s="86"/>
      <c r="I24" s="86"/>
      <c r="J24" s="86"/>
      <c r="K24" s="86"/>
      <c r="L24" s="86"/>
      <c r="M24" s="86"/>
      <c r="N24" s="86"/>
      <c r="O24" s="86"/>
      <c r="P24" s="86"/>
    </row>
    <row r="25" spans="1:18" ht="15" thickBot="1" x14ac:dyDescent="0.35">
      <c r="A25" s="145" t="s">
        <v>49</v>
      </c>
      <c r="B25" s="146"/>
      <c r="C25" s="147">
        <f>SUM(C9:C24)</f>
        <v>361000</v>
      </c>
      <c r="D25" s="147">
        <f>SUM(D9:D24)</f>
        <v>74900</v>
      </c>
      <c r="E25" s="147">
        <f>SUM(E9:E23)</f>
        <v>435900</v>
      </c>
      <c r="F25" s="147">
        <f>SUM(F9:F24)</f>
        <v>408749.83</v>
      </c>
      <c r="G25" s="147">
        <f>SUM(G9:G24)</f>
        <v>27150</v>
      </c>
      <c r="H25" s="147">
        <f>SUM(H9:H24)</f>
        <v>0</v>
      </c>
      <c r="I25" s="147">
        <f t="shared" ref="I25:R25" si="3">SUM(I9:I24)</f>
        <v>0</v>
      </c>
      <c r="J25" s="147">
        <f t="shared" si="3"/>
        <v>0</v>
      </c>
      <c r="K25" s="147">
        <f t="shared" si="3"/>
        <v>288319.83</v>
      </c>
      <c r="L25" s="147">
        <f t="shared" si="3"/>
        <v>120430</v>
      </c>
      <c r="M25" s="147">
        <f t="shared" si="3"/>
        <v>0</v>
      </c>
      <c r="N25" s="147">
        <f t="shared" si="3"/>
        <v>0</v>
      </c>
      <c r="O25" s="147">
        <f t="shared" si="3"/>
        <v>0</v>
      </c>
      <c r="P25" s="147">
        <f t="shared" si="3"/>
        <v>0</v>
      </c>
      <c r="Q25" s="147">
        <f t="shared" si="3"/>
        <v>0</v>
      </c>
      <c r="R25" s="147">
        <f t="shared" si="3"/>
        <v>0</v>
      </c>
    </row>
    <row r="26" spans="1:18" x14ac:dyDescent="0.3">
      <c r="Q26" s="93"/>
      <c r="R26" s="93"/>
    </row>
    <row r="31" spans="1:18" x14ac:dyDescent="0.3">
      <c r="Q31" s="93"/>
      <c r="R31" s="93"/>
    </row>
    <row r="32" spans="1:18" x14ac:dyDescent="0.3">
      <c r="Q32" s="93"/>
      <c r="R32" s="93"/>
    </row>
    <row r="34" spans="9:18" x14ac:dyDescent="0.3">
      <c r="I34" s="148">
        <v>6300</v>
      </c>
      <c r="Q34" s="93"/>
      <c r="R34" s="93"/>
    </row>
    <row r="37" spans="9:18" x14ac:dyDescent="0.3">
      <c r="Q37" s="30"/>
      <c r="R37" s="30"/>
    </row>
    <row r="38" spans="9:18" x14ac:dyDescent="0.3">
      <c r="Q38" s="30"/>
      <c r="R38" s="30"/>
    </row>
    <row r="39" spans="9:18" x14ac:dyDescent="0.3">
      <c r="Q39" s="30"/>
      <c r="R39" s="30"/>
    </row>
    <row r="40" spans="9:18" x14ac:dyDescent="0.3">
      <c r="Q40" s="30"/>
      <c r="R40" s="30"/>
    </row>
    <row r="41" spans="9:18" x14ac:dyDescent="0.3">
      <c r="Q41" s="30"/>
      <c r="R41" s="30"/>
    </row>
    <row r="42" spans="9:18" x14ac:dyDescent="0.3">
      <c r="Q42" s="30"/>
      <c r="R42" s="30"/>
    </row>
    <row r="43" spans="9:18" x14ac:dyDescent="0.3">
      <c r="Q43" s="30"/>
      <c r="R43" s="30"/>
    </row>
    <row r="44" spans="9:18" x14ac:dyDescent="0.3">
      <c r="Q44" s="30"/>
      <c r="R44" s="30"/>
    </row>
    <row r="45" spans="9:18" x14ac:dyDescent="0.3">
      <c r="Q45" s="30"/>
      <c r="R45" s="30"/>
    </row>
    <row r="46" spans="9:18" x14ac:dyDescent="0.3">
      <c r="Q46" s="30"/>
      <c r="R46" s="30"/>
    </row>
    <row r="47" spans="9:18" x14ac:dyDescent="0.3">
      <c r="Q47" s="30"/>
      <c r="R47" s="30"/>
    </row>
    <row r="48" spans="9:18" x14ac:dyDescent="0.3">
      <c r="Q48" s="30"/>
      <c r="R48" s="30"/>
    </row>
    <row r="49" spans="17:18" x14ac:dyDescent="0.3">
      <c r="Q49" s="30"/>
      <c r="R49" s="30"/>
    </row>
    <row r="50" spans="17:18" x14ac:dyDescent="0.3">
      <c r="Q50" s="30"/>
      <c r="R50" s="30"/>
    </row>
  </sheetData>
  <sheetProtection algorithmName="SHA-512" hashValue="gNtbkW3l4k1w8y7eO7qRwPKNJPBBqqf/EdKtSf6IRiCu5pMEDwv+cjgBvDcy3S8d7YQYhsIDUIfgiU/VpMB2BA==" saltValue="hsPaK4slsu+byWvhuAfRSw==" spinCount="100000" sheet="1" objects="1" scenarios="1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rgb="FFCCFFCC"/>
  </sheetPr>
  <dimension ref="A1:AJ51"/>
  <sheetViews>
    <sheetView tabSelected="1" workbookViewId="0">
      <pane xSplit="7" ySplit="8" topLeftCell="AB9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C6" sqref="C6"/>
    </sheetView>
  </sheetViews>
  <sheetFormatPr defaultColWidth="9.109375" defaultRowHeight="14.4" x14ac:dyDescent="0.3"/>
  <cols>
    <col min="1" max="1" width="9.109375" style="50"/>
    <col min="2" max="2" width="36.6640625" style="50" customWidth="1"/>
    <col min="3" max="5" width="14.33203125" style="50" customWidth="1"/>
    <col min="6" max="6" width="14.109375" style="50" customWidth="1"/>
    <col min="7" max="7" width="17.88671875" style="50" customWidth="1"/>
    <col min="8" max="8" width="12.109375" style="50" customWidth="1"/>
    <col min="9" max="9" width="12.88671875" style="50" customWidth="1"/>
    <col min="10" max="10" width="12" style="50" customWidth="1"/>
    <col min="11" max="11" width="11.88671875" style="50" customWidth="1"/>
    <col min="12" max="12" width="12.33203125" style="50" customWidth="1"/>
    <col min="13" max="13" width="12.6640625" style="50" customWidth="1"/>
    <col min="14" max="14" width="12.44140625" style="50" customWidth="1"/>
    <col min="15" max="15" width="13.109375" style="50" customWidth="1"/>
    <col min="16" max="16" width="12.33203125" style="50" customWidth="1"/>
    <col min="17" max="17" width="13.88671875" style="50" customWidth="1"/>
    <col min="18" max="18" width="12.88671875" style="50" customWidth="1"/>
    <col min="19" max="19" width="13.109375" style="50" customWidth="1"/>
    <col min="20" max="20" width="13" style="50" customWidth="1"/>
    <col min="21" max="22" width="15.6640625" style="50" customWidth="1"/>
    <col min="23" max="23" width="12.5546875" style="50" bestFit="1" customWidth="1"/>
    <col min="24" max="24" width="15" style="50" bestFit="1" customWidth="1"/>
    <col min="25" max="25" width="14.6640625" style="50" bestFit="1" customWidth="1"/>
    <col min="26" max="26" width="12.109375" style="50" bestFit="1" customWidth="1"/>
    <col min="27" max="27" width="13.44140625" style="50" bestFit="1" customWidth="1"/>
    <col min="28" max="28" width="11" style="50" bestFit="1" customWidth="1"/>
    <col min="29" max="29" width="9.6640625" style="50" bestFit="1" customWidth="1"/>
    <col min="30" max="30" width="9.33203125" style="50" bestFit="1" customWidth="1"/>
    <col min="31" max="31" width="9.5546875" style="50" bestFit="1" customWidth="1"/>
    <col min="32" max="32" width="8.88671875" style="50" bestFit="1" customWidth="1"/>
    <col min="33" max="33" width="11.5546875" style="50" bestFit="1" customWidth="1"/>
    <col min="34" max="34" width="15.44140625" style="50" bestFit="1" customWidth="1"/>
    <col min="35" max="36" width="21.33203125" style="50" customWidth="1"/>
    <col min="37" max="16384" width="9.109375" style="50"/>
  </cols>
  <sheetData>
    <row r="1" spans="1:36" ht="21" x14ac:dyDescent="0.4">
      <c r="A1" s="53" t="s">
        <v>0</v>
      </c>
      <c r="B1" s="59"/>
      <c r="C1" s="54" t="s">
        <v>321</v>
      </c>
      <c r="D1" s="54"/>
      <c r="E1" s="54"/>
      <c r="F1" s="53"/>
      <c r="G1" s="55"/>
      <c r="H1" s="60"/>
      <c r="I1" s="60"/>
      <c r="J1" s="54"/>
      <c r="K1" s="54"/>
      <c r="L1" s="53"/>
      <c r="M1" s="53"/>
      <c r="N1" s="54" t="str">
        <f>$C$1</f>
        <v>Title I-C Migrant</v>
      </c>
      <c r="O1" s="55"/>
      <c r="P1" s="60"/>
      <c r="Q1" s="54"/>
      <c r="R1" s="54"/>
      <c r="S1" s="54"/>
      <c r="T1" s="54" t="str">
        <f>$C$1</f>
        <v>Title I-C Migrant</v>
      </c>
      <c r="U1" s="53"/>
      <c r="V1" s="55"/>
      <c r="W1" s="55"/>
      <c r="X1" s="54"/>
      <c r="Y1" s="55"/>
      <c r="Z1" s="55"/>
      <c r="AA1" s="54" t="str">
        <f>$C$1</f>
        <v>Title I-C Migrant</v>
      </c>
      <c r="AB1" s="55"/>
      <c r="AC1" s="55"/>
      <c r="AD1" s="55"/>
      <c r="AE1" s="54"/>
      <c r="AF1" s="55"/>
      <c r="AG1" s="55"/>
      <c r="AH1" s="55"/>
      <c r="AI1" s="53"/>
      <c r="AJ1" s="53"/>
    </row>
    <row r="2" spans="1:36" ht="21" x14ac:dyDescent="0.4">
      <c r="A2" s="53" t="s">
        <v>358</v>
      </c>
      <c r="B2" s="55"/>
      <c r="C2" s="53" t="s">
        <v>369</v>
      </c>
      <c r="D2" s="53"/>
      <c r="E2" s="53"/>
      <c r="F2" s="56"/>
      <c r="G2" s="19"/>
      <c r="H2" s="60"/>
      <c r="I2" s="60"/>
      <c r="J2" s="56"/>
      <c r="K2" s="54"/>
      <c r="L2" s="54" t="s">
        <v>34</v>
      </c>
      <c r="M2" s="57"/>
      <c r="N2" s="56" t="str">
        <f>"FY"&amp;$C$4</f>
        <v>FY2017-18</v>
      </c>
      <c r="O2" s="19"/>
      <c r="P2" s="19"/>
      <c r="Q2" s="56"/>
      <c r="R2" s="56"/>
      <c r="S2" s="54"/>
      <c r="T2" s="56" t="str">
        <f>"FY"&amp;$C$4</f>
        <v>FY2017-18</v>
      </c>
      <c r="U2" s="57"/>
      <c r="V2" s="19"/>
      <c r="W2" s="55"/>
      <c r="X2" s="56"/>
      <c r="Y2" s="55"/>
      <c r="Z2" s="55"/>
      <c r="AA2" s="56" t="str">
        <f>"FY"&amp;$C$4</f>
        <v>FY2017-18</v>
      </c>
      <c r="AB2" s="55"/>
      <c r="AC2" s="55"/>
      <c r="AD2" s="55"/>
      <c r="AE2" s="56"/>
      <c r="AF2" s="55"/>
      <c r="AG2" s="55"/>
      <c r="AH2" s="55"/>
      <c r="AI2" s="53"/>
      <c r="AJ2" s="53"/>
    </row>
    <row r="3" spans="1:36" ht="15.9" customHeight="1" x14ac:dyDescent="0.4">
      <c r="A3" s="56" t="s">
        <v>1</v>
      </c>
      <c r="B3" s="59"/>
      <c r="C3" s="57">
        <v>4011</v>
      </c>
      <c r="D3" s="57"/>
      <c r="E3" s="57"/>
      <c r="F3" s="56"/>
      <c r="G3" s="19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60"/>
      <c r="AJ3" s="60"/>
    </row>
    <row r="4" spans="1:36" ht="15.9" customHeight="1" x14ac:dyDescent="0.4">
      <c r="A4" s="56" t="s">
        <v>2</v>
      </c>
      <c r="B4" s="59"/>
      <c r="C4" s="57" t="s">
        <v>241</v>
      </c>
      <c r="D4" s="57"/>
      <c r="E4" s="57"/>
      <c r="F4" s="19"/>
      <c r="G4" s="19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60"/>
      <c r="AJ4" s="60"/>
    </row>
    <row r="5" spans="1:36" ht="15.9" customHeight="1" x14ac:dyDescent="0.4">
      <c r="A5" s="56" t="s">
        <v>320</v>
      </c>
      <c r="B5" s="59"/>
      <c r="C5" s="181" t="s">
        <v>419</v>
      </c>
      <c r="D5" s="181"/>
      <c r="E5" s="181"/>
      <c r="F5" s="56"/>
      <c r="G5" s="9"/>
      <c r="H5" s="9"/>
      <c r="I5" s="9"/>
      <c r="J5" s="9"/>
      <c r="K5" s="9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8"/>
      <c r="AJ5" s="58"/>
    </row>
    <row r="6" spans="1:36" ht="15.9" customHeight="1" x14ac:dyDescent="0.4">
      <c r="A6" s="56" t="s">
        <v>19</v>
      </c>
      <c r="B6" s="59"/>
      <c r="C6" s="262" t="s">
        <v>430</v>
      </c>
      <c r="D6" s="56"/>
      <c r="E6" s="56"/>
      <c r="F6" s="56"/>
      <c r="G6" s="9"/>
      <c r="H6" s="9"/>
      <c r="I6" s="9"/>
      <c r="J6" s="9"/>
      <c r="K6" s="9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8"/>
      <c r="AJ6" s="58"/>
    </row>
    <row r="7" spans="1:36" ht="15.9" customHeight="1" thickBot="1" x14ac:dyDescent="0.45">
      <c r="A7" s="56"/>
      <c r="B7" s="59"/>
      <c r="C7" s="56"/>
      <c r="D7" s="56"/>
      <c r="E7" s="56"/>
      <c r="F7" s="56"/>
      <c r="G7" s="9"/>
      <c r="H7" s="9"/>
      <c r="I7" s="9"/>
      <c r="J7" s="9"/>
      <c r="K7" s="9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8"/>
      <c r="AJ7" s="58"/>
    </row>
    <row r="8" spans="1:36" s="179" customFormat="1" ht="29.4" thickBot="1" x14ac:dyDescent="0.35">
      <c r="A8" s="61" t="s">
        <v>297</v>
      </c>
      <c r="B8" s="61" t="s">
        <v>46</v>
      </c>
      <c r="C8" s="61" t="s">
        <v>15</v>
      </c>
      <c r="D8" s="61" t="s">
        <v>183</v>
      </c>
      <c r="E8" s="61" t="s">
        <v>313</v>
      </c>
      <c r="F8" s="61" t="s">
        <v>16</v>
      </c>
      <c r="G8" s="25" t="s">
        <v>17</v>
      </c>
      <c r="H8" s="26" t="s">
        <v>60</v>
      </c>
      <c r="I8" s="27" t="s">
        <v>61</v>
      </c>
      <c r="J8" s="26" t="s">
        <v>62</v>
      </c>
      <c r="K8" s="27" t="s">
        <v>63</v>
      </c>
      <c r="L8" s="26" t="s">
        <v>64</v>
      </c>
      <c r="M8" s="27" t="s">
        <v>65</v>
      </c>
      <c r="N8" s="27" t="s">
        <v>66</v>
      </c>
      <c r="O8" s="27" t="s">
        <v>67</v>
      </c>
      <c r="P8" s="27" t="s">
        <v>68</v>
      </c>
      <c r="Q8" s="27" t="s">
        <v>69</v>
      </c>
      <c r="R8" s="27" t="s">
        <v>70</v>
      </c>
      <c r="S8" s="27" t="s">
        <v>71</v>
      </c>
      <c r="T8" s="26" t="s">
        <v>72</v>
      </c>
      <c r="U8" s="27" t="s">
        <v>73</v>
      </c>
      <c r="V8" s="27" t="s">
        <v>74</v>
      </c>
      <c r="W8" s="27" t="s">
        <v>242</v>
      </c>
      <c r="X8" s="26" t="s">
        <v>243</v>
      </c>
      <c r="Y8" s="27" t="s">
        <v>253</v>
      </c>
      <c r="Z8" s="27" t="s">
        <v>244</v>
      </c>
      <c r="AA8" s="27" t="s">
        <v>245</v>
      </c>
      <c r="AB8" s="27" t="s">
        <v>246</v>
      </c>
      <c r="AC8" s="27" t="s">
        <v>247</v>
      </c>
      <c r="AD8" s="27" t="s">
        <v>248</v>
      </c>
      <c r="AE8" s="27" t="s">
        <v>249</v>
      </c>
      <c r="AF8" s="26" t="s">
        <v>250</v>
      </c>
      <c r="AG8" s="27" t="s">
        <v>251</v>
      </c>
      <c r="AH8" s="27" t="s">
        <v>252</v>
      </c>
      <c r="AI8" s="61" t="s">
        <v>377</v>
      </c>
      <c r="AJ8" s="61" t="s">
        <v>378</v>
      </c>
    </row>
    <row r="9" spans="1:36" s="179" customFormat="1" ht="15" thickBot="1" x14ac:dyDescent="0.35">
      <c r="A9" s="207" t="s">
        <v>4</v>
      </c>
      <c r="B9" s="81" t="s">
        <v>119</v>
      </c>
      <c r="C9" s="199">
        <v>1447675</v>
      </c>
      <c r="D9" s="152">
        <v>0</v>
      </c>
      <c r="E9" s="152">
        <f>C9+D9</f>
        <v>1447675</v>
      </c>
      <c r="F9" s="199">
        <f>SUM(H9:AH9)</f>
        <v>1197262</v>
      </c>
      <c r="G9" s="199">
        <f>C9-F9</f>
        <v>250413</v>
      </c>
      <c r="H9" s="180"/>
      <c r="I9" s="180"/>
      <c r="J9" s="180"/>
      <c r="K9" s="197"/>
      <c r="L9" s="197"/>
      <c r="M9" s="197"/>
      <c r="N9" s="197">
        <v>384998</v>
      </c>
      <c r="O9" s="197">
        <v>116401</v>
      </c>
      <c r="P9" s="197">
        <v>350222</v>
      </c>
      <c r="Q9" s="197">
        <v>101519</v>
      </c>
      <c r="R9" s="197">
        <v>102834</v>
      </c>
      <c r="S9" s="197"/>
      <c r="T9" s="197"/>
      <c r="U9" s="197">
        <v>89616</v>
      </c>
      <c r="V9" s="197"/>
      <c r="W9" s="197">
        <v>51672</v>
      </c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50"/>
      <c r="AJ9" s="50"/>
    </row>
    <row r="10" spans="1:36" s="178" customFormat="1" ht="18.600000000000001" thickBot="1" x14ac:dyDescent="0.4">
      <c r="A10" s="207" t="s">
        <v>108</v>
      </c>
      <c r="B10" s="81" t="s">
        <v>319</v>
      </c>
      <c r="C10" s="199">
        <v>619796</v>
      </c>
      <c r="D10" s="152">
        <v>0</v>
      </c>
      <c r="E10" s="152">
        <f t="shared" ref="E10:E13" si="0">C10+D10</f>
        <v>619796</v>
      </c>
      <c r="F10" s="199">
        <f>SUM(H10:AH10)</f>
        <v>526835</v>
      </c>
      <c r="G10" s="199">
        <f t="shared" ref="G10:G13" si="1">C10-F10</f>
        <v>92961</v>
      </c>
      <c r="H10" s="197"/>
      <c r="I10" s="197"/>
      <c r="J10" s="197"/>
      <c r="K10" s="197">
        <v>53289</v>
      </c>
      <c r="L10" s="197">
        <v>33691</v>
      </c>
      <c r="M10" s="197">
        <v>34724</v>
      </c>
      <c r="N10" s="197">
        <v>34259</v>
      </c>
      <c r="O10" s="197">
        <v>44662</v>
      </c>
      <c r="P10" s="197">
        <v>35673</v>
      </c>
      <c r="Q10" s="197">
        <v>32606</v>
      </c>
      <c r="R10" s="197">
        <v>81105</v>
      </c>
      <c r="S10" s="197">
        <v>37058</v>
      </c>
      <c r="T10" s="197">
        <v>43660</v>
      </c>
      <c r="U10" s="197"/>
      <c r="V10" s="197">
        <v>96108</v>
      </c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50"/>
      <c r="AJ10" s="50"/>
    </row>
    <row r="11" spans="1:36" s="178" customFormat="1" ht="18.600000000000001" thickBot="1" x14ac:dyDescent="0.4">
      <c r="A11" s="207" t="s">
        <v>318</v>
      </c>
      <c r="B11" s="81" t="s">
        <v>317</v>
      </c>
      <c r="C11" s="199">
        <v>634538</v>
      </c>
      <c r="D11" s="152">
        <v>0</v>
      </c>
      <c r="E11" s="152">
        <f t="shared" si="0"/>
        <v>634538</v>
      </c>
      <c r="F11" s="199">
        <f>SUM(H11:AH11)</f>
        <v>634538</v>
      </c>
      <c r="G11" s="199">
        <f t="shared" si="1"/>
        <v>0</v>
      </c>
      <c r="H11" s="197"/>
      <c r="I11" s="197"/>
      <c r="J11" s="197"/>
      <c r="K11" s="197"/>
      <c r="L11" s="197"/>
      <c r="M11" s="197">
        <v>197076</v>
      </c>
      <c r="N11" s="197"/>
      <c r="O11" s="197">
        <v>84941</v>
      </c>
      <c r="P11" s="197">
        <v>66967</v>
      </c>
      <c r="Q11" s="197">
        <v>5300</v>
      </c>
      <c r="R11" s="235">
        <f>72245+40532</f>
        <v>112777</v>
      </c>
      <c r="S11" s="197"/>
      <c r="T11" s="197"/>
      <c r="U11" s="197"/>
      <c r="V11" s="197">
        <v>134243</v>
      </c>
      <c r="W11" s="197">
        <v>33234</v>
      </c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50"/>
      <c r="AJ11" s="50"/>
    </row>
    <row r="12" spans="1:36" s="178" customFormat="1" ht="18.600000000000001" thickBot="1" x14ac:dyDescent="0.4">
      <c r="A12" s="207" t="s">
        <v>37</v>
      </c>
      <c r="B12" s="81" t="s">
        <v>38</v>
      </c>
      <c r="C12" s="199">
        <v>2242786</v>
      </c>
      <c r="D12" s="152">
        <v>0</v>
      </c>
      <c r="E12" s="152">
        <f t="shared" si="0"/>
        <v>2242786</v>
      </c>
      <c r="F12" s="199">
        <f>SUM(H12:AH12)</f>
        <v>2104786</v>
      </c>
      <c r="G12" s="199">
        <f t="shared" si="1"/>
        <v>138000</v>
      </c>
      <c r="H12" s="197"/>
      <c r="I12" s="197"/>
      <c r="J12" s="197">
        <v>161000</v>
      </c>
      <c r="K12" s="197">
        <v>147000</v>
      </c>
      <c r="L12" s="197">
        <v>185000</v>
      </c>
      <c r="M12" s="197">
        <v>171500</v>
      </c>
      <c r="N12" s="197">
        <v>127500</v>
      </c>
      <c r="O12" s="197">
        <v>145000</v>
      </c>
      <c r="P12" s="197">
        <v>158000</v>
      </c>
      <c r="Q12" s="197">
        <v>150000</v>
      </c>
      <c r="R12" s="197">
        <v>200000</v>
      </c>
      <c r="S12" s="197">
        <v>140000</v>
      </c>
      <c r="T12" s="197">
        <v>180000</v>
      </c>
      <c r="U12" s="197">
        <v>173000</v>
      </c>
      <c r="V12" s="197">
        <v>154786</v>
      </c>
      <c r="W12" s="197">
        <v>12000</v>
      </c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50"/>
      <c r="AJ12" s="50"/>
    </row>
    <row r="13" spans="1:36" s="178" customFormat="1" ht="18.600000000000001" thickBot="1" x14ac:dyDescent="0.4">
      <c r="A13" s="207" t="s">
        <v>272</v>
      </c>
      <c r="B13" s="81" t="s">
        <v>316</v>
      </c>
      <c r="C13" s="199">
        <v>900000</v>
      </c>
      <c r="D13" s="152">
        <v>0</v>
      </c>
      <c r="E13" s="152">
        <f t="shared" si="0"/>
        <v>900000</v>
      </c>
      <c r="F13" s="199">
        <f>SUM(H13:AH13)</f>
        <v>688412</v>
      </c>
      <c r="G13" s="199">
        <f t="shared" si="1"/>
        <v>211588</v>
      </c>
      <c r="H13" s="197"/>
      <c r="I13" s="197"/>
      <c r="J13" s="198"/>
      <c r="K13" s="198"/>
      <c r="L13" s="197">
        <f>43716+46068</f>
        <v>89784</v>
      </c>
      <c r="M13" s="197"/>
      <c r="N13" s="197">
        <v>43165</v>
      </c>
      <c r="O13" s="197">
        <f>44109+43715</f>
        <v>87824</v>
      </c>
      <c r="P13" s="197">
        <v>46358</v>
      </c>
      <c r="Q13" s="197"/>
      <c r="R13" s="197">
        <v>54024</v>
      </c>
      <c r="S13" s="197">
        <f>68248+71936</f>
        <v>140184</v>
      </c>
      <c r="T13" s="197"/>
      <c r="U13" s="197">
        <v>204104</v>
      </c>
      <c r="V13" s="197">
        <f>3256+19713</f>
        <v>22969</v>
      </c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50"/>
      <c r="AJ13" s="50"/>
    </row>
    <row r="14" spans="1:36" ht="15" thickBot="1" x14ac:dyDescent="0.35">
      <c r="A14" s="81"/>
      <c r="B14" s="81"/>
      <c r="C14" s="81"/>
      <c r="D14" s="81"/>
      <c r="E14" s="81"/>
      <c r="F14" s="81"/>
      <c r="G14" s="81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93"/>
      <c r="AJ14" s="93"/>
    </row>
    <row r="15" spans="1:36" s="177" customFormat="1" ht="15" thickBot="1" x14ac:dyDescent="0.35">
      <c r="A15" s="85" t="s">
        <v>49</v>
      </c>
      <c r="B15" s="85"/>
      <c r="C15" s="85">
        <f t="shared" ref="C15:AJ15" si="2">SUM(C9:C13)</f>
        <v>5844795</v>
      </c>
      <c r="D15" s="85">
        <v>0</v>
      </c>
      <c r="E15" s="85">
        <f>C15+D15</f>
        <v>5844795</v>
      </c>
      <c r="F15" s="85">
        <f t="shared" si="2"/>
        <v>5151833</v>
      </c>
      <c r="G15" s="85">
        <f t="shared" si="2"/>
        <v>692962</v>
      </c>
      <c r="H15" s="85">
        <f t="shared" si="2"/>
        <v>0</v>
      </c>
      <c r="I15" s="85">
        <f t="shared" si="2"/>
        <v>0</v>
      </c>
      <c r="J15" s="85">
        <f t="shared" si="2"/>
        <v>161000</v>
      </c>
      <c r="K15" s="85">
        <f t="shared" si="2"/>
        <v>200289</v>
      </c>
      <c r="L15" s="85">
        <f t="shared" si="2"/>
        <v>308475</v>
      </c>
      <c r="M15" s="85">
        <f t="shared" si="2"/>
        <v>403300</v>
      </c>
      <c r="N15" s="85">
        <f t="shared" si="2"/>
        <v>589922</v>
      </c>
      <c r="O15" s="85">
        <f t="shared" si="2"/>
        <v>478828</v>
      </c>
      <c r="P15" s="85">
        <f t="shared" si="2"/>
        <v>657220</v>
      </c>
      <c r="Q15" s="85">
        <f t="shared" si="2"/>
        <v>289425</v>
      </c>
      <c r="R15" s="85">
        <f t="shared" si="2"/>
        <v>550740</v>
      </c>
      <c r="S15" s="85">
        <f t="shared" si="2"/>
        <v>317242</v>
      </c>
      <c r="T15" s="85">
        <f t="shared" si="2"/>
        <v>223660</v>
      </c>
      <c r="U15" s="85">
        <f t="shared" si="2"/>
        <v>466720</v>
      </c>
      <c r="V15" s="85">
        <f t="shared" si="2"/>
        <v>408106</v>
      </c>
      <c r="W15" s="85">
        <f t="shared" si="2"/>
        <v>96906</v>
      </c>
      <c r="X15" s="85">
        <f t="shared" si="2"/>
        <v>0</v>
      </c>
      <c r="Y15" s="85">
        <f t="shared" si="2"/>
        <v>0</v>
      </c>
      <c r="Z15" s="85">
        <f t="shared" si="2"/>
        <v>0</v>
      </c>
      <c r="AA15" s="85">
        <f t="shared" si="2"/>
        <v>0</v>
      </c>
      <c r="AB15" s="85">
        <f t="shared" si="2"/>
        <v>0</v>
      </c>
      <c r="AC15" s="85">
        <f t="shared" si="2"/>
        <v>0</v>
      </c>
      <c r="AD15" s="85">
        <f t="shared" si="2"/>
        <v>0</v>
      </c>
      <c r="AE15" s="85">
        <f t="shared" si="2"/>
        <v>0</v>
      </c>
      <c r="AF15" s="85">
        <f t="shared" si="2"/>
        <v>0</v>
      </c>
      <c r="AG15" s="85">
        <f t="shared" si="2"/>
        <v>0</v>
      </c>
      <c r="AH15" s="85">
        <f t="shared" si="2"/>
        <v>0</v>
      </c>
      <c r="AI15" s="85">
        <f t="shared" si="2"/>
        <v>0</v>
      </c>
      <c r="AJ15" s="85">
        <f t="shared" si="2"/>
        <v>0</v>
      </c>
    </row>
    <row r="16" spans="1:36" x14ac:dyDescent="0.3">
      <c r="AI16" s="93"/>
      <c r="AJ16" s="93"/>
    </row>
    <row r="17" spans="17:36" x14ac:dyDescent="0.3">
      <c r="Q17" s="176"/>
    </row>
    <row r="18" spans="17:36" x14ac:dyDescent="0.3">
      <c r="S18" s="176"/>
    </row>
    <row r="20" spans="17:36" x14ac:dyDescent="0.3">
      <c r="AI20" s="93"/>
      <c r="AJ20" s="93"/>
    </row>
    <row r="22" spans="17:36" x14ac:dyDescent="0.3">
      <c r="AI22" s="93"/>
      <c r="AJ22" s="93"/>
    </row>
    <row r="26" spans="17:36" x14ac:dyDescent="0.3">
      <c r="AI26" s="93"/>
      <c r="AJ26" s="93"/>
    </row>
    <row r="27" spans="17:36" x14ac:dyDescent="0.3">
      <c r="AI27" s="93"/>
      <c r="AJ27" s="93"/>
    </row>
    <row r="32" spans="17:36" x14ac:dyDescent="0.3">
      <c r="AI32" s="93"/>
      <c r="AJ32" s="93"/>
    </row>
    <row r="33" spans="35:36" x14ac:dyDescent="0.3">
      <c r="AI33" s="93"/>
      <c r="AJ33" s="93"/>
    </row>
    <row r="35" spans="35:36" x14ac:dyDescent="0.3">
      <c r="AI35" s="93"/>
      <c r="AJ35" s="93"/>
    </row>
    <row r="38" spans="35:36" x14ac:dyDescent="0.3">
      <c r="AI38" s="30"/>
      <c r="AJ38" s="30"/>
    </row>
    <row r="39" spans="35:36" x14ac:dyDescent="0.3">
      <c r="AI39" s="30"/>
      <c r="AJ39" s="30"/>
    </row>
    <row r="40" spans="35:36" x14ac:dyDescent="0.3">
      <c r="AI40" s="30"/>
      <c r="AJ40" s="30"/>
    </row>
    <row r="41" spans="35:36" x14ac:dyDescent="0.3">
      <c r="AI41" s="30"/>
      <c r="AJ41" s="30"/>
    </row>
    <row r="42" spans="35:36" x14ac:dyDescent="0.3">
      <c r="AI42" s="30"/>
      <c r="AJ42" s="30"/>
    </row>
    <row r="43" spans="35:36" x14ac:dyDescent="0.3">
      <c r="AI43" s="30"/>
      <c r="AJ43" s="30"/>
    </row>
    <row r="44" spans="35:36" x14ac:dyDescent="0.3">
      <c r="AI44" s="30"/>
      <c r="AJ44" s="30"/>
    </row>
    <row r="45" spans="35:36" x14ac:dyDescent="0.3">
      <c r="AI45" s="30"/>
      <c r="AJ45" s="30"/>
    </row>
    <row r="46" spans="35:36" x14ac:dyDescent="0.3">
      <c r="AI46" s="30"/>
      <c r="AJ46" s="30"/>
    </row>
    <row r="47" spans="35:36" x14ac:dyDescent="0.3">
      <c r="AI47" s="30"/>
      <c r="AJ47" s="30"/>
    </row>
    <row r="48" spans="35:36" x14ac:dyDescent="0.3">
      <c r="AI48" s="30"/>
      <c r="AJ48" s="30"/>
    </row>
    <row r="49" spans="35:36" x14ac:dyDescent="0.3">
      <c r="AI49" s="30"/>
      <c r="AJ49" s="30"/>
    </row>
    <row r="50" spans="35:36" x14ac:dyDescent="0.3">
      <c r="AI50" s="30"/>
      <c r="AJ50" s="30"/>
    </row>
    <row r="51" spans="35:36" x14ac:dyDescent="0.3">
      <c r="AI51" s="30"/>
      <c r="AJ51" s="30"/>
    </row>
  </sheetData>
  <sheetProtection algorithmName="SHA-512" hashValue="tjArTxJI1Ji+twRjkwG8l9hQaDIl3eGJEGQtSJ9PCO4hotsW70dgJwQWMgoMDVM7FsuUxskMhEgVvSCcFFGmzA==" saltValue="TWdTpF+/XIPKI44KCuRBZg==" spinCount="100000" sheet="1" objects="1" scenarios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>
    <tabColor rgb="FFCCFFCC"/>
  </sheetPr>
  <dimension ref="A1:AK56"/>
  <sheetViews>
    <sheetView workbookViewId="0">
      <pane xSplit="8" ySplit="8" topLeftCell="AA9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A9" sqref="A9"/>
    </sheetView>
  </sheetViews>
  <sheetFormatPr defaultColWidth="8.88671875" defaultRowHeight="14.4" x14ac:dyDescent="0.3"/>
  <cols>
    <col min="1" max="1" width="8.88671875" style="38"/>
    <col min="2" max="2" width="36.88671875" style="50" customWidth="1"/>
    <col min="3" max="4" width="13.5546875" style="51" customWidth="1"/>
    <col min="5" max="5" width="15.33203125" style="51" customWidth="1"/>
    <col min="6" max="6" width="13.5546875" style="51" customWidth="1"/>
    <col min="7" max="7" width="13.6640625" style="51" customWidth="1"/>
    <col min="8" max="8" width="17.5546875" style="51" customWidth="1"/>
    <col min="9" max="35" width="15.6640625" style="114" customWidth="1"/>
    <col min="36" max="37" width="21.33203125" style="50" customWidth="1"/>
    <col min="38" max="16384" width="8.88671875" style="50"/>
  </cols>
  <sheetData>
    <row r="1" spans="1:37" s="51" customFormat="1" ht="21" x14ac:dyDescent="0.4">
      <c r="A1" s="34" t="s">
        <v>0</v>
      </c>
      <c r="B1" s="59"/>
      <c r="C1" s="54" t="s">
        <v>26</v>
      </c>
      <c r="D1" s="54"/>
      <c r="E1" s="54"/>
      <c r="F1" s="54"/>
      <c r="G1" s="53"/>
      <c r="H1" s="55"/>
      <c r="I1" s="102"/>
      <c r="J1" s="102"/>
      <c r="K1" s="102"/>
      <c r="L1" s="102"/>
      <c r="M1" s="54" t="str">
        <f>C1</f>
        <v>Title II-B Math &amp; Science Partnerships</v>
      </c>
      <c r="N1" s="102"/>
      <c r="O1" s="102"/>
      <c r="P1" s="102"/>
      <c r="Q1" s="102"/>
      <c r="R1" s="102"/>
      <c r="S1" s="54" t="s">
        <v>26</v>
      </c>
      <c r="T1" s="102"/>
      <c r="U1" s="102"/>
      <c r="V1" s="102"/>
      <c r="W1" s="102"/>
      <c r="X1" s="102"/>
      <c r="Y1" s="102"/>
      <c r="Z1" s="54" t="str">
        <f>$C$1</f>
        <v>Title II-B Math &amp; Science Partnerships</v>
      </c>
      <c r="AA1" s="102"/>
      <c r="AB1" s="54"/>
      <c r="AC1" s="102"/>
      <c r="AD1" s="102"/>
      <c r="AE1" s="102"/>
      <c r="AF1" s="102"/>
      <c r="AG1" s="54" t="str">
        <f>$C$1</f>
        <v>Title II-B Math &amp; Science Partnerships</v>
      </c>
      <c r="AH1" s="102"/>
      <c r="AI1" s="102"/>
      <c r="AJ1" s="53"/>
      <c r="AK1" s="53"/>
    </row>
    <row r="2" spans="1:37" s="51" customFormat="1" ht="21" x14ac:dyDescent="0.4">
      <c r="A2" s="34" t="s">
        <v>358</v>
      </c>
      <c r="B2" s="55"/>
      <c r="C2" s="54" t="s">
        <v>370</v>
      </c>
      <c r="D2" s="57"/>
      <c r="E2" s="57"/>
      <c r="F2" s="57"/>
      <c r="G2" s="56"/>
      <c r="H2" s="19"/>
      <c r="I2" s="202"/>
      <c r="J2" s="202"/>
      <c r="K2" s="202"/>
      <c r="L2" s="202"/>
      <c r="M2" s="201" t="str">
        <f>"FY"&amp;C4</f>
        <v>FY2017-18</v>
      </c>
      <c r="N2" s="202"/>
      <c r="O2" s="202"/>
      <c r="P2" s="202"/>
      <c r="Q2" s="202"/>
      <c r="R2" s="202"/>
      <c r="S2" s="201" t="str">
        <f>"FY"&amp;C4</f>
        <v>FY2017-18</v>
      </c>
      <c r="T2" s="202"/>
      <c r="U2" s="202"/>
      <c r="V2" s="202"/>
      <c r="W2" s="202"/>
      <c r="X2" s="202"/>
      <c r="Y2" s="202"/>
      <c r="Z2" s="201" t="str">
        <f>"FY"&amp;$C$4</f>
        <v>FY2017-18</v>
      </c>
      <c r="AA2" s="202"/>
      <c r="AB2" s="201"/>
      <c r="AC2" s="202"/>
      <c r="AD2" s="202"/>
      <c r="AE2" s="202"/>
      <c r="AF2" s="202"/>
      <c r="AG2" s="201" t="str">
        <f>"FY"&amp;$C$4</f>
        <v>FY2017-18</v>
      </c>
      <c r="AH2" s="102"/>
      <c r="AI2" s="102"/>
      <c r="AJ2" s="53"/>
      <c r="AK2" s="53"/>
    </row>
    <row r="3" spans="1:37" s="51" customFormat="1" ht="15.9" customHeight="1" x14ac:dyDescent="0.3">
      <c r="A3" s="35" t="s">
        <v>1</v>
      </c>
      <c r="B3" s="59"/>
      <c r="C3" s="57">
        <v>5366</v>
      </c>
      <c r="D3" s="57"/>
      <c r="E3" s="57"/>
      <c r="F3" s="57"/>
      <c r="G3" s="56"/>
      <c r="H3" s="19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60"/>
      <c r="AK3" s="60"/>
    </row>
    <row r="4" spans="1:37" s="51" customFormat="1" ht="15.9" customHeight="1" x14ac:dyDescent="0.4">
      <c r="A4" s="35" t="s">
        <v>2</v>
      </c>
      <c r="B4" s="59"/>
      <c r="C4" s="57" t="s">
        <v>241</v>
      </c>
      <c r="D4" s="54"/>
      <c r="E4" s="54"/>
      <c r="F4" s="54"/>
      <c r="G4" s="19"/>
      <c r="H4" s="19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60"/>
      <c r="AK4" s="60"/>
    </row>
    <row r="5" spans="1:37" s="51" customFormat="1" ht="15.9" customHeight="1" x14ac:dyDescent="0.3">
      <c r="A5" s="35" t="s">
        <v>18</v>
      </c>
      <c r="B5" s="59"/>
      <c r="C5" s="56" t="s">
        <v>419</v>
      </c>
      <c r="D5" s="56"/>
      <c r="E5" s="56"/>
      <c r="F5" s="56"/>
      <c r="G5" s="19"/>
      <c r="H5" s="19"/>
      <c r="I5" s="103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58"/>
      <c r="AK5" s="58"/>
    </row>
    <row r="6" spans="1:37" s="51" customFormat="1" ht="15.9" customHeight="1" x14ac:dyDescent="0.3">
      <c r="A6" s="35" t="s">
        <v>19</v>
      </c>
      <c r="B6" s="59"/>
      <c r="C6" s="57" t="s">
        <v>33</v>
      </c>
      <c r="D6" s="57"/>
      <c r="E6" s="57"/>
      <c r="F6" s="57"/>
      <c r="G6" s="19"/>
      <c r="H6" s="19"/>
      <c r="I6" s="103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58"/>
      <c r="AK6" s="58"/>
    </row>
    <row r="7" spans="1:37" s="51" customFormat="1" ht="15.9" customHeight="1" thickBot="1" x14ac:dyDescent="0.45">
      <c r="A7" s="34"/>
      <c r="B7" s="59"/>
      <c r="C7" s="57"/>
      <c r="D7" s="57"/>
      <c r="E7" s="57"/>
      <c r="F7" s="57"/>
      <c r="G7" s="19"/>
      <c r="H7" s="19"/>
      <c r="I7" s="103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58"/>
      <c r="AK7" s="58"/>
    </row>
    <row r="8" spans="1:37" ht="29.4" thickBot="1" x14ac:dyDescent="0.35">
      <c r="A8" s="36" t="s">
        <v>297</v>
      </c>
      <c r="B8" s="12" t="s">
        <v>255</v>
      </c>
      <c r="C8" s="12" t="s">
        <v>15</v>
      </c>
      <c r="D8" s="12" t="s">
        <v>183</v>
      </c>
      <c r="E8" s="12" t="s">
        <v>395</v>
      </c>
      <c r="F8" s="12" t="s">
        <v>313</v>
      </c>
      <c r="G8" s="12" t="s">
        <v>16</v>
      </c>
      <c r="H8" s="10" t="s">
        <v>17</v>
      </c>
      <c r="I8" s="200" t="s">
        <v>60</v>
      </c>
      <c r="J8" s="200" t="s">
        <v>61</v>
      </c>
      <c r="K8" s="200" t="s">
        <v>62</v>
      </c>
      <c r="L8" s="200" t="s">
        <v>63</v>
      </c>
      <c r="M8" s="200" t="s">
        <v>64</v>
      </c>
      <c r="N8" s="200" t="s">
        <v>65</v>
      </c>
      <c r="O8" s="200" t="s">
        <v>66</v>
      </c>
      <c r="P8" s="200" t="s">
        <v>67</v>
      </c>
      <c r="Q8" s="200" t="s">
        <v>68</v>
      </c>
      <c r="R8" s="200" t="s">
        <v>69</v>
      </c>
      <c r="S8" s="200" t="s">
        <v>70</v>
      </c>
      <c r="T8" s="200" t="s">
        <v>71</v>
      </c>
      <c r="U8" s="200" t="s">
        <v>72</v>
      </c>
      <c r="V8" s="200" t="s">
        <v>73</v>
      </c>
      <c r="W8" s="200" t="s">
        <v>74</v>
      </c>
      <c r="X8" s="61" t="s">
        <v>242</v>
      </c>
      <c r="Y8" s="65" t="s">
        <v>243</v>
      </c>
      <c r="Z8" s="61" t="s">
        <v>253</v>
      </c>
      <c r="AA8" s="61" t="s">
        <v>244</v>
      </c>
      <c r="AB8" s="61" t="s">
        <v>245</v>
      </c>
      <c r="AC8" s="61" t="s">
        <v>246</v>
      </c>
      <c r="AD8" s="61" t="s">
        <v>247</v>
      </c>
      <c r="AE8" s="61" t="s">
        <v>248</v>
      </c>
      <c r="AF8" s="61" t="s">
        <v>249</v>
      </c>
      <c r="AG8" s="65" t="s">
        <v>250</v>
      </c>
      <c r="AH8" s="61" t="s">
        <v>251</v>
      </c>
      <c r="AI8" s="61" t="s">
        <v>252</v>
      </c>
      <c r="AJ8" s="61" t="s">
        <v>377</v>
      </c>
      <c r="AK8" s="61" t="s">
        <v>378</v>
      </c>
    </row>
    <row r="9" spans="1:37" s="21" customFormat="1" ht="15" thickBot="1" x14ac:dyDescent="0.35">
      <c r="A9" s="104" t="s">
        <v>292</v>
      </c>
      <c r="B9" s="105" t="s">
        <v>293</v>
      </c>
      <c r="C9" s="106">
        <v>0</v>
      </c>
      <c r="D9" s="106">
        <v>349842</v>
      </c>
      <c r="E9" s="106">
        <v>78331</v>
      </c>
      <c r="F9" s="106">
        <f>C9+D9+E9</f>
        <v>428173</v>
      </c>
      <c r="G9" s="149">
        <f>SUM(I9:AI9)</f>
        <v>428173</v>
      </c>
      <c r="H9" s="106">
        <f t="shared" ref="H9:H11" si="0">F9-G9</f>
        <v>0</v>
      </c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>
        <v>175027</v>
      </c>
      <c r="U9" s="107"/>
      <c r="V9" s="107"/>
      <c r="W9" s="107"/>
      <c r="X9" s="107">
        <f>124632+128514</f>
        <v>253146</v>
      </c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50"/>
      <c r="AK9" s="50"/>
    </row>
    <row r="10" spans="1:37" s="21" customFormat="1" ht="15" thickBot="1" x14ac:dyDescent="0.35">
      <c r="A10" s="104">
        <v>1195</v>
      </c>
      <c r="B10" s="105" t="s">
        <v>181</v>
      </c>
      <c r="C10" s="106">
        <v>0</v>
      </c>
      <c r="D10" s="106"/>
      <c r="E10" s="106"/>
      <c r="F10" s="106">
        <f t="shared" ref="F10:F14" si="1">C10+D10+E10</f>
        <v>0</v>
      </c>
      <c r="G10" s="149">
        <f t="shared" ref="G10:G14" si="2">SUM(I10:AI10)</f>
        <v>0</v>
      </c>
      <c r="H10" s="106">
        <f t="shared" si="0"/>
        <v>0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50"/>
      <c r="AK10" s="50"/>
    </row>
    <row r="11" spans="1:37" s="21" customFormat="1" ht="15" thickBot="1" x14ac:dyDescent="0.35">
      <c r="A11" s="104">
        <v>1550</v>
      </c>
      <c r="B11" s="105" t="s">
        <v>57</v>
      </c>
      <c r="C11" s="106">
        <v>0</v>
      </c>
      <c r="D11" s="106">
        <v>286481</v>
      </c>
      <c r="E11" s="106">
        <v>78331</v>
      </c>
      <c r="F11" s="106">
        <f t="shared" si="1"/>
        <v>364812</v>
      </c>
      <c r="G11" s="149">
        <f t="shared" si="2"/>
        <v>316524</v>
      </c>
      <c r="H11" s="106">
        <f t="shared" si="0"/>
        <v>48288</v>
      </c>
      <c r="I11" s="107"/>
      <c r="J11" s="107"/>
      <c r="K11" s="107"/>
      <c r="L11" s="107">
        <v>19783</v>
      </c>
      <c r="M11" s="107">
        <v>9371</v>
      </c>
      <c r="N11" s="107"/>
      <c r="O11" s="107">
        <v>36028</v>
      </c>
      <c r="P11" s="107"/>
      <c r="Q11" s="107"/>
      <c r="R11" s="107">
        <v>55216</v>
      </c>
      <c r="S11" s="107"/>
      <c r="T11" s="107"/>
      <c r="U11" s="107">
        <v>97932</v>
      </c>
      <c r="V11" s="107"/>
      <c r="W11" s="107"/>
      <c r="X11" s="107"/>
      <c r="Y11" s="107">
        <f>70830+27364</f>
        <v>98194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50"/>
      <c r="AK11" s="50"/>
    </row>
    <row r="12" spans="1:37" s="219" customFormat="1" ht="15" thickBot="1" x14ac:dyDescent="0.35">
      <c r="A12" s="216">
        <v>2035</v>
      </c>
      <c r="B12" s="105" t="s">
        <v>265</v>
      </c>
      <c r="C12" s="217">
        <v>0</v>
      </c>
      <c r="D12" s="217">
        <v>325977</v>
      </c>
      <c r="E12" s="106">
        <v>78331</v>
      </c>
      <c r="F12" s="106">
        <f t="shared" si="1"/>
        <v>404308</v>
      </c>
      <c r="G12" s="251">
        <f t="shared" si="2"/>
        <v>391350</v>
      </c>
      <c r="H12" s="252">
        <f>F12-G12</f>
        <v>12958</v>
      </c>
      <c r="I12" s="218"/>
      <c r="J12" s="218">
        <v>11332</v>
      </c>
      <c r="K12" s="218"/>
      <c r="L12" s="218">
        <v>22269</v>
      </c>
      <c r="M12" s="218">
        <v>16972</v>
      </c>
      <c r="N12" s="218">
        <v>10651</v>
      </c>
      <c r="O12" s="218">
        <v>35041</v>
      </c>
      <c r="P12" s="218">
        <v>51249</v>
      </c>
      <c r="Q12" s="218">
        <v>52911</v>
      </c>
      <c r="R12" s="250">
        <v>5638</v>
      </c>
      <c r="S12" s="218">
        <v>45712</v>
      </c>
      <c r="T12" s="218">
        <v>84066</v>
      </c>
      <c r="U12" s="218">
        <v>40888</v>
      </c>
      <c r="V12" s="218">
        <v>12095</v>
      </c>
      <c r="W12" s="218"/>
      <c r="X12" s="218"/>
      <c r="Y12" s="218">
        <v>2526</v>
      </c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41"/>
      <c r="AK12" s="41"/>
    </row>
    <row r="13" spans="1:37" s="21" customFormat="1" ht="15" thickBot="1" x14ac:dyDescent="0.35">
      <c r="A13" s="104">
        <v>9060</v>
      </c>
      <c r="B13" s="105" t="s">
        <v>89</v>
      </c>
      <c r="C13" s="106">
        <v>0</v>
      </c>
      <c r="D13" s="106">
        <v>376871</v>
      </c>
      <c r="E13" s="106">
        <v>78331</v>
      </c>
      <c r="F13" s="106">
        <f t="shared" si="1"/>
        <v>455202</v>
      </c>
      <c r="G13" s="149">
        <f t="shared" si="2"/>
        <v>335200</v>
      </c>
      <c r="H13" s="106">
        <f t="shared" ref="H13" si="3">F13-G13</f>
        <v>120002</v>
      </c>
      <c r="I13" s="107"/>
      <c r="J13" s="107"/>
      <c r="K13" s="107"/>
      <c r="L13" s="107">
        <v>70854</v>
      </c>
      <c r="M13" s="107">
        <v>51797</v>
      </c>
      <c r="N13" s="107"/>
      <c r="O13" s="107">
        <v>68951</v>
      </c>
      <c r="P13" s="107"/>
      <c r="Q13" s="107"/>
      <c r="R13" s="107"/>
      <c r="S13" s="107"/>
      <c r="T13" s="107">
        <v>80145</v>
      </c>
      <c r="U13" s="107"/>
      <c r="V13" s="107"/>
      <c r="W13" s="107"/>
      <c r="X13" s="107">
        <f>27072+36381</f>
        <v>63453</v>
      </c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50"/>
      <c r="AK13" s="50"/>
    </row>
    <row r="14" spans="1:37" s="21" customFormat="1" ht="15" thickBot="1" x14ac:dyDescent="0.35">
      <c r="A14" s="104">
        <v>9095</v>
      </c>
      <c r="B14" s="105" t="s">
        <v>182</v>
      </c>
      <c r="C14" s="106">
        <v>0</v>
      </c>
      <c r="D14" s="106">
        <v>4205</v>
      </c>
      <c r="E14" s="106"/>
      <c r="F14" s="106">
        <f t="shared" si="1"/>
        <v>4205</v>
      </c>
      <c r="G14" s="253">
        <f t="shared" si="2"/>
        <v>4205.1000000000004</v>
      </c>
      <c r="H14" s="106">
        <f>F14-G14</f>
        <v>-0.1000000000003638</v>
      </c>
      <c r="I14" s="107"/>
      <c r="J14" s="150">
        <v>4205.1000000000004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93"/>
      <c r="AK14" s="93"/>
    </row>
    <row r="15" spans="1:37" s="21" customFormat="1" ht="15" thickBot="1" x14ac:dyDescent="0.35">
      <c r="A15" s="104"/>
      <c r="B15" s="105"/>
      <c r="C15" s="106"/>
      <c r="D15" s="106"/>
      <c r="E15" s="106"/>
      <c r="F15" s="175"/>
      <c r="G15" s="108"/>
      <c r="H15" s="106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93"/>
      <c r="AK15" s="93"/>
    </row>
    <row r="16" spans="1:37" s="14" customFormat="1" ht="15" thickBot="1" x14ac:dyDescent="0.35">
      <c r="A16" s="109" t="s">
        <v>49</v>
      </c>
      <c r="B16" s="22"/>
      <c r="C16" s="110">
        <f>SUM(C9:C14)</f>
        <v>0</v>
      </c>
      <c r="D16" s="110">
        <f>SUM(D9:D14)</f>
        <v>1343376</v>
      </c>
      <c r="E16" s="106"/>
      <c r="F16" s="110">
        <f>SUM(F9:F14)</f>
        <v>1656700</v>
      </c>
      <c r="G16" s="151">
        <f t="shared" ref="G16:AK16" si="4">SUM(G9:G14)</f>
        <v>1475452.1</v>
      </c>
      <c r="H16" s="151">
        <f t="shared" si="4"/>
        <v>181247.9</v>
      </c>
      <c r="I16" s="110">
        <f t="shared" si="4"/>
        <v>0</v>
      </c>
      <c r="J16" s="151">
        <f t="shared" si="4"/>
        <v>15537.1</v>
      </c>
      <c r="K16" s="110">
        <f t="shared" si="4"/>
        <v>0</v>
      </c>
      <c r="L16" s="110">
        <f t="shared" si="4"/>
        <v>112906</v>
      </c>
      <c r="M16" s="110">
        <f t="shared" si="4"/>
        <v>78140</v>
      </c>
      <c r="N16" s="110">
        <f t="shared" si="4"/>
        <v>10651</v>
      </c>
      <c r="O16" s="110">
        <f t="shared" si="4"/>
        <v>140020</v>
      </c>
      <c r="P16" s="110">
        <f t="shared" si="4"/>
        <v>51249</v>
      </c>
      <c r="Q16" s="110">
        <f t="shared" si="4"/>
        <v>52911</v>
      </c>
      <c r="R16" s="110">
        <f t="shared" si="4"/>
        <v>60854</v>
      </c>
      <c r="S16" s="110">
        <f t="shared" si="4"/>
        <v>45712</v>
      </c>
      <c r="T16" s="110">
        <f t="shared" si="4"/>
        <v>339238</v>
      </c>
      <c r="U16" s="110">
        <f t="shared" si="4"/>
        <v>138820</v>
      </c>
      <c r="V16" s="110">
        <f t="shared" si="4"/>
        <v>12095</v>
      </c>
      <c r="W16" s="110">
        <f t="shared" si="4"/>
        <v>0</v>
      </c>
      <c r="X16" s="110">
        <f t="shared" si="4"/>
        <v>316599</v>
      </c>
      <c r="Y16" s="110">
        <f t="shared" si="4"/>
        <v>100720</v>
      </c>
      <c r="Z16" s="110">
        <f t="shared" si="4"/>
        <v>0</v>
      </c>
      <c r="AA16" s="110">
        <f t="shared" si="4"/>
        <v>0</v>
      </c>
      <c r="AB16" s="110">
        <f t="shared" si="4"/>
        <v>0</v>
      </c>
      <c r="AC16" s="110">
        <f t="shared" si="4"/>
        <v>0</v>
      </c>
      <c r="AD16" s="110">
        <f t="shared" si="4"/>
        <v>0</v>
      </c>
      <c r="AE16" s="110">
        <f t="shared" si="4"/>
        <v>0</v>
      </c>
      <c r="AF16" s="110">
        <f t="shared" si="4"/>
        <v>0</v>
      </c>
      <c r="AG16" s="110">
        <f t="shared" si="4"/>
        <v>0</v>
      </c>
      <c r="AH16" s="110">
        <f t="shared" si="4"/>
        <v>0</v>
      </c>
      <c r="AI16" s="110">
        <f t="shared" si="4"/>
        <v>0</v>
      </c>
      <c r="AJ16" s="110">
        <f t="shared" si="4"/>
        <v>0</v>
      </c>
      <c r="AK16" s="110">
        <f t="shared" si="4"/>
        <v>0</v>
      </c>
    </row>
    <row r="17" spans="1:37" s="17" customFormat="1" x14ac:dyDescent="0.3">
      <c r="A17" s="37"/>
      <c r="C17" s="16"/>
      <c r="D17" s="16"/>
      <c r="E17" s="16"/>
      <c r="F17" s="16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50"/>
      <c r="AK17" s="50"/>
    </row>
    <row r="18" spans="1:37" s="17" customFormat="1" x14ac:dyDescent="0.3">
      <c r="A18" s="37"/>
      <c r="C18" s="16"/>
      <c r="D18" s="16"/>
      <c r="E18" s="16"/>
      <c r="F18" s="16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50"/>
      <c r="AK18" s="50"/>
    </row>
    <row r="19" spans="1:37" s="17" customFormat="1" x14ac:dyDescent="0.3">
      <c r="A19" s="37"/>
      <c r="C19" s="16"/>
      <c r="D19" s="16"/>
      <c r="E19" s="16"/>
      <c r="F19" s="16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93"/>
      <c r="AK19" s="93"/>
    </row>
    <row r="20" spans="1:37" s="17" customFormat="1" x14ac:dyDescent="0.3">
      <c r="A20" s="37"/>
      <c r="C20" s="16"/>
      <c r="D20" s="16"/>
      <c r="E20" s="16"/>
      <c r="F20" s="16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50"/>
      <c r="AK20" s="50"/>
    </row>
    <row r="21" spans="1:37" s="17" customFormat="1" x14ac:dyDescent="0.3">
      <c r="A21" s="37"/>
      <c r="C21" s="16"/>
      <c r="D21" s="16"/>
      <c r="E21" s="16"/>
      <c r="F21" s="16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93"/>
      <c r="AK21" s="93"/>
    </row>
    <row r="22" spans="1:37" s="17" customFormat="1" x14ac:dyDescent="0.3">
      <c r="A22" s="37"/>
      <c r="C22" s="16"/>
      <c r="D22" s="16"/>
      <c r="E22" s="16"/>
      <c r="F22" s="16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50"/>
      <c r="AK22" s="50"/>
    </row>
    <row r="23" spans="1:37" s="17" customFormat="1" x14ac:dyDescent="0.3">
      <c r="A23" s="37"/>
      <c r="C23" s="16"/>
      <c r="D23" s="16"/>
      <c r="E23" s="16"/>
      <c r="F23" s="16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50"/>
      <c r="AK23" s="50"/>
    </row>
    <row r="24" spans="1:37" s="17" customFormat="1" x14ac:dyDescent="0.3">
      <c r="A24" s="37"/>
      <c r="C24" s="16"/>
      <c r="D24" s="16"/>
      <c r="E24" s="16"/>
      <c r="F24" s="16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50"/>
      <c r="AK24" s="50"/>
    </row>
    <row r="25" spans="1:37" s="17" customFormat="1" x14ac:dyDescent="0.3">
      <c r="A25" s="37"/>
      <c r="C25" s="16"/>
      <c r="D25" s="16"/>
      <c r="E25" s="16"/>
      <c r="F25" s="16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93"/>
      <c r="AK25" s="93"/>
    </row>
    <row r="26" spans="1:37" s="17" customFormat="1" x14ac:dyDescent="0.3">
      <c r="A26" s="37"/>
      <c r="C26" s="16"/>
      <c r="D26" s="16"/>
      <c r="E26" s="16"/>
      <c r="F26" s="16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93"/>
      <c r="AK26" s="93"/>
    </row>
    <row r="27" spans="1:37" s="17" customFormat="1" x14ac:dyDescent="0.3">
      <c r="A27" s="37"/>
      <c r="C27" s="16"/>
      <c r="D27" s="16"/>
      <c r="E27" s="16"/>
      <c r="F27" s="16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50"/>
      <c r="AK27" s="50"/>
    </row>
    <row r="28" spans="1:37" s="17" customFormat="1" x14ac:dyDescent="0.3">
      <c r="A28" s="37"/>
      <c r="C28" s="16"/>
      <c r="D28" s="16"/>
      <c r="E28" s="16"/>
      <c r="F28" s="16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50"/>
      <c r="AK28" s="50"/>
    </row>
    <row r="29" spans="1:37" s="17" customFormat="1" x14ac:dyDescent="0.3">
      <c r="A29" s="37"/>
      <c r="C29" s="16"/>
      <c r="D29" s="16"/>
      <c r="E29" s="16"/>
      <c r="F29" s="16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50"/>
      <c r="AK29" s="50"/>
    </row>
    <row r="30" spans="1:37" s="17" customFormat="1" x14ac:dyDescent="0.3">
      <c r="A30" s="37"/>
      <c r="C30" s="16"/>
      <c r="D30" s="16"/>
      <c r="E30" s="16"/>
      <c r="F30" s="16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50"/>
      <c r="AK30" s="50"/>
    </row>
    <row r="31" spans="1:37" s="17" customFormat="1" x14ac:dyDescent="0.3">
      <c r="A31" s="37"/>
      <c r="C31" s="16"/>
      <c r="D31" s="16"/>
      <c r="E31" s="16"/>
      <c r="F31" s="16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93"/>
      <c r="AK31" s="93"/>
    </row>
    <row r="32" spans="1:37" s="17" customFormat="1" x14ac:dyDescent="0.3">
      <c r="A32" s="37"/>
      <c r="C32" s="16"/>
      <c r="D32" s="16"/>
      <c r="E32" s="16"/>
      <c r="F32" s="16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93"/>
      <c r="AK32" s="93"/>
    </row>
    <row r="33" spans="1:37" s="17" customFormat="1" x14ac:dyDescent="0.3">
      <c r="A33" s="37"/>
      <c r="C33" s="16"/>
      <c r="D33" s="16"/>
      <c r="E33" s="16"/>
      <c r="F33" s="16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50"/>
      <c r="AK33" s="50"/>
    </row>
    <row r="34" spans="1:37" s="17" customFormat="1" x14ac:dyDescent="0.3">
      <c r="A34" s="37"/>
      <c r="C34" s="16"/>
      <c r="D34" s="16"/>
      <c r="E34" s="16"/>
      <c r="F34" s="16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93"/>
      <c r="AK34" s="93"/>
    </row>
    <row r="35" spans="1:37" s="17" customFormat="1" x14ac:dyDescent="0.3">
      <c r="A35" s="37"/>
      <c r="C35" s="16"/>
      <c r="D35" s="16"/>
      <c r="E35" s="16"/>
      <c r="F35" s="16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50"/>
      <c r="AK35" s="50"/>
    </row>
    <row r="36" spans="1:37" s="17" customFormat="1" x14ac:dyDescent="0.3">
      <c r="A36" s="37"/>
      <c r="C36" s="16"/>
      <c r="D36" s="16"/>
      <c r="E36" s="16"/>
      <c r="F36" s="16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50"/>
      <c r="AK36" s="50"/>
    </row>
    <row r="37" spans="1:37" s="17" customFormat="1" x14ac:dyDescent="0.3">
      <c r="A37" s="37"/>
      <c r="C37" s="16"/>
      <c r="D37" s="16"/>
      <c r="E37" s="16"/>
      <c r="F37" s="16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</row>
    <row r="38" spans="1:37" s="17" customFormat="1" x14ac:dyDescent="0.3">
      <c r="A38" s="37"/>
      <c r="C38" s="16"/>
      <c r="D38" s="16"/>
      <c r="E38" s="16"/>
      <c r="F38" s="16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30"/>
      <c r="AK38" s="30"/>
    </row>
    <row r="39" spans="1:37" s="17" customFormat="1" x14ac:dyDescent="0.3">
      <c r="A39" s="37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30"/>
      <c r="AK39" s="30"/>
    </row>
    <row r="40" spans="1:37" s="17" customFormat="1" x14ac:dyDescent="0.3">
      <c r="A40" s="37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30"/>
      <c r="AK40" s="30"/>
    </row>
    <row r="41" spans="1:37" s="17" customFormat="1" x14ac:dyDescent="0.3">
      <c r="A41" s="37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30"/>
      <c r="AK41" s="30"/>
    </row>
    <row r="42" spans="1:37" s="17" customFormat="1" x14ac:dyDescent="0.3">
      <c r="A42" s="37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30"/>
      <c r="AK42" s="30"/>
    </row>
    <row r="43" spans="1:37" s="17" customFormat="1" x14ac:dyDescent="0.3">
      <c r="A43" s="37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30"/>
      <c r="AK43" s="30"/>
    </row>
    <row r="44" spans="1:37" s="17" customFormat="1" x14ac:dyDescent="0.3">
      <c r="A44" s="37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30"/>
      <c r="AK44" s="30"/>
    </row>
    <row r="45" spans="1:37" s="17" customFormat="1" x14ac:dyDescent="0.3">
      <c r="A45" s="37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30"/>
      <c r="AK45" s="30"/>
    </row>
    <row r="46" spans="1:37" s="17" customFormat="1" x14ac:dyDescent="0.3">
      <c r="A46" s="37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30"/>
      <c r="AK46" s="30"/>
    </row>
    <row r="47" spans="1:37" s="17" customFormat="1" x14ac:dyDescent="0.3">
      <c r="A47" s="37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30"/>
      <c r="AK47" s="30"/>
    </row>
    <row r="48" spans="1:37" s="17" customFormat="1" x14ac:dyDescent="0.3">
      <c r="A48" s="37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30"/>
      <c r="AK48" s="30"/>
    </row>
    <row r="49" spans="9:37" x14ac:dyDescent="0.3"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AJ49" s="30"/>
      <c r="AK49" s="30"/>
    </row>
    <row r="50" spans="9:37" x14ac:dyDescent="0.3"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AJ50" s="30"/>
      <c r="AK50" s="30"/>
    </row>
    <row r="51" spans="9:37" x14ac:dyDescent="0.3"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</row>
    <row r="52" spans="9:37" x14ac:dyDescent="0.3"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</row>
    <row r="53" spans="9:37" x14ac:dyDescent="0.3"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</row>
    <row r="54" spans="9:37" x14ac:dyDescent="0.3"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</row>
    <row r="55" spans="9:37" x14ac:dyDescent="0.3"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</row>
    <row r="56" spans="9:37" x14ac:dyDescent="0.3"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</row>
  </sheetData>
  <sheetProtection algorithmName="SHA-512" hashValue="k5A5zsxYdz7ZotpQfhvR4wmWyM0G0GvhAiDo9fBZmYuTSJpmHgSmU6RJkg22sjtvH/I0DvNnZRjo9Yi3+ll6ZA==" saltValue="03puRqItc+2YkBDw+pRVWw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CFFCC"/>
  </sheetPr>
  <dimension ref="A1:AJ57"/>
  <sheetViews>
    <sheetView workbookViewId="0">
      <pane xSplit="9" ySplit="8" topLeftCell="AA27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A8" sqref="A8:XFD8"/>
    </sheetView>
  </sheetViews>
  <sheetFormatPr defaultColWidth="9.109375" defaultRowHeight="14.4" x14ac:dyDescent="0.3"/>
  <cols>
    <col min="1" max="1" width="9.109375" style="51"/>
    <col min="2" max="2" width="34.44140625" style="51" customWidth="1"/>
    <col min="3" max="3" width="9.6640625" style="51" customWidth="1"/>
    <col min="4" max="4" width="44.88671875" style="51" customWidth="1"/>
    <col min="5" max="10" width="14.6640625" style="51" customWidth="1"/>
    <col min="11" max="20" width="12.6640625" style="51" customWidth="1"/>
    <col min="21" max="21" width="14" style="51" customWidth="1"/>
    <col min="22" max="34" width="12.6640625" style="51" customWidth="1"/>
    <col min="35" max="36" width="21.33203125" style="50" customWidth="1"/>
    <col min="37" max="16384" width="9.109375" style="51"/>
  </cols>
  <sheetData>
    <row r="1" spans="1:36" ht="21" x14ac:dyDescent="0.4">
      <c r="A1" s="53" t="s">
        <v>0</v>
      </c>
      <c r="B1" s="59"/>
      <c r="C1" s="54" t="s">
        <v>50</v>
      </c>
      <c r="D1" s="54"/>
      <c r="E1" s="60"/>
      <c r="F1" s="60"/>
      <c r="G1" s="60"/>
      <c r="H1" s="60"/>
      <c r="I1" s="59"/>
      <c r="J1" s="59"/>
      <c r="K1" s="59"/>
      <c r="L1" s="59"/>
      <c r="M1" s="54"/>
      <c r="N1" s="59"/>
      <c r="O1" s="54" t="str">
        <f>$C$1</f>
        <v>Title V-B Charter School Grant Program C1</v>
      </c>
      <c r="P1" s="59"/>
      <c r="Q1" s="59"/>
      <c r="R1" s="59"/>
      <c r="S1" s="59"/>
      <c r="T1" s="54"/>
      <c r="U1" s="54" t="str">
        <f>$C$1</f>
        <v>Title V-B Charter School Grant Program C1</v>
      </c>
      <c r="V1" s="59"/>
      <c r="W1" s="59"/>
      <c r="X1" s="59"/>
      <c r="Y1" s="59"/>
      <c r="Z1" s="59"/>
      <c r="AA1" s="59"/>
      <c r="AB1" s="54" t="str">
        <f>$C$1</f>
        <v>Title V-B Charter School Grant Program C1</v>
      </c>
      <c r="AC1" s="59"/>
      <c r="AD1" s="59"/>
      <c r="AE1" s="59"/>
      <c r="AF1" s="59"/>
      <c r="AG1" s="59"/>
      <c r="AH1" s="59"/>
      <c r="AI1" s="53"/>
      <c r="AJ1" s="53"/>
    </row>
    <row r="2" spans="1:36" ht="21" x14ac:dyDescent="0.4">
      <c r="A2" s="53" t="s">
        <v>358</v>
      </c>
      <c r="B2" s="55"/>
      <c r="C2" s="54" t="s">
        <v>371</v>
      </c>
      <c r="D2" s="54"/>
      <c r="E2" s="60"/>
      <c r="F2" s="60"/>
      <c r="G2" s="60"/>
      <c r="H2" s="60"/>
      <c r="I2" s="59"/>
      <c r="J2" s="59"/>
      <c r="K2" s="59"/>
      <c r="L2" s="59"/>
      <c r="M2" s="56"/>
      <c r="N2" s="59"/>
      <c r="O2" s="56" t="str">
        <f>"FY"&amp;$C$4</f>
        <v>FY2017-18</v>
      </c>
      <c r="P2" s="59"/>
      <c r="Q2" s="59"/>
      <c r="R2" s="59"/>
      <c r="S2" s="59"/>
      <c r="T2" s="62"/>
      <c r="U2" s="56" t="str">
        <f>"FY"&amp;$C$4</f>
        <v>FY2017-18</v>
      </c>
      <c r="V2" s="59"/>
      <c r="W2" s="59"/>
      <c r="X2" s="59"/>
      <c r="Y2" s="59"/>
      <c r="Z2" s="59"/>
      <c r="AA2" s="59"/>
      <c r="AB2" s="56" t="str">
        <f>"FY"&amp;$C$4</f>
        <v>FY2017-18</v>
      </c>
      <c r="AC2" s="59"/>
      <c r="AD2" s="59"/>
      <c r="AE2" s="59"/>
      <c r="AF2" s="59"/>
      <c r="AG2" s="59"/>
      <c r="AH2" s="59"/>
      <c r="AI2" s="53"/>
      <c r="AJ2" s="53"/>
    </row>
    <row r="3" spans="1:36" ht="15.6" x14ac:dyDescent="0.3">
      <c r="A3" s="56" t="s">
        <v>1</v>
      </c>
      <c r="B3" s="59"/>
      <c r="C3" s="57">
        <v>5282</v>
      </c>
      <c r="D3" s="57"/>
      <c r="E3" s="60"/>
      <c r="F3" s="60"/>
      <c r="G3" s="60"/>
      <c r="H3" s="60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0"/>
      <c r="AJ3" s="60"/>
    </row>
    <row r="4" spans="1:36" ht="15.6" x14ac:dyDescent="0.3">
      <c r="A4" s="56" t="s">
        <v>2</v>
      </c>
      <c r="B4" s="59"/>
      <c r="C4" s="57" t="s">
        <v>241</v>
      </c>
      <c r="D4" s="57"/>
      <c r="E4" s="56"/>
      <c r="F4" s="56"/>
      <c r="G4" s="56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60"/>
      <c r="AJ4" s="60"/>
    </row>
    <row r="5" spans="1:36" ht="15.6" x14ac:dyDescent="0.3">
      <c r="A5" s="56" t="s">
        <v>18</v>
      </c>
      <c r="B5" s="59"/>
      <c r="C5" s="56" t="s">
        <v>419</v>
      </c>
      <c r="D5" s="56"/>
      <c r="E5" s="60"/>
      <c r="F5" s="60"/>
      <c r="G5" s="60"/>
      <c r="H5" s="58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8"/>
      <c r="AJ5" s="58"/>
    </row>
    <row r="6" spans="1:36" ht="15.6" x14ac:dyDescent="0.3">
      <c r="A6" s="56" t="s">
        <v>19</v>
      </c>
      <c r="B6" s="59"/>
      <c r="C6" s="56" t="s">
        <v>33</v>
      </c>
      <c r="D6" s="56"/>
      <c r="E6" s="60"/>
      <c r="F6" s="60"/>
      <c r="G6" s="60"/>
      <c r="H6" s="5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8"/>
      <c r="AJ6" s="58"/>
    </row>
    <row r="7" spans="1:36" ht="15" thickBot="1" x14ac:dyDescent="0.3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8"/>
      <c r="AJ7" s="58"/>
    </row>
    <row r="8" spans="1:36" ht="29.4" thickBot="1" x14ac:dyDescent="0.35">
      <c r="A8" s="63" t="s">
        <v>297</v>
      </c>
      <c r="B8" s="63" t="s">
        <v>298</v>
      </c>
      <c r="C8" s="63" t="s">
        <v>355</v>
      </c>
      <c r="D8" s="63" t="s">
        <v>45</v>
      </c>
      <c r="E8" s="61" t="s">
        <v>15</v>
      </c>
      <c r="F8" s="12" t="s">
        <v>354</v>
      </c>
      <c r="G8" s="12" t="s">
        <v>314</v>
      </c>
      <c r="H8" s="61" t="s">
        <v>16</v>
      </c>
      <c r="I8" s="25" t="s">
        <v>17</v>
      </c>
      <c r="J8" s="26" t="s">
        <v>420</v>
      </c>
      <c r="K8" s="26" t="s">
        <v>63</v>
      </c>
      <c r="L8" s="27" t="s">
        <v>64</v>
      </c>
      <c r="M8" s="26" t="s">
        <v>65</v>
      </c>
      <c r="N8" s="27" t="s">
        <v>66</v>
      </c>
      <c r="O8" s="26" t="s">
        <v>67</v>
      </c>
      <c r="P8" s="27" t="s">
        <v>68</v>
      </c>
      <c r="Q8" s="26" t="s">
        <v>69</v>
      </c>
      <c r="R8" s="27" t="s">
        <v>70</v>
      </c>
      <c r="S8" s="26" t="s">
        <v>71</v>
      </c>
      <c r="T8" s="27" t="s">
        <v>72</v>
      </c>
      <c r="U8" s="27" t="s">
        <v>73</v>
      </c>
      <c r="V8" s="27" t="s">
        <v>74</v>
      </c>
      <c r="W8" s="27" t="s">
        <v>242</v>
      </c>
      <c r="X8" s="27" t="s">
        <v>243</v>
      </c>
      <c r="Y8" s="27" t="s">
        <v>253</v>
      </c>
      <c r="Z8" s="27" t="s">
        <v>244</v>
      </c>
      <c r="AA8" s="27" t="s">
        <v>245</v>
      </c>
      <c r="AB8" s="27" t="s">
        <v>246</v>
      </c>
      <c r="AC8" s="27" t="s">
        <v>247</v>
      </c>
      <c r="AD8" s="27" t="s">
        <v>248</v>
      </c>
      <c r="AE8" s="27" t="s">
        <v>249</v>
      </c>
      <c r="AF8" s="27" t="s">
        <v>250</v>
      </c>
      <c r="AG8" s="27" t="s">
        <v>251</v>
      </c>
      <c r="AH8" s="27" t="s">
        <v>252</v>
      </c>
      <c r="AI8" s="61" t="s">
        <v>377</v>
      </c>
      <c r="AJ8" s="61" t="s">
        <v>378</v>
      </c>
    </row>
    <row r="9" spans="1:36" ht="15" thickBot="1" x14ac:dyDescent="0.35">
      <c r="A9" s="204" t="s">
        <v>204</v>
      </c>
      <c r="B9" s="81" t="s">
        <v>209</v>
      </c>
      <c r="C9" s="204" t="s">
        <v>303</v>
      </c>
      <c r="D9" s="205" t="s">
        <v>200</v>
      </c>
      <c r="E9" s="236">
        <v>153517</v>
      </c>
      <c r="F9" s="237">
        <v>0</v>
      </c>
      <c r="G9" s="237">
        <f t="shared" ref="G9:G37" si="0">E9+F9</f>
        <v>153517</v>
      </c>
      <c r="H9" s="236">
        <f t="shared" ref="H9:H29" si="1">SUM(L9:AH9)</f>
        <v>147218</v>
      </c>
      <c r="I9" s="236">
        <f t="shared" ref="I9:I37" si="2">E9-H9</f>
        <v>6299</v>
      </c>
      <c r="J9" s="246"/>
      <c r="K9" s="231"/>
      <c r="L9" s="231"/>
      <c r="M9" s="231"/>
      <c r="N9" s="231"/>
      <c r="O9" s="231">
        <v>13004</v>
      </c>
      <c r="P9" s="231"/>
      <c r="Q9" s="231">
        <v>35755</v>
      </c>
      <c r="R9" s="231"/>
      <c r="S9" s="231">
        <v>98459</v>
      </c>
      <c r="T9" s="231"/>
      <c r="U9" s="231"/>
      <c r="V9" s="231"/>
      <c r="W9" s="231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</row>
    <row r="10" spans="1:36" ht="15" thickBot="1" x14ac:dyDescent="0.35">
      <c r="A10" s="204" t="s">
        <v>4</v>
      </c>
      <c r="B10" s="81" t="s">
        <v>56</v>
      </c>
      <c r="C10" s="204" t="s">
        <v>300</v>
      </c>
      <c r="D10" s="205" t="s">
        <v>213</v>
      </c>
      <c r="E10" s="236">
        <v>195000</v>
      </c>
      <c r="F10" s="237">
        <v>0</v>
      </c>
      <c r="G10" s="237">
        <f t="shared" si="0"/>
        <v>195000</v>
      </c>
      <c r="H10" s="236">
        <f t="shared" si="1"/>
        <v>179299</v>
      </c>
      <c r="I10" s="236">
        <f t="shared" si="2"/>
        <v>15701</v>
      </c>
      <c r="J10" s="246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>
        <v>179299</v>
      </c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1" spans="1:36" ht="15" thickBot="1" x14ac:dyDescent="0.35">
      <c r="A11" s="204" t="s">
        <v>4</v>
      </c>
      <c r="B11" s="81" t="s">
        <v>119</v>
      </c>
      <c r="C11" s="209" t="s">
        <v>372</v>
      </c>
      <c r="D11" s="205" t="s">
        <v>195</v>
      </c>
      <c r="E11" s="236">
        <v>215000</v>
      </c>
      <c r="F11" s="237">
        <v>0</v>
      </c>
      <c r="G11" s="237">
        <f t="shared" si="0"/>
        <v>215000</v>
      </c>
      <c r="H11" s="236">
        <f t="shared" si="1"/>
        <v>215000</v>
      </c>
      <c r="I11" s="236">
        <f t="shared" si="2"/>
        <v>0</v>
      </c>
      <c r="J11" s="246"/>
      <c r="K11" s="238"/>
      <c r="L11" s="238"/>
      <c r="M11" s="238"/>
      <c r="N11" s="238"/>
      <c r="O11" s="238"/>
      <c r="P11" s="238"/>
      <c r="Q11" s="231"/>
      <c r="R11" s="231"/>
      <c r="S11" s="231"/>
      <c r="T11" s="231"/>
      <c r="U11" s="231">
        <v>215000</v>
      </c>
      <c r="V11" s="231"/>
      <c r="W11" s="231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</row>
    <row r="12" spans="1:36" ht="15" thickBot="1" x14ac:dyDescent="0.35">
      <c r="A12" s="204" t="s">
        <v>4</v>
      </c>
      <c r="B12" s="81" t="s">
        <v>56</v>
      </c>
      <c r="C12" s="209" t="s">
        <v>373</v>
      </c>
      <c r="D12" s="205" t="s">
        <v>196</v>
      </c>
      <c r="E12" s="236">
        <v>196500</v>
      </c>
      <c r="F12" s="237">
        <v>0</v>
      </c>
      <c r="G12" s="237">
        <f t="shared" si="0"/>
        <v>196500</v>
      </c>
      <c r="H12" s="236">
        <f t="shared" si="1"/>
        <v>196500</v>
      </c>
      <c r="I12" s="236">
        <f t="shared" si="2"/>
        <v>0</v>
      </c>
      <c r="J12" s="246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>
        <v>103140</v>
      </c>
      <c r="V12" s="231"/>
      <c r="W12" s="231">
        <v>2902</v>
      </c>
      <c r="X12" s="93">
        <v>90458</v>
      </c>
      <c r="Z12" s="93"/>
      <c r="AA12" s="93"/>
      <c r="AB12" s="93"/>
      <c r="AC12" s="93"/>
      <c r="AD12" s="93"/>
      <c r="AE12" s="93"/>
      <c r="AF12" s="93"/>
      <c r="AG12" s="93"/>
      <c r="AH12" s="93"/>
    </row>
    <row r="13" spans="1:36" ht="15" thickBot="1" x14ac:dyDescent="0.35">
      <c r="A13" s="204" t="s">
        <v>59</v>
      </c>
      <c r="B13" s="81" t="s">
        <v>208</v>
      </c>
      <c r="C13" s="204" t="s">
        <v>307</v>
      </c>
      <c r="D13" s="205" t="s">
        <v>199</v>
      </c>
      <c r="E13" s="236">
        <v>135000</v>
      </c>
      <c r="F13" s="237">
        <v>0</v>
      </c>
      <c r="G13" s="237">
        <f t="shared" si="0"/>
        <v>135000</v>
      </c>
      <c r="H13" s="236">
        <f t="shared" si="1"/>
        <v>105624</v>
      </c>
      <c r="I13" s="236">
        <f t="shared" si="2"/>
        <v>29376</v>
      </c>
      <c r="J13" s="246"/>
      <c r="K13" s="238"/>
      <c r="L13" s="238"/>
      <c r="M13" s="238"/>
      <c r="N13" s="238"/>
      <c r="O13" s="238">
        <v>32177</v>
      </c>
      <c r="P13" s="238"/>
      <c r="Q13" s="231">
        <v>15675</v>
      </c>
      <c r="R13" s="231"/>
      <c r="S13" s="231">
        <v>37450</v>
      </c>
      <c r="T13" s="231"/>
      <c r="U13" s="231">
        <v>20322</v>
      </c>
      <c r="V13" s="231"/>
      <c r="W13" s="231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</row>
    <row r="14" spans="1:36" ht="15" thickBot="1" x14ac:dyDescent="0.35">
      <c r="A14" s="204" t="s">
        <v>51</v>
      </c>
      <c r="B14" s="81" t="s">
        <v>27</v>
      </c>
      <c r="C14" s="209" t="s">
        <v>211</v>
      </c>
      <c r="D14" s="205" t="s">
        <v>212</v>
      </c>
      <c r="E14" s="236">
        <v>196500</v>
      </c>
      <c r="F14" s="237">
        <v>0</v>
      </c>
      <c r="G14" s="237">
        <f t="shared" si="0"/>
        <v>196500</v>
      </c>
      <c r="H14" s="236">
        <f t="shared" si="1"/>
        <v>139781</v>
      </c>
      <c r="I14" s="236">
        <f t="shared" si="2"/>
        <v>56719</v>
      </c>
      <c r="J14" s="246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>
        <v>139781</v>
      </c>
      <c r="V14" s="231"/>
      <c r="W14" s="231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</row>
    <row r="15" spans="1:36" ht="15" thickBot="1" x14ac:dyDescent="0.35">
      <c r="A15" s="204" t="s">
        <v>51</v>
      </c>
      <c r="B15" s="81" t="s">
        <v>27</v>
      </c>
      <c r="C15" s="204" t="s">
        <v>310</v>
      </c>
      <c r="D15" s="205" t="s">
        <v>315</v>
      </c>
      <c r="E15" s="236">
        <v>196500</v>
      </c>
      <c r="F15" s="237">
        <v>0</v>
      </c>
      <c r="G15" s="237">
        <f t="shared" si="0"/>
        <v>196500</v>
      </c>
      <c r="H15" s="236">
        <f t="shared" si="1"/>
        <v>153671</v>
      </c>
      <c r="I15" s="236">
        <f t="shared" si="2"/>
        <v>42829</v>
      </c>
      <c r="J15" s="246"/>
      <c r="K15" s="231"/>
      <c r="L15" s="231"/>
      <c r="M15" s="231"/>
      <c r="N15" s="231"/>
      <c r="O15" s="231">
        <v>69628</v>
      </c>
      <c r="P15" s="231"/>
      <c r="Q15" s="231">
        <v>5257</v>
      </c>
      <c r="R15" s="231"/>
      <c r="S15" s="231"/>
      <c r="T15" s="231"/>
      <c r="U15" s="231">
        <v>69541</v>
      </c>
      <c r="V15" s="231">
        <v>9245</v>
      </c>
      <c r="W15" s="231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51"/>
      <c r="AJ15" s="51"/>
    </row>
    <row r="16" spans="1:36" ht="15" thickBot="1" x14ac:dyDescent="0.35">
      <c r="A16" s="204" t="s">
        <v>51</v>
      </c>
      <c r="B16" s="81" t="s">
        <v>27</v>
      </c>
      <c r="C16" s="209" t="s">
        <v>345</v>
      </c>
      <c r="D16" s="205" t="s">
        <v>346</v>
      </c>
      <c r="E16" s="236">
        <v>346905</v>
      </c>
      <c r="F16" s="237">
        <v>0</v>
      </c>
      <c r="G16" s="237">
        <f t="shared" si="0"/>
        <v>346905</v>
      </c>
      <c r="H16" s="236">
        <f t="shared" si="1"/>
        <v>331081</v>
      </c>
      <c r="I16" s="236">
        <f t="shared" si="2"/>
        <v>15824</v>
      </c>
      <c r="J16" s="246"/>
      <c r="K16" s="231"/>
      <c r="L16" s="231"/>
      <c r="M16" s="231"/>
      <c r="N16" s="231"/>
      <c r="O16" s="231"/>
      <c r="P16" s="231"/>
      <c r="Q16" s="231"/>
      <c r="R16" s="231"/>
      <c r="S16" s="231">
        <v>10248</v>
      </c>
      <c r="T16" s="231"/>
      <c r="U16" s="231"/>
      <c r="V16" s="231">
        <v>76713</v>
      </c>
      <c r="W16" s="231"/>
      <c r="X16" s="93">
        <v>144535</v>
      </c>
      <c r="Y16" s="93">
        <v>97613</v>
      </c>
      <c r="Z16" s="93"/>
      <c r="AA16" s="93"/>
      <c r="AB16" s="93">
        <v>1972</v>
      </c>
      <c r="AC16" s="93"/>
      <c r="AD16" s="93"/>
      <c r="AE16" s="93"/>
      <c r="AF16" s="93"/>
      <c r="AG16" s="93"/>
      <c r="AH16" s="93"/>
      <c r="AI16" s="93"/>
      <c r="AJ16" s="93"/>
    </row>
    <row r="17" spans="1:36" ht="15" thickBot="1" x14ac:dyDescent="0.35">
      <c r="A17" s="204" t="s">
        <v>51</v>
      </c>
      <c r="B17" s="81" t="s">
        <v>27</v>
      </c>
      <c r="C17" s="209" t="s">
        <v>393</v>
      </c>
      <c r="D17" s="220" t="s">
        <v>394</v>
      </c>
      <c r="E17" s="236">
        <v>229250</v>
      </c>
      <c r="F17" s="237">
        <v>0</v>
      </c>
      <c r="G17" s="237">
        <f t="shared" si="0"/>
        <v>229250</v>
      </c>
      <c r="H17" s="236">
        <f t="shared" si="1"/>
        <v>229250</v>
      </c>
      <c r="I17" s="236">
        <f t="shared" si="2"/>
        <v>0</v>
      </c>
      <c r="J17" s="246"/>
      <c r="K17" s="231"/>
      <c r="L17" s="231"/>
      <c r="M17" s="231"/>
      <c r="N17" s="231"/>
      <c r="O17" s="231"/>
      <c r="P17" s="231"/>
      <c r="Q17" s="231"/>
      <c r="R17" s="231"/>
      <c r="S17" s="231">
        <v>42872</v>
      </c>
      <c r="T17" s="231"/>
      <c r="U17" s="231">
        <v>186378</v>
      </c>
      <c r="V17" s="231"/>
      <c r="W17" s="231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</row>
    <row r="18" spans="1:36" ht="15" thickBot="1" x14ac:dyDescent="0.35">
      <c r="A18" s="209" t="s">
        <v>51</v>
      </c>
      <c r="B18" s="81" t="s">
        <v>27</v>
      </c>
      <c r="C18" s="209" t="s">
        <v>383</v>
      </c>
      <c r="D18" s="220" t="s">
        <v>384</v>
      </c>
      <c r="E18" s="236">
        <v>247750</v>
      </c>
      <c r="F18" s="237">
        <v>0</v>
      </c>
      <c r="G18" s="237">
        <f t="shared" si="0"/>
        <v>247750</v>
      </c>
      <c r="H18" s="236">
        <f t="shared" si="1"/>
        <v>247750</v>
      </c>
      <c r="I18" s="236">
        <f t="shared" si="2"/>
        <v>0</v>
      </c>
      <c r="J18" s="246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>
        <f>57844+56448</f>
        <v>114292</v>
      </c>
      <c r="V18" s="231">
        <v>114958</v>
      </c>
      <c r="W18" s="231"/>
      <c r="X18" s="93">
        <v>18500</v>
      </c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1:36" ht="15" thickBot="1" x14ac:dyDescent="0.35">
      <c r="A19" s="204" t="s">
        <v>117</v>
      </c>
      <c r="B19" s="81" t="s">
        <v>206</v>
      </c>
      <c r="C19" s="204" t="s">
        <v>192</v>
      </c>
      <c r="D19" s="205" t="s">
        <v>193</v>
      </c>
      <c r="E19" s="236">
        <v>196500</v>
      </c>
      <c r="F19" s="237">
        <v>0</v>
      </c>
      <c r="G19" s="237">
        <f t="shared" si="0"/>
        <v>196500</v>
      </c>
      <c r="H19" s="236">
        <f t="shared" si="1"/>
        <v>196500</v>
      </c>
      <c r="I19" s="236">
        <f t="shared" si="2"/>
        <v>0</v>
      </c>
      <c r="J19" s="246"/>
      <c r="K19" s="238"/>
      <c r="L19" s="238"/>
      <c r="M19" s="238"/>
      <c r="N19" s="238">
        <v>117966</v>
      </c>
      <c r="O19" s="238"/>
      <c r="P19" s="238"/>
      <c r="Q19" s="231"/>
      <c r="R19" s="231">
        <v>44583</v>
      </c>
      <c r="S19" s="231"/>
      <c r="T19" s="231">
        <v>33951</v>
      </c>
      <c r="U19" s="231"/>
      <c r="V19" s="231"/>
      <c r="W19" s="231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</row>
    <row r="20" spans="1:36" ht="15" thickBot="1" x14ac:dyDescent="0.35">
      <c r="A20" s="204" t="s">
        <v>117</v>
      </c>
      <c r="B20" s="81" t="s">
        <v>206</v>
      </c>
      <c r="C20" s="204" t="s">
        <v>309</v>
      </c>
      <c r="D20" s="205" t="s">
        <v>197</v>
      </c>
      <c r="E20" s="236">
        <v>196500</v>
      </c>
      <c r="F20" s="237">
        <v>0</v>
      </c>
      <c r="G20" s="237">
        <f t="shared" si="0"/>
        <v>196500</v>
      </c>
      <c r="H20" s="236">
        <f t="shared" si="1"/>
        <v>196499.89</v>
      </c>
      <c r="I20" s="236">
        <f t="shared" si="2"/>
        <v>0.10999999998603016</v>
      </c>
      <c r="J20" s="246"/>
      <c r="K20" s="231"/>
      <c r="L20" s="231"/>
      <c r="M20" s="231"/>
      <c r="N20" s="231"/>
      <c r="O20" s="231"/>
      <c r="P20" s="231"/>
      <c r="Q20" s="231">
        <v>156779</v>
      </c>
      <c r="R20" s="231"/>
      <c r="S20" s="231">
        <v>39657</v>
      </c>
      <c r="T20" s="231">
        <f>64+-17799.11</f>
        <v>-17735.11</v>
      </c>
      <c r="U20" s="231">
        <v>17799</v>
      </c>
      <c r="V20" s="231"/>
      <c r="W20" s="231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</row>
    <row r="21" spans="1:36" ht="15" thickBot="1" x14ac:dyDescent="0.35">
      <c r="A21" s="204" t="s">
        <v>117</v>
      </c>
      <c r="B21" s="81" t="s">
        <v>227</v>
      </c>
      <c r="C21" s="209" t="s">
        <v>343</v>
      </c>
      <c r="D21" s="205" t="s">
        <v>344</v>
      </c>
      <c r="E21" s="236">
        <v>229250</v>
      </c>
      <c r="F21" s="237">
        <v>0</v>
      </c>
      <c r="G21" s="237">
        <f t="shared" si="0"/>
        <v>229250</v>
      </c>
      <c r="H21" s="236">
        <f t="shared" si="1"/>
        <v>229250</v>
      </c>
      <c r="I21" s="236">
        <f t="shared" si="2"/>
        <v>0</v>
      </c>
      <c r="J21" s="246"/>
      <c r="K21" s="239"/>
      <c r="L21" s="239"/>
      <c r="M21" s="239"/>
      <c r="N21" s="239"/>
      <c r="O21" s="239"/>
      <c r="P21" s="239"/>
      <c r="Q21" s="231">
        <v>39175</v>
      </c>
      <c r="R21" s="231"/>
      <c r="S21" s="231">
        <v>100933</v>
      </c>
      <c r="T21" s="231">
        <v>17380</v>
      </c>
      <c r="U21" s="231"/>
      <c r="V21" s="231">
        <v>71762</v>
      </c>
      <c r="W21" s="231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</row>
    <row r="22" spans="1:36" ht="15" thickBot="1" x14ac:dyDescent="0.35">
      <c r="A22" s="209" t="s">
        <v>389</v>
      </c>
      <c r="B22" s="81" t="s">
        <v>390</v>
      </c>
      <c r="C22" s="209" t="s">
        <v>391</v>
      </c>
      <c r="D22" s="220" t="s">
        <v>392</v>
      </c>
      <c r="E22" s="236">
        <v>229250</v>
      </c>
      <c r="F22" s="237">
        <v>0</v>
      </c>
      <c r="G22" s="237">
        <f t="shared" si="0"/>
        <v>229250</v>
      </c>
      <c r="H22" s="236">
        <f t="shared" si="1"/>
        <v>229250</v>
      </c>
      <c r="I22" s="236">
        <f t="shared" si="2"/>
        <v>0</v>
      </c>
      <c r="J22" s="246"/>
      <c r="K22" s="238"/>
      <c r="L22" s="238"/>
      <c r="M22" s="238"/>
      <c r="N22" s="238"/>
      <c r="O22" s="238"/>
      <c r="P22" s="238"/>
      <c r="Q22" s="231"/>
      <c r="R22" s="231"/>
      <c r="S22" s="231"/>
      <c r="T22" s="231">
        <v>225637</v>
      </c>
      <c r="U22" s="231"/>
      <c r="V22" s="231"/>
      <c r="W22" s="231"/>
      <c r="X22" s="93"/>
      <c r="Y22" s="93"/>
      <c r="Z22" s="93">
        <v>3613</v>
      </c>
      <c r="AA22" s="93"/>
      <c r="AB22" s="93"/>
      <c r="AC22" s="93"/>
      <c r="AD22" s="93"/>
      <c r="AE22" s="93"/>
      <c r="AF22" s="93"/>
      <c r="AG22" s="93"/>
      <c r="AH22" s="93"/>
    </row>
    <row r="23" spans="1:36" ht="15" thickBot="1" x14ac:dyDescent="0.35">
      <c r="A23" s="204" t="s">
        <v>178</v>
      </c>
      <c r="B23" s="81" t="s">
        <v>351</v>
      </c>
      <c r="C23" s="209" t="s">
        <v>349</v>
      </c>
      <c r="D23" s="205" t="s">
        <v>350</v>
      </c>
      <c r="E23" s="236">
        <v>229250</v>
      </c>
      <c r="F23" s="237">
        <v>0</v>
      </c>
      <c r="G23" s="237">
        <f t="shared" si="0"/>
        <v>229250</v>
      </c>
      <c r="H23" s="236">
        <f t="shared" si="1"/>
        <v>229225</v>
      </c>
      <c r="I23" s="236">
        <f t="shared" si="2"/>
        <v>25</v>
      </c>
      <c r="J23" s="246"/>
      <c r="K23" s="231"/>
      <c r="L23" s="231"/>
      <c r="M23" s="231"/>
      <c r="N23" s="231"/>
      <c r="O23" s="231"/>
      <c r="P23" s="231"/>
      <c r="Q23" s="231"/>
      <c r="R23" s="231"/>
      <c r="S23" s="231">
        <f>39805+2644</f>
        <v>42449</v>
      </c>
      <c r="T23" s="231"/>
      <c r="U23" s="231">
        <v>34748</v>
      </c>
      <c r="V23" s="231">
        <f>148601+3427</f>
        <v>152028</v>
      </c>
      <c r="W23" s="231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</row>
    <row r="24" spans="1:36" ht="15" thickBot="1" x14ac:dyDescent="0.35">
      <c r="A24" s="204" t="s">
        <v>30</v>
      </c>
      <c r="B24" s="81" t="s">
        <v>43</v>
      </c>
      <c r="C24" s="204" t="s">
        <v>302</v>
      </c>
      <c r="D24" s="205" t="s">
        <v>201</v>
      </c>
      <c r="E24" s="236">
        <v>129856</v>
      </c>
      <c r="F24" s="237">
        <v>0</v>
      </c>
      <c r="G24" s="237">
        <f t="shared" si="0"/>
        <v>129856</v>
      </c>
      <c r="H24" s="236">
        <f t="shared" si="1"/>
        <v>129856</v>
      </c>
      <c r="I24" s="236">
        <f t="shared" si="2"/>
        <v>0</v>
      </c>
      <c r="J24" s="246"/>
      <c r="K24" s="240"/>
      <c r="L24" s="240"/>
      <c r="M24" s="241">
        <v>12200</v>
      </c>
      <c r="N24" s="240"/>
      <c r="O24" s="231">
        <v>14414</v>
      </c>
      <c r="P24" s="231">
        <v>62201</v>
      </c>
      <c r="Q24" s="241">
        <v>22262</v>
      </c>
      <c r="R24" s="231">
        <v>4631</v>
      </c>
      <c r="S24" s="241">
        <v>9860</v>
      </c>
      <c r="T24" s="241">
        <v>3477</v>
      </c>
      <c r="U24" s="240"/>
      <c r="V24" s="231">
        <v>811</v>
      </c>
      <c r="W24" s="240">
        <v>0</v>
      </c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</row>
    <row r="25" spans="1:36" ht="15" thickBot="1" x14ac:dyDescent="0.35">
      <c r="A25" s="204" t="s">
        <v>30</v>
      </c>
      <c r="B25" s="81" t="s">
        <v>43</v>
      </c>
      <c r="C25" s="209" t="s">
        <v>382</v>
      </c>
      <c r="D25" s="205" t="s">
        <v>299</v>
      </c>
      <c r="E25" s="236">
        <v>196500</v>
      </c>
      <c r="F25" s="237">
        <v>0</v>
      </c>
      <c r="G25" s="237">
        <f t="shared" si="0"/>
        <v>196500</v>
      </c>
      <c r="H25" s="236">
        <f t="shared" si="1"/>
        <v>179509.17</v>
      </c>
      <c r="I25" s="236">
        <f t="shared" si="2"/>
        <v>16990.829999999987</v>
      </c>
      <c r="J25" s="246"/>
      <c r="K25" s="231"/>
      <c r="L25" s="231"/>
      <c r="M25" s="231"/>
      <c r="N25" s="231"/>
      <c r="O25" s="231"/>
      <c r="P25" s="231">
        <v>83107</v>
      </c>
      <c r="Q25" s="231">
        <v>1098</v>
      </c>
      <c r="R25" s="231">
        <v>17025</v>
      </c>
      <c r="S25" s="231">
        <v>17206</v>
      </c>
      <c r="T25" s="231">
        <v>34149</v>
      </c>
      <c r="U25" s="231"/>
      <c r="V25" s="231">
        <v>31893</v>
      </c>
      <c r="W25" s="231">
        <v>-4968.83</v>
      </c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</row>
    <row r="26" spans="1:36" ht="15" thickBot="1" x14ac:dyDescent="0.35">
      <c r="A26" s="204" t="s">
        <v>203</v>
      </c>
      <c r="B26" s="81" t="s">
        <v>205</v>
      </c>
      <c r="C26" s="209" t="s">
        <v>374</v>
      </c>
      <c r="D26" s="205" t="s">
        <v>194</v>
      </c>
      <c r="E26" s="236">
        <v>215000</v>
      </c>
      <c r="F26" s="237">
        <v>0</v>
      </c>
      <c r="G26" s="237">
        <f t="shared" si="0"/>
        <v>215000</v>
      </c>
      <c r="H26" s="236">
        <f t="shared" si="1"/>
        <v>215000</v>
      </c>
      <c r="I26" s="236">
        <f t="shared" si="2"/>
        <v>0</v>
      </c>
      <c r="J26" s="246"/>
      <c r="K26" s="231"/>
      <c r="L26" s="231"/>
      <c r="M26" s="231"/>
      <c r="N26" s="231"/>
      <c r="O26" s="231"/>
      <c r="P26" s="231">
        <v>80634</v>
      </c>
      <c r="Q26" s="231"/>
      <c r="R26" s="231">
        <v>42224</v>
      </c>
      <c r="S26" s="231">
        <v>56528</v>
      </c>
      <c r="T26" s="231"/>
      <c r="U26" s="231">
        <v>35614</v>
      </c>
      <c r="V26" s="231"/>
      <c r="W26" s="231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</row>
    <row r="27" spans="1:36" ht="15" thickBot="1" x14ac:dyDescent="0.35">
      <c r="A27" s="209" t="s">
        <v>53</v>
      </c>
      <c r="B27" s="81" t="s">
        <v>57</v>
      </c>
      <c r="C27" s="209" t="s">
        <v>380</v>
      </c>
      <c r="D27" s="220" t="s">
        <v>381</v>
      </c>
      <c r="E27" s="236">
        <v>229250</v>
      </c>
      <c r="F27" s="237">
        <v>0</v>
      </c>
      <c r="G27" s="237">
        <f t="shared" si="0"/>
        <v>229250</v>
      </c>
      <c r="H27" s="236">
        <f t="shared" si="1"/>
        <v>229250</v>
      </c>
      <c r="I27" s="236">
        <f t="shared" si="2"/>
        <v>0</v>
      </c>
      <c r="J27" s="246"/>
      <c r="K27" s="231"/>
      <c r="L27" s="231"/>
      <c r="M27" s="231"/>
      <c r="N27" s="231"/>
      <c r="O27" s="231"/>
      <c r="P27" s="231"/>
      <c r="Q27" s="231">
        <v>62897</v>
      </c>
      <c r="R27" s="231">
        <v>26448</v>
      </c>
      <c r="S27" s="231">
        <v>71569</v>
      </c>
      <c r="T27" s="232">
        <v>16193</v>
      </c>
      <c r="U27" s="231">
        <v>52143</v>
      </c>
      <c r="V27" s="231"/>
      <c r="W27" s="231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</row>
    <row r="28" spans="1:36" ht="15" thickBot="1" x14ac:dyDescent="0.35">
      <c r="A28" s="204" t="s">
        <v>35</v>
      </c>
      <c r="B28" s="81" t="s">
        <v>207</v>
      </c>
      <c r="C28" s="204" t="s">
        <v>308</v>
      </c>
      <c r="D28" s="205" t="s">
        <v>198</v>
      </c>
      <c r="E28" s="236">
        <v>196500</v>
      </c>
      <c r="F28" s="237">
        <v>0</v>
      </c>
      <c r="G28" s="237">
        <f t="shared" si="0"/>
        <v>196500</v>
      </c>
      <c r="H28" s="236">
        <f t="shared" si="1"/>
        <v>192539</v>
      </c>
      <c r="I28" s="236">
        <f t="shared" si="2"/>
        <v>3961</v>
      </c>
      <c r="J28" s="246"/>
      <c r="K28" s="231"/>
      <c r="L28" s="231">
        <v>49299</v>
      </c>
      <c r="M28" s="231"/>
      <c r="N28" s="231">
        <v>81194</v>
      </c>
      <c r="O28" s="231"/>
      <c r="P28" s="231"/>
      <c r="Q28" s="231"/>
      <c r="R28" s="231"/>
      <c r="S28" s="231"/>
      <c r="T28" s="231"/>
      <c r="U28" s="231">
        <v>62046</v>
      </c>
      <c r="V28" s="231"/>
      <c r="W28" s="231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</row>
    <row r="29" spans="1:36" ht="15" thickBot="1" x14ac:dyDescent="0.35">
      <c r="A29" s="204" t="s">
        <v>54</v>
      </c>
      <c r="B29" s="81" t="s">
        <v>58</v>
      </c>
      <c r="C29" s="204" t="s">
        <v>301</v>
      </c>
      <c r="D29" s="205" t="s">
        <v>214</v>
      </c>
      <c r="E29" s="236">
        <v>196500</v>
      </c>
      <c r="F29" s="237">
        <v>0</v>
      </c>
      <c r="G29" s="237">
        <f t="shared" si="0"/>
        <v>196500</v>
      </c>
      <c r="H29" s="236">
        <f t="shared" si="1"/>
        <v>191328</v>
      </c>
      <c r="I29" s="236">
        <f t="shared" si="2"/>
        <v>5172</v>
      </c>
      <c r="J29" s="246"/>
      <c r="K29" s="231"/>
      <c r="L29" s="231"/>
      <c r="M29" s="231"/>
      <c r="N29" s="231"/>
      <c r="O29" s="231">
        <v>47585</v>
      </c>
      <c r="P29" s="231"/>
      <c r="Q29" s="231">
        <v>137030</v>
      </c>
      <c r="R29" s="231"/>
      <c r="S29" s="231">
        <v>6713</v>
      </c>
      <c r="T29" s="231"/>
      <c r="U29" s="231"/>
      <c r="V29" s="231"/>
      <c r="W29" s="231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</row>
    <row r="30" spans="1:36" ht="15" thickBot="1" x14ac:dyDescent="0.35">
      <c r="A30" s="209" t="s">
        <v>54</v>
      </c>
      <c r="B30" s="81" t="s">
        <v>58</v>
      </c>
      <c r="C30" s="244">
        <v>2196</v>
      </c>
      <c r="D30" s="221" t="s">
        <v>388</v>
      </c>
      <c r="E30" s="236">
        <v>229250</v>
      </c>
      <c r="F30" s="237">
        <v>0</v>
      </c>
      <c r="G30" s="237">
        <f t="shared" si="0"/>
        <v>229250</v>
      </c>
      <c r="H30" s="236">
        <f>SUM(J30:AH30)</f>
        <v>81839</v>
      </c>
      <c r="I30" s="236">
        <f t="shared" si="2"/>
        <v>147411</v>
      </c>
      <c r="J30" s="246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>
        <v>81839</v>
      </c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</row>
    <row r="31" spans="1:36" ht="15" thickBot="1" x14ac:dyDescent="0.35">
      <c r="A31" s="204" t="s">
        <v>54</v>
      </c>
      <c r="B31" s="81" t="s">
        <v>58</v>
      </c>
      <c r="C31" s="209" t="s">
        <v>210</v>
      </c>
      <c r="D31" s="205" t="s">
        <v>304</v>
      </c>
      <c r="E31" s="236">
        <v>112500</v>
      </c>
      <c r="F31" s="237">
        <v>0</v>
      </c>
      <c r="G31" s="237">
        <f t="shared" si="0"/>
        <v>112500</v>
      </c>
      <c r="H31" s="236">
        <f>SUM(L31:AH31)</f>
        <v>91861</v>
      </c>
      <c r="I31" s="236">
        <f t="shared" si="2"/>
        <v>20639</v>
      </c>
      <c r="J31" s="246"/>
      <c r="K31" s="231"/>
      <c r="L31" s="231"/>
      <c r="M31" s="231"/>
      <c r="N31" s="231"/>
      <c r="O31" s="231"/>
      <c r="P31" s="231"/>
      <c r="Q31" s="231"/>
      <c r="R31" s="231"/>
      <c r="S31" s="231">
        <f>26664+48126</f>
        <v>74790</v>
      </c>
      <c r="T31" s="231">
        <v>17071</v>
      </c>
      <c r="U31" s="231"/>
      <c r="V31" s="231"/>
      <c r="W31" s="231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</row>
    <row r="32" spans="1:36" ht="15" thickBot="1" x14ac:dyDescent="0.35">
      <c r="A32" s="204" t="s">
        <v>54</v>
      </c>
      <c r="B32" s="81" t="s">
        <v>58</v>
      </c>
      <c r="C32" s="204" t="s">
        <v>352</v>
      </c>
      <c r="D32" s="220" t="s">
        <v>428</v>
      </c>
      <c r="E32" s="236">
        <v>156000</v>
      </c>
      <c r="F32" s="237">
        <v>0</v>
      </c>
      <c r="G32" s="237">
        <f t="shared" si="0"/>
        <v>156000</v>
      </c>
      <c r="H32" s="236">
        <f>SUM(L32:AH32)</f>
        <v>156000</v>
      </c>
      <c r="I32" s="236">
        <f t="shared" si="2"/>
        <v>0</v>
      </c>
      <c r="J32" s="246"/>
      <c r="K32" s="231"/>
      <c r="L32" s="231"/>
      <c r="M32" s="231"/>
      <c r="N32" s="231"/>
      <c r="O32" s="231">
        <v>28080</v>
      </c>
      <c r="P32" s="231">
        <v>14785</v>
      </c>
      <c r="Q32" s="231"/>
      <c r="R32" s="231">
        <v>25371</v>
      </c>
      <c r="S32" s="231">
        <f>16306+17934</f>
        <v>34240</v>
      </c>
      <c r="T32" s="231">
        <v>52588</v>
      </c>
      <c r="U32" s="231"/>
      <c r="V32" s="231">
        <v>936</v>
      </c>
      <c r="W32" s="231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</row>
    <row r="33" spans="1:36" ht="15" thickBot="1" x14ac:dyDescent="0.35">
      <c r="A33" s="204" t="s">
        <v>54</v>
      </c>
      <c r="B33" s="81" t="s">
        <v>58</v>
      </c>
      <c r="C33" s="204" t="s">
        <v>305</v>
      </c>
      <c r="D33" s="205" t="s">
        <v>202</v>
      </c>
      <c r="E33" s="236">
        <v>90000</v>
      </c>
      <c r="F33" s="237">
        <v>0</v>
      </c>
      <c r="G33" s="237">
        <f t="shared" si="0"/>
        <v>90000</v>
      </c>
      <c r="H33" s="236">
        <f>SUM(J33:AH33)</f>
        <v>89686</v>
      </c>
      <c r="I33" s="236">
        <f t="shared" si="2"/>
        <v>314</v>
      </c>
      <c r="J33" s="246">
        <v>200</v>
      </c>
      <c r="K33" s="231"/>
      <c r="L33" s="231"/>
      <c r="M33" s="231"/>
      <c r="N33" s="231"/>
      <c r="O33" s="231">
        <v>53869</v>
      </c>
      <c r="P33" s="231"/>
      <c r="Q33" s="231">
        <v>11676</v>
      </c>
      <c r="R33" s="231"/>
      <c r="S33" s="231"/>
      <c r="T33" s="231">
        <v>23941</v>
      </c>
      <c r="U33" s="231"/>
      <c r="V33" s="231"/>
      <c r="W33" s="231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</row>
    <row r="34" spans="1:36" ht="15" thickBot="1" x14ac:dyDescent="0.35">
      <c r="A34" s="204" t="s">
        <v>54</v>
      </c>
      <c r="B34" s="81" t="s">
        <v>58</v>
      </c>
      <c r="C34" s="204" t="s">
        <v>306</v>
      </c>
      <c r="D34" s="205" t="s">
        <v>215</v>
      </c>
      <c r="E34" s="236">
        <v>69000</v>
      </c>
      <c r="F34" s="237">
        <v>0</v>
      </c>
      <c r="G34" s="237">
        <f t="shared" si="0"/>
        <v>69000</v>
      </c>
      <c r="H34" s="236">
        <f>SUM(J34:AH34)</f>
        <v>67776</v>
      </c>
      <c r="I34" s="236">
        <f t="shared" si="2"/>
        <v>1224</v>
      </c>
      <c r="J34" s="246"/>
      <c r="K34" s="231"/>
      <c r="L34" s="231"/>
      <c r="M34" s="231"/>
      <c r="N34" s="231"/>
      <c r="O34" s="231"/>
      <c r="P34" s="231"/>
      <c r="Q34" s="231"/>
      <c r="R34" s="231"/>
      <c r="S34" s="231">
        <f>8016-559.96</f>
        <v>7456.04</v>
      </c>
      <c r="T34" s="231"/>
      <c r="U34" s="231"/>
      <c r="V34" s="231">
        <v>16024</v>
      </c>
      <c r="W34" s="231"/>
      <c r="X34" s="93">
        <v>33693</v>
      </c>
      <c r="Y34" s="93"/>
      <c r="Z34" s="93">
        <v>2826.96</v>
      </c>
      <c r="AA34" s="93">
        <v>7776</v>
      </c>
      <c r="AB34" s="93"/>
      <c r="AC34" s="93"/>
      <c r="AD34" s="93"/>
      <c r="AE34" s="93"/>
      <c r="AF34" s="93"/>
      <c r="AG34" s="93"/>
      <c r="AH34" s="93"/>
    </row>
    <row r="35" spans="1:36" ht="15" thickBot="1" x14ac:dyDescent="0.35">
      <c r="A35" s="204" t="s">
        <v>54</v>
      </c>
      <c r="B35" s="81" t="s">
        <v>58</v>
      </c>
      <c r="C35" s="244">
        <v>8825</v>
      </c>
      <c r="D35" s="220" t="s">
        <v>418</v>
      </c>
      <c r="E35" s="236">
        <v>247750</v>
      </c>
      <c r="F35" s="237">
        <v>0</v>
      </c>
      <c r="G35" s="237">
        <f t="shared" si="0"/>
        <v>247750</v>
      </c>
      <c r="H35" s="236">
        <f>SUM(J35:AH35)</f>
        <v>247750</v>
      </c>
      <c r="I35" s="236">
        <f t="shared" si="2"/>
        <v>0</v>
      </c>
      <c r="J35" s="246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>
        <v>247750</v>
      </c>
      <c r="W35" s="231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</row>
    <row r="36" spans="1:36" ht="15" thickBot="1" x14ac:dyDescent="0.35">
      <c r="A36" s="204" t="s">
        <v>54</v>
      </c>
      <c r="B36" s="81" t="s">
        <v>58</v>
      </c>
      <c r="C36" s="204" t="s">
        <v>347</v>
      </c>
      <c r="D36" s="205" t="s">
        <v>348</v>
      </c>
      <c r="E36" s="236">
        <v>346905</v>
      </c>
      <c r="F36" s="237">
        <v>0</v>
      </c>
      <c r="G36" s="237">
        <f t="shared" si="0"/>
        <v>346905</v>
      </c>
      <c r="H36" s="236">
        <f>SUM(J36:AH36)</f>
        <v>315192</v>
      </c>
      <c r="I36" s="236">
        <f t="shared" si="2"/>
        <v>31713</v>
      </c>
      <c r="J36" s="246"/>
      <c r="K36" s="231"/>
      <c r="L36" s="231"/>
      <c r="M36" s="231"/>
      <c r="N36" s="231"/>
      <c r="O36" s="231">
        <v>49599</v>
      </c>
      <c r="P36" s="231">
        <v>11475</v>
      </c>
      <c r="Q36" s="231">
        <v>32525</v>
      </c>
      <c r="R36" s="231"/>
      <c r="S36" s="231">
        <v>20644</v>
      </c>
      <c r="T36" s="231">
        <v>119589</v>
      </c>
      <c r="U36" s="231"/>
      <c r="V36" s="231">
        <v>81360</v>
      </c>
      <c r="W36" s="231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</row>
    <row r="37" spans="1:36" ht="15" thickBot="1" x14ac:dyDescent="0.35">
      <c r="A37" s="209" t="s">
        <v>54</v>
      </c>
      <c r="B37" s="221" t="s">
        <v>58</v>
      </c>
      <c r="C37" s="244" t="s">
        <v>385</v>
      </c>
      <c r="D37" s="220" t="s">
        <v>386</v>
      </c>
      <c r="E37" s="236">
        <v>229250</v>
      </c>
      <c r="F37" s="237">
        <v>0</v>
      </c>
      <c r="G37" s="237">
        <f t="shared" si="0"/>
        <v>229250</v>
      </c>
      <c r="H37" s="236">
        <f>SUM(J37:AH37)</f>
        <v>218779</v>
      </c>
      <c r="I37" s="236">
        <f t="shared" si="2"/>
        <v>10471</v>
      </c>
      <c r="J37" s="246"/>
      <c r="K37" s="231"/>
      <c r="L37" s="231"/>
      <c r="M37" s="231"/>
      <c r="N37" s="231"/>
      <c r="O37" s="231"/>
      <c r="P37" s="231"/>
      <c r="Q37" s="231">
        <v>39837</v>
      </c>
      <c r="R37" s="231"/>
      <c r="S37" s="231">
        <v>43538</v>
      </c>
      <c r="T37" s="231">
        <f>22680+74336</f>
        <v>97016</v>
      </c>
      <c r="U37" s="231"/>
      <c r="V37" s="231">
        <v>38388</v>
      </c>
      <c r="W37" s="231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</row>
    <row r="38" spans="1:36" ht="15" thickBot="1" x14ac:dyDescent="0.35">
      <c r="A38" s="160"/>
      <c r="B38" s="160"/>
      <c r="C38" s="160"/>
      <c r="D38" s="160"/>
      <c r="E38" s="242"/>
      <c r="F38" s="242"/>
      <c r="G38" s="242"/>
      <c r="H38" s="242"/>
      <c r="I38" s="242"/>
      <c r="J38" s="247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</row>
    <row r="39" spans="1:36" ht="15" thickBot="1" x14ac:dyDescent="0.35">
      <c r="A39" s="208" t="s">
        <v>49</v>
      </c>
      <c r="B39" s="160"/>
      <c r="C39" s="160"/>
      <c r="D39" s="160"/>
      <c r="E39" s="242">
        <f>SUM(E9:E37)</f>
        <v>5836933</v>
      </c>
      <c r="F39" s="242">
        <v>0</v>
      </c>
      <c r="G39" s="242">
        <f>E39+F39</f>
        <v>5836933</v>
      </c>
      <c r="H39" s="242">
        <f t="shared" ref="H39:AH39" si="3">SUM(H9:H37)</f>
        <v>5432264.0600000005</v>
      </c>
      <c r="I39" s="242">
        <f t="shared" si="3"/>
        <v>404668.93999999994</v>
      </c>
      <c r="J39" s="247"/>
      <c r="K39" s="243">
        <f t="shared" si="3"/>
        <v>0</v>
      </c>
      <c r="L39" s="243">
        <f t="shared" si="3"/>
        <v>49299</v>
      </c>
      <c r="M39" s="243">
        <f t="shared" si="3"/>
        <v>12200</v>
      </c>
      <c r="N39" s="243">
        <f t="shared" si="3"/>
        <v>199160</v>
      </c>
      <c r="O39" s="243">
        <f t="shared" si="3"/>
        <v>308356</v>
      </c>
      <c r="P39" s="243">
        <f t="shared" si="3"/>
        <v>252202</v>
      </c>
      <c r="Q39" s="243">
        <f t="shared" si="3"/>
        <v>559966</v>
      </c>
      <c r="R39" s="243">
        <f t="shared" si="3"/>
        <v>160282</v>
      </c>
      <c r="S39" s="243">
        <f t="shared" si="3"/>
        <v>714612.04</v>
      </c>
      <c r="T39" s="243">
        <f t="shared" si="3"/>
        <v>623256.89</v>
      </c>
      <c r="U39" s="243">
        <f t="shared" si="3"/>
        <v>1050804</v>
      </c>
      <c r="V39" s="243">
        <f t="shared" si="3"/>
        <v>841868</v>
      </c>
      <c r="W39" s="243">
        <f t="shared" si="3"/>
        <v>259071.17</v>
      </c>
      <c r="X39" s="154">
        <f t="shared" si="3"/>
        <v>287186</v>
      </c>
      <c r="Y39" s="154">
        <f t="shared" si="3"/>
        <v>97613</v>
      </c>
      <c r="Z39" s="154">
        <f t="shared" si="3"/>
        <v>6439.96</v>
      </c>
      <c r="AA39" s="154">
        <f t="shared" si="3"/>
        <v>7776</v>
      </c>
      <c r="AB39" s="154">
        <f t="shared" si="3"/>
        <v>1972</v>
      </c>
      <c r="AC39" s="154">
        <f t="shared" si="3"/>
        <v>0</v>
      </c>
      <c r="AD39" s="154">
        <f t="shared" si="3"/>
        <v>0</v>
      </c>
      <c r="AE39" s="154">
        <f t="shared" si="3"/>
        <v>0</v>
      </c>
      <c r="AF39" s="154">
        <f t="shared" si="3"/>
        <v>0</v>
      </c>
      <c r="AG39" s="154">
        <f t="shared" si="3"/>
        <v>0</v>
      </c>
      <c r="AH39" s="154">
        <f t="shared" si="3"/>
        <v>0</v>
      </c>
      <c r="AI39" s="154">
        <f>SUM(AI9:AI36)</f>
        <v>0</v>
      </c>
      <c r="AJ39" s="154">
        <f>SUM(AJ9:AJ36)</f>
        <v>0</v>
      </c>
    </row>
    <row r="40" spans="1:36" x14ac:dyDescent="0.3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93"/>
      <c r="AJ40" s="93"/>
    </row>
    <row r="41" spans="1:36" x14ac:dyDescent="0.3"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1:36" x14ac:dyDescent="0.3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93"/>
      <c r="AJ42" s="93"/>
    </row>
    <row r="43" spans="1:36" x14ac:dyDescent="0.3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</row>
    <row r="44" spans="1:36" x14ac:dyDescent="0.3"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30"/>
      <c r="AJ44" s="30"/>
    </row>
    <row r="45" spans="1:36" x14ac:dyDescent="0.3"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30"/>
      <c r="AJ45" s="30"/>
    </row>
    <row r="46" spans="1:36" x14ac:dyDescent="0.3"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30"/>
      <c r="AJ46" s="30"/>
    </row>
    <row r="47" spans="1:36" x14ac:dyDescent="0.3"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30"/>
      <c r="AJ47" s="30"/>
    </row>
    <row r="48" spans="1:36" x14ac:dyDescent="0.3"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30"/>
      <c r="AJ48" s="30"/>
    </row>
    <row r="49" spans="11:36" x14ac:dyDescent="0.3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30"/>
      <c r="AJ49" s="30"/>
    </row>
    <row r="50" spans="11:36" x14ac:dyDescent="0.3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30"/>
      <c r="AJ50" s="30"/>
    </row>
    <row r="51" spans="11:36" x14ac:dyDescent="0.3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30"/>
      <c r="AJ51" s="30"/>
    </row>
    <row r="52" spans="11:36" x14ac:dyDescent="0.3"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30"/>
      <c r="AJ52" s="30"/>
    </row>
    <row r="53" spans="11:36" x14ac:dyDescent="0.3"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30"/>
      <c r="AJ53" s="30"/>
    </row>
    <row r="54" spans="11:36" x14ac:dyDescent="0.3"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30"/>
      <c r="AJ54" s="30"/>
    </row>
    <row r="55" spans="11:36" x14ac:dyDescent="0.3"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30"/>
      <c r="AJ55" s="30"/>
    </row>
    <row r="56" spans="11:36" x14ac:dyDescent="0.3"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I56" s="30"/>
      <c r="AJ56" s="30"/>
    </row>
    <row r="57" spans="11:36" x14ac:dyDescent="0.3"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I57" s="30"/>
      <c r="AJ57" s="30"/>
    </row>
  </sheetData>
  <sheetProtection password="DC61" sheet="1" objects="1" scenarios="1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CCFFCC"/>
  </sheetPr>
  <dimension ref="A1:AI50"/>
  <sheetViews>
    <sheetView zoomScaleNormal="100" workbookViewId="0">
      <pane xSplit="9" ySplit="8" topLeftCell="AC9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A23" sqref="A23:XFD23"/>
    </sheetView>
  </sheetViews>
  <sheetFormatPr defaultColWidth="9.109375" defaultRowHeight="14.4" x14ac:dyDescent="0.3"/>
  <cols>
    <col min="1" max="1" width="9.109375" style="51"/>
    <col min="2" max="2" width="25.5546875" style="51" customWidth="1"/>
    <col min="3" max="3" width="9.6640625" style="51" customWidth="1"/>
    <col min="4" max="4" width="36.88671875" style="51" customWidth="1"/>
    <col min="5" max="9" width="14.6640625" style="51" customWidth="1"/>
    <col min="10" max="33" width="12.6640625" style="51" customWidth="1"/>
    <col min="34" max="35" width="21.33203125" style="50" customWidth="1"/>
    <col min="36" max="16384" width="9.109375" style="51"/>
  </cols>
  <sheetData>
    <row r="1" spans="1:35" ht="21" x14ac:dyDescent="0.4">
      <c r="A1" s="53" t="s">
        <v>387</v>
      </c>
      <c r="B1" s="59"/>
      <c r="C1" s="54" t="s">
        <v>29</v>
      </c>
      <c r="D1" s="54"/>
      <c r="E1" s="60"/>
      <c r="F1" s="60"/>
      <c r="G1" s="60"/>
      <c r="H1" s="60"/>
      <c r="I1" s="59"/>
      <c r="J1" s="59"/>
      <c r="K1" s="54"/>
      <c r="L1" s="59"/>
      <c r="M1" s="59"/>
      <c r="N1" s="54" t="str">
        <f>$C$1</f>
        <v>Title V-B Charter School Grant Program</v>
      </c>
      <c r="O1" s="59"/>
      <c r="P1" s="59"/>
      <c r="Q1" s="59"/>
      <c r="R1" s="54"/>
      <c r="S1" s="59"/>
      <c r="T1" s="54" t="str">
        <f>$C$1</f>
        <v>Title V-B Charter School Grant Program</v>
      </c>
      <c r="U1" s="59"/>
      <c r="V1" s="59"/>
      <c r="W1" s="54"/>
      <c r="X1" s="59"/>
      <c r="Y1" s="59"/>
      <c r="Z1" s="59"/>
      <c r="AA1" s="54" t="str">
        <f>$C$1</f>
        <v>Title V-B Charter School Grant Program</v>
      </c>
      <c r="AB1" s="59"/>
      <c r="AC1" s="59"/>
      <c r="AD1" s="54"/>
      <c r="AE1" s="59"/>
      <c r="AF1" s="59"/>
      <c r="AG1" s="59"/>
      <c r="AH1" s="53"/>
      <c r="AI1" s="53"/>
    </row>
    <row r="2" spans="1:35" ht="21" x14ac:dyDescent="0.4">
      <c r="A2" s="53" t="s">
        <v>358</v>
      </c>
      <c r="B2" s="55"/>
      <c r="C2" s="54" t="s">
        <v>375</v>
      </c>
      <c r="D2" s="54"/>
      <c r="E2" s="60"/>
      <c r="F2" s="60"/>
      <c r="G2" s="60"/>
      <c r="H2" s="60"/>
      <c r="I2" s="59"/>
      <c r="J2" s="59"/>
      <c r="K2" s="62"/>
      <c r="L2" s="59"/>
      <c r="M2" s="59"/>
      <c r="N2" s="62" t="str">
        <f>"FY"&amp;$C$4</f>
        <v>FY2017-18</v>
      </c>
      <c r="O2" s="59"/>
      <c r="P2" s="59"/>
      <c r="Q2" s="59"/>
      <c r="R2" s="62"/>
      <c r="S2" s="59"/>
      <c r="T2" s="62" t="str">
        <f>"FY"&amp;$C$4</f>
        <v>FY2017-18</v>
      </c>
      <c r="U2" s="59"/>
      <c r="V2" s="59"/>
      <c r="W2" s="62"/>
      <c r="X2" s="59"/>
      <c r="Y2" s="59"/>
      <c r="Z2" s="59"/>
      <c r="AA2" s="62" t="str">
        <f>"FY"&amp;$C$4</f>
        <v>FY2017-18</v>
      </c>
      <c r="AB2" s="59"/>
      <c r="AC2" s="59"/>
      <c r="AD2" s="62"/>
      <c r="AE2" s="59"/>
      <c r="AF2" s="59"/>
      <c r="AG2" s="59"/>
      <c r="AH2" s="53"/>
      <c r="AI2" s="53"/>
    </row>
    <row r="3" spans="1:35" ht="15.6" x14ac:dyDescent="0.3">
      <c r="A3" s="56" t="s">
        <v>1</v>
      </c>
      <c r="B3" s="59"/>
      <c r="C3" s="57">
        <v>5282</v>
      </c>
      <c r="D3" s="57"/>
      <c r="E3" s="60"/>
      <c r="F3" s="60"/>
      <c r="G3" s="60"/>
      <c r="H3" s="60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60"/>
      <c r="AI3" s="60"/>
    </row>
    <row r="4" spans="1:35" ht="15.6" x14ac:dyDescent="0.3">
      <c r="A4" s="56" t="s">
        <v>2</v>
      </c>
      <c r="B4" s="59"/>
      <c r="C4" s="57" t="s">
        <v>241</v>
      </c>
      <c r="D4" s="57"/>
      <c r="E4" s="56"/>
      <c r="F4" s="56"/>
      <c r="G4" s="56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  <c r="AI4" s="60"/>
    </row>
    <row r="5" spans="1:35" ht="15.6" x14ac:dyDescent="0.3">
      <c r="A5" s="56" t="s">
        <v>18</v>
      </c>
      <c r="B5" s="59"/>
      <c r="C5" s="56" t="s">
        <v>419</v>
      </c>
      <c r="D5" s="56"/>
      <c r="E5" s="60"/>
      <c r="F5" s="60"/>
      <c r="G5" s="60"/>
      <c r="H5" s="58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8"/>
      <c r="AI5" s="58"/>
    </row>
    <row r="6" spans="1:35" ht="15.6" x14ac:dyDescent="0.3">
      <c r="A6" s="56" t="s">
        <v>19</v>
      </c>
      <c r="B6" s="59"/>
      <c r="C6" s="56" t="s">
        <v>33</v>
      </c>
      <c r="D6" s="56"/>
      <c r="E6" s="60"/>
      <c r="F6" s="60"/>
      <c r="G6" s="60"/>
      <c r="H6" s="5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8"/>
      <c r="AI6" s="58"/>
    </row>
    <row r="7" spans="1:35" ht="15" thickBot="1" x14ac:dyDescent="0.3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8"/>
      <c r="AI7" s="58"/>
    </row>
    <row r="8" spans="1:35" ht="29.4" thickBot="1" x14ac:dyDescent="0.35">
      <c r="A8" s="153" t="s">
        <v>297</v>
      </c>
      <c r="B8" s="153" t="s">
        <v>298</v>
      </c>
      <c r="C8" s="153" t="s">
        <v>355</v>
      </c>
      <c r="D8" s="153" t="s">
        <v>45</v>
      </c>
      <c r="E8" s="27" t="s">
        <v>15</v>
      </c>
      <c r="F8" s="12" t="s">
        <v>354</v>
      </c>
      <c r="G8" s="12" t="s">
        <v>314</v>
      </c>
      <c r="H8" s="27" t="s">
        <v>16</v>
      </c>
      <c r="I8" s="66" t="s">
        <v>17</v>
      </c>
      <c r="J8" s="26" t="s">
        <v>63</v>
      </c>
      <c r="K8" s="27" t="s">
        <v>64</v>
      </c>
      <c r="L8" s="26" t="s">
        <v>65</v>
      </c>
      <c r="M8" s="27" t="s">
        <v>66</v>
      </c>
      <c r="N8" s="26" t="s">
        <v>67</v>
      </c>
      <c r="O8" s="27" t="s">
        <v>68</v>
      </c>
      <c r="P8" s="26" t="s">
        <v>69</v>
      </c>
      <c r="Q8" s="27" t="s">
        <v>70</v>
      </c>
      <c r="R8" s="26" t="s">
        <v>71</v>
      </c>
      <c r="S8" s="27" t="s">
        <v>72</v>
      </c>
      <c r="T8" s="27" t="s">
        <v>73</v>
      </c>
      <c r="U8" s="27" t="s">
        <v>74</v>
      </c>
      <c r="V8" s="27" t="s">
        <v>242</v>
      </c>
      <c r="W8" s="27" t="s">
        <v>243</v>
      </c>
      <c r="X8" s="27" t="s">
        <v>253</v>
      </c>
      <c r="Y8" s="27" t="s">
        <v>244</v>
      </c>
      <c r="Z8" s="27" t="s">
        <v>245</v>
      </c>
      <c r="AA8" s="27" t="s">
        <v>246</v>
      </c>
      <c r="AB8" s="27" t="s">
        <v>247</v>
      </c>
      <c r="AC8" s="27" t="s">
        <v>248</v>
      </c>
      <c r="AD8" s="27" t="s">
        <v>249</v>
      </c>
      <c r="AE8" s="27" t="s">
        <v>250</v>
      </c>
      <c r="AF8" s="27" t="s">
        <v>251</v>
      </c>
      <c r="AG8" s="27" t="s">
        <v>252</v>
      </c>
      <c r="AH8" s="61" t="s">
        <v>377</v>
      </c>
      <c r="AI8" s="61" t="s">
        <v>378</v>
      </c>
    </row>
    <row r="9" spans="1:35" ht="15" thickBot="1" x14ac:dyDescent="0.35">
      <c r="A9" s="204" t="s">
        <v>51</v>
      </c>
      <c r="B9" s="81" t="s">
        <v>27</v>
      </c>
      <c r="C9" s="204" t="s">
        <v>185</v>
      </c>
      <c r="D9" s="81" t="s">
        <v>187</v>
      </c>
      <c r="E9" s="203">
        <v>196500</v>
      </c>
      <c r="F9" s="118">
        <v>0</v>
      </c>
      <c r="G9" s="118">
        <f t="shared" ref="G9:G10" si="0">E9+F9</f>
        <v>196500</v>
      </c>
      <c r="H9" s="203">
        <f>SUM(J9:AY9)</f>
        <v>196500</v>
      </c>
      <c r="I9" s="203">
        <f>E9-H9</f>
        <v>0</v>
      </c>
      <c r="J9" s="171"/>
      <c r="K9" s="171"/>
      <c r="L9" s="171"/>
      <c r="M9" s="171"/>
      <c r="N9" s="171"/>
      <c r="O9" s="171"/>
      <c r="P9" s="171">
        <v>69860</v>
      </c>
      <c r="Q9" s="171">
        <v>64571</v>
      </c>
      <c r="R9" s="171"/>
      <c r="S9" s="171">
        <f>51241+10828</f>
        <v>62069</v>
      </c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</row>
    <row r="10" spans="1:35" ht="15" thickBot="1" x14ac:dyDescent="0.35">
      <c r="A10" s="204" t="s">
        <v>178</v>
      </c>
      <c r="B10" s="81" t="s">
        <v>180</v>
      </c>
      <c r="C10" s="204" t="s">
        <v>184</v>
      </c>
      <c r="D10" s="81" t="s">
        <v>186</v>
      </c>
      <c r="E10" s="203">
        <v>215000</v>
      </c>
      <c r="F10" s="118">
        <v>0</v>
      </c>
      <c r="G10" s="118">
        <f t="shared" si="0"/>
        <v>215000</v>
      </c>
      <c r="H10" s="203">
        <f>SUM(J10:AY10)</f>
        <v>212649</v>
      </c>
      <c r="I10" s="203">
        <f>E10-H10</f>
        <v>2351</v>
      </c>
      <c r="J10" s="171"/>
      <c r="K10" s="171"/>
      <c r="L10" s="171">
        <v>137818</v>
      </c>
      <c r="M10" s="171"/>
      <c r="N10" s="171"/>
      <c r="O10" s="171"/>
      <c r="P10" s="171">
        <v>31214</v>
      </c>
      <c r="Q10" s="171">
        <v>37863</v>
      </c>
      <c r="R10" s="171">
        <v>5754</v>
      </c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</row>
    <row r="11" spans="1:35" ht="15" thickBot="1" x14ac:dyDescent="0.35">
      <c r="A11" s="160"/>
      <c r="B11" s="81"/>
      <c r="C11" s="160"/>
      <c r="D11" s="160"/>
      <c r="E11" s="160"/>
      <c r="F11" s="160"/>
      <c r="G11" s="160"/>
      <c r="H11" s="160"/>
      <c r="I11" s="160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</row>
    <row r="12" spans="1:35" ht="15" thickBot="1" x14ac:dyDescent="0.35">
      <c r="A12" s="160" t="s">
        <v>49</v>
      </c>
      <c r="B12" s="160"/>
      <c r="C12" s="160"/>
      <c r="D12" s="160"/>
      <c r="E12" s="160">
        <f t="shared" ref="E12:AI12" si="1">SUM(E9:E11)</f>
        <v>411500</v>
      </c>
      <c r="F12" s="160">
        <v>0</v>
      </c>
      <c r="G12" s="160">
        <f>E12+F12</f>
        <v>411500</v>
      </c>
      <c r="H12" s="160">
        <f t="shared" si="1"/>
        <v>409149</v>
      </c>
      <c r="I12" s="160">
        <f t="shared" si="1"/>
        <v>2351</v>
      </c>
      <c r="J12" s="160">
        <f t="shared" si="1"/>
        <v>0</v>
      </c>
      <c r="K12" s="160">
        <f t="shared" si="1"/>
        <v>0</v>
      </c>
      <c r="L12" s="160">
        <f t="shared" si="1"/>
        <v>137818</v>
      </c>
      <c r="M12" s="160">
        <f t="shared" si="1"/>
        <v>0</v>
      </c>
      <c r="N12" s="160">
        <f t="shared" si="1"/>
        <v>0</v>
      </c>
      <c r="O12" s="160">
        <f t="shared" si="1"/>
        <v>0</v>
      </c>
      <c r="P12" s="160">
        <f t="shared" si="1"/>
        <v>101074</v>
      </c>
      <c r="Q12" s="160">
        <f t="shared" si="1"/>
        <v>102434</v>
      </c>
      <c r="R12" s="160">
        <f t="shared" si="1"/>
        <v>5754</v>
      </c>
      <c r="S12" s="160">
        <f t="shared" si="1"/>
        <v>62069</v>
      </c>
      <c r="T12" s="160">
        <f t="shared" si="1"/>
        <v>0</v>
      </c>
      <c r="U12" s="160">
        <f t="shared" si="1"/>
        <v>0</v>
      </c>
      <c r="V12" s="160">
        <f t="shared" si="1"/>
        <v>0</v>
      </c>
      <c r="W12" s="160">
        <f t="shared" si="1"/>
        <v>0</v>
      </c>
      <c r="X12" s="160">
        <f t="shared" si="1"/>
        <v>0</v>
      </c>
      <c r="Y12" s="160">
        <f t="shared" si="1"/>
        <v>0</v>
      </c>
      <c r="Z12" s="160">
        <f t="shared" si="1"/>
        <v>0</v>
      </c>
      <c r="AA12" s="160">
        <f t="shared" si="1"/>
        <v>0</v>
      </c>
      <c r="AB12" s="160">
        <f t="shared" si="1"/>
        <v>0</v>
      </c>
      <c r="AC12" s="160">
        <f t="shared" si="1"/>
        <v>0</v>
      </c>
      <c r="AD12" s="160">
        <f t="shared" si="1"/>
        <v>0</v>
      </c>
      <c r="AE12" s="160">
        <f t="shared" si="1"/>
        <v>0</v>
      </c>
      <c r="AF12" s="160">
        <f t="shared" si="1"/>
        <v>0</v>
      </c>
      <c r="AG12" s="160">
        <f t="shared" si="1"/>
        <v>0</v>
      </c>
      <c r="AH12" s="160">
        <f t="shared" si="1"/>
        <v>0</v>
      </c>
      <c r="AI12" s="160">
        <f t="shared" si="1"/>
        <v>0</v>
      </c>
    </row>
    <row r="13" spans="1:35" x14ac:dyDescent="0.3"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5" x14ac:dyDescent="0.3"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93"/>
      <c r="AI14" s="93"/>
    </row>
    <row r="15" spans="1:35" x14ac:dyDescent="0.3"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93"/>
      <c r="AI15" s="93"/>
    </row>
    <row r="16" spans="1:35" x14ac:dyDescent="0.3"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8:35" x14ac:dyDescent="0.3"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</row>
    <row r="18" spans="8:35" x14ac:dyDescent="0.3"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</row>
    <row r="19" spans="8:35" x14ac:dyDescent="0.3"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93"/>
      <c r="AI19" s="93"/>
    </row>
    <row r="20" spans="8:35" x14ac:dyDescent="0.3"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spans="8:35" x14ac:dyDescent="0.3"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93"/>
      <c r="AI21" s="93"/>
    </row>
    <row r="22" spans="8:35" x14ac:dyDescent="0.3"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</row>
    <row r="23" spans="8:35" x14ac:dyDescent="0.3"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8:35" x14ac:dyDescent="0.3"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</row>
    <row r="25" spans="8:35" x14ac:dyDescent="0.3"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93"/>
      <c r="AI25" s="93"/>
    </row>
    <row r="26" spans="8:35" x14ac:dyDescent="0.3"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93"/>
      <c r="AI26" s="93"/>
    </row>
    <row r="27" spans="8:35" x14ac:dyDescent="0.3"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</row>
    <row r="28" spans="8:35" x14ac:dyDescent="0.3"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</row>
    <row r="29" spans="8:35" x14ac:dyDescent="0.3"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spans="8:35" x14ac:dyDescent="0.3"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</row>
    <row r="31" spans="8:35" x14ac:dyDescent="0.3">
      <c r="AH31" s="93"/>
      <c r="AI31" s="93"/>
    </row>
    <row r="32" spans="8:35" x14ac:dyDescent="0.3">
      <c r="AH32" s="93"/>
      <c r="AI32" s="93"/>
    </row>
    <row r="34" spans="34:35" x14ac:dyDescent="0.3">
      <c r="AH34" s="93"/>
      <c r="AI34" s="93"/>
    </row>
    <row r="37" spans="34:35" x14ac:dyDescent="0.3">
      <c r="AH37" s="30"/>
      <c r="AI37" s="30"/>
    </row>
    <row r="38" spans="34:35" x14ac:dyDescent="0.3">
      <c r="AH38" s="30"/>
      <c r="AI38" s="30"/>
    </row>
    <row r="39" spans="34:35" x14ac:dyDescent="0.3">
      <c r="AH39" s="30"/>
      <c r="AI39" s="30"/>
    </row>
    <row r="40" spans="34:35" x14ac:dyDescent="0.3">
      <c r="AH40" s="30"/>
      <c r="AI40" s="30"/>
    </row>
    <row r="41" spans="34:35" x14ac:dyDescent="0.3">
      <c r="AH41" s="30"/>
      <c r="AI41" s="30"/>
    </row>
    <row r="42" spans="34:35" x14ac:dyDescent="0.3">
      <c r="AH42" s="30"/>
      <c r="AI42" s="30"/>
    </row>
    <row r="43" spans="34:35" x14ac:dyDescent="0.3">
      <c r="AH43" s="30"/>
      <c r="AI43" s="30"/>
    </row>
    <row r="44" spans="34:35" x14ac:dyDescent="0.3">
      <c r="AH44" s="30"/>
      <c r="AI44" s="30"/>
    </row>
    <row r="45" spans="34:35" x14ac:dyDescent="0.3">
      <c r="AH45" s="30"/>
      <c r="AI45" s="30"/>
    </row>
    <row r="46" spans="34:35" x14ac:dyDescent="0.3">
      <c r="AH46" s="30"/>
      <c r="AI46" s="30"/>
    </row>
    <row r="47" spans="34:35" x14ac:dyDescent="0.3">
      <c r="AH47" s="30"/>
      <c r="AI47" s="30"/>
    </row>
    <row r="48" spans="34:35" x14ac:dyDescent="0.3">
      <c r="AH48" s="30"/>
      <c r="AI48" s="30"/>
    </row>
    <row r="49" spans="34:35" x14ac:dyDescent="0.3">
      <c r="AH49" s="30"/>
      <c r="AI49" s="30"/>
    </row>
    <row r="50" spans="34:35" x14ac:dyDescent="0.3">
      <c r="AH50" s="30"/>
      <c r="AI50" s="30"/>
    </row>
  </sheetData>
  <sheetProtection algorithmName="SHA-512" hashValue="HGMQYhidkeND4qLptmZm9noAblU7e2zHq9zgyVJ06NuYpGxIrwtmst7sOqOvH88DbbHVVDAcxiwH6MfjDp8tZw==" saltValue="CcrjzjTX8TtvPH2ejOtCCw==" spinCount="100000" sheet="1" objects="1" scenarios="1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CCFFCC"/>
  </sheetPr>
  <dimension ref="A1:AJ51"/>
  <sheetViews>
    <sheetView workbookViewId="0">
      <pane xSplit="7" ySplit="8" topLeftCell="X9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A17" sqref="A17"/>
    </sheetView>
  </sheetViews>
  <sheetFormatPr defaultColWidth="9.109375" defaultRowHeight="14.4" x14ac:dyDescent="0.3"/>
  <cols>
    <col min="1" max="1" width="9.109375" style="50"/>
    <col min="2" max="2" width="36.6640625" style="50" customWidth="1"/>
    <col min="3" max="5" width="14.44140625" style="50" customWidth="1"/>
    <col min="6" max="7" width="14.5546875" style="50" customWidth="1"/>
    <col min="8" max="34" width="15.6640625" style="50" customWidth="1"/>
    <col min="35" max="36" width="21.33203125" style="50" customWidth="1"/>
    <col min="37" max="16384" width="9.109375" style="50"/>
  </cols>
  <sheetData>
    <row r="1" spans="1:36" ht="21" x14ac:dyDescent="0.4">
      <c r="A1" s="53" t="s">
        <v>0</v>
      </c>
      <c r="B1" s="59"/>
      <c r="C1" s="54" t="s">
        <v>333</v>
      </c>
      <c r="D1" s="54"/>
      <c r="E1" s="54"/>
      <c r="F1" s="53"/>
      <c r="G1" s="55"/>
      <c r="H1" s="60"/>
      <c r="I1" s="60"/>
      <c r="J1" s="54" t="str">
        <f>C1</f>
        <v>Title VI Rural Education</v>
      </c>
      <c r="K1" s="54"/>
      <c r="L1" s="53"/>
      <c r="M1" s="53"/>
      <c r="N1" s="55"/>
      <c r="O1" s="55"/>
      <c r="P1" s="60"/>
      <c r="Q1" s="60"/>
      <c r="R1" s="54" t="str">
        <f>C1</f>
        <v>Title VI Rural Education</v>
      </c>
      <c r="S1" s="54"/>
      <c r="T1" s="53"/>
      <c r="U1" s="53"/>
      <c r="V1" s="55"/>
      <c r="W1" s="55"/>
      <c r="X1" s="60"/>
      <c r="Y1" s="54" t="str">
        <f>C1</f>
        <v>Title VI Rural Education</v>
      </c>
      <c r="Z1" s="60"/>
      <c r="AA1" s="54"/>
      <c r="AB1" s="53"/>
      <c r="AC1" s="53"/>
      <c r="AD1" s="55"/>
      <c r="AE1" s="55"/>
      <c r="AF1" s="54" t="str">
        <f>C1</f>
        <v>Title VI Rural Education</v>
      </c>
      <c r="AG1" s="60"/>
      <c r="AH1" s="54"/>
      <c r="AI1" s="53"/>
      <c r="AJ1" s="53"/>
    </row>
    <row r="2" spans="1:36" ht="21" x14ac:dyDescent="0.4">
      <c r="A2" s="53" t="s">
        <v>358</v>
      </c>
      <c r="B2" s="55"/>
      <c r="C2" s="210" t="s">
        <v>376</v>
      </c>
      <c r="D2" s="210"/>
      <c r="E2" s="210"/>
      <c r="F2" s="56"/>
      <c r="G2" s="19"/>
      <c r="H2" s="60"/>
      <c r="I2" s="60"/>
      <c r="J2" s="56" t="str">
        <f>C4</f>
        <v>2017-18</v>
      </c>
      <c r="K2" s="54"/>
      <c r="L2" s="54" t="s">
        <v>34</v>
      </c>
      <c r="M2" s="57"/>
      <c r="N2" s="19"/>
      <c r="O2" s="19"/>
      <c r="P2" s="19"/>
      <c r="Q2" s="19"/>
      <c r="R2" s="56" t="str">
        <f>C4</f>
        <v>2017-18</v>
      </c>
      <c r="S2" s="54"/>
      <c r="T2" s="57"/>
      <c r="U2" s="57"/>
      <c r="V2" s="19"/>
      <c r="W2" s="19"/>
      <c r="X2" s="19"/>
      <c r="Y2" s="56" t="str">
        <f>C4</f>
        <v>2017-18</v>
      </c>
      <c r="Z2" s="60"/>
      <c r="AA2" s="54"/>
      <c r="AB2" s="57" t="s">
        <v>34</v>
      </c>
      <c r="AC2" s="57"/>
      <c r="AD2" s="19"/>
      <c r="AE2" s="19"/>
      <c r="AF2" s="56" t="str">
        <f>C4</f>
        <v>2017-18</v>
      </c>
      <c r="AG2" s="60"/>
      <c r="AH2" s="56"/>
      <c r="AI2" s="53"/>
      <c r="AJ2" s="53"/>
    </row>
    <row r="3" spans="1:36" ht="15.6" x14ac:dyDescent="0.3">
      <c r="A3" s="56" t="s">
        <v>1</v>
      </c>
      <c r="B3" s="59"/>
      <c r="C3" s="57">
        <v>7358</v>
      </c>
      <c r="D3" s="57"/>
      <c r="E3" s="57"/>
      <c r="F3" s="56"/>
      <c r="G3" s="19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</row>
    <row r="4" spans="1:36" ht="15.6" x14ac:dyDescent="0.3">
      <c r="A4" s="56" t="s">
        <v>2</v>
      </c>
      <c r="B4" s="59"/>
      <c r="C4" s="57" t="s">
        <v>241</v>
      </c>
      <c r="D4" s="57"/>
      <c r="E4" s="57"/>
      <c r="F4" s="19"/>
      <c r="G4" s="19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</row>
    <row r="5" spans="1:36" ht="15.6" x14ac:dyDescent="0.3">
      <c r="A5" s="56" t="s">
        <v>320</v>
      </c>
      <c r="B5" s="59"/>
      <c r="C5" s="181" t="s">
        <v>419</v>
      </c>
      <c r="D5" s="181"/>
      <c r="E5" s="181"/>
      <c r="F5" s="56"/>
      <c r="G5" s="9"/>
      <c r="H5" s="9"/>
      <c r="I5" s="9"/>
      <c r="J5" s="9"/>
      <c r="K5" s="9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</row>
    <row r="6" spans="1:36" ht="15.6" x14ac:dyDescent="0.3">
      <c r="A6" s="56" t="s">
        <v>19</v>
      </c>
      <c r="B6" s="59"/>
      <c r="C6" s="181" t="s">
        <v>33</v>
      </c>
      <c r="D6" s="181"/>
      <c r="E6" s="181"/>
      <c r="F6" s="56"/>
      <c r="G6" s="9"/>
      <c r="H6" s="9"/>
      <c r="I6" s="9"/>
      <c r="J6" s="9"/>
      <c r="K6" s="9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36" ht="16.2" thickBot="1" x14ac:dyDescent="0.35">
      <c r="A7" s="56"/>
      <c r="B7" s="59"/>
      <c r="C7" s="181"/>
      <c r="D7" s="181"/>
      <c r="E7" s="181"/>
      <c r="F7" s="56"/>
      <c r="G7" s="9"/>
      <c r="H7" s="9"/>
      <c r="I7" s="9"/>
      <c r="J7" s="9"/>
      <c r="K7" s="9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</row>
    <row r="8" spans="1:36" s="179" customFormat="1" ht="29.4" thickBot="1" x14ac:dyDescent="0.35">
      <c r="A8" s="61" t="s">
        <v>297</v>
      </c>
      <c r="B8" s="61" t="s">
        <v>46</v>
      </c>
      <c r="C8" s="61" t="s">
        <v>15</v>
      </c>
      <c r="D8" s="61" t="s">
        <v>183</v>
      </c>
      <c r="E8" s="61" t="s">
        <v>313</v>
      </c>
      <c r="F8" s="61" t="s">
        <v>16</v>
      </c>
      <c r="G8" s="25" t="s">
        <v>17</v>
      </c>
      <c r="H8" s="26" t="s">
        <v>60</v>
      </c>
      <c r="I8" s="27" t="s">
        <v>61</v>
      </c>
      <c r="J8" s="26" t="s">
        <v>62</v>
      </c>
      <c r="K8" s="27" t="s">
        <v>63</v>
      </c>
      <c r="L8" s="26" t="s">
        <v>64</v>
      </c>
      <c r="M8" s="27" t="s">
        <v>65</v>
      </c>
      <c r="N8" s="27" t="s">
        <v>66</v>
      </c>
      <c r="O8" s="27" t="s">
        <v>67</v>
      </c>
      <c r="P8" s="27" t="s">
        <v>68</v>
      </c>
      <c r="Q8" s="27" t="s">
        <v>69</v>
      </c>
      <c r="R8" s="27" t="s">
        <v>70</v>
      </c>
      <c r="S8" s="27" t="s">
        <v>71</v>
      </c>
      <c r="T8" s="26" t="s">
        <v>72</v>
      </c>
      <c r="U8" s="27" t="s">
        <v>73</v>
      </c>
      <c r="V8" s="27" t="s">
        <v>74</v>
      </c>
      <c r="W8" s="27" t="s">
        <v>242</v>
      </c>
      <c r="X8" s="26" t="s">
        <v>243</v>
      </c>
      <c r="Y8" s="27" t="s">
        <v>253</v>
      </c>
      <c r="Z8" s="27" t="s">
        <v>244</v>
      </c>
      <c r="AA8" s="27" t="s">
        <v>245</v>
      </c>
      <c r="AB8" s="27" t="s">
        <v>246</v>
      </c>
      <c r="AC8" s="27" t="s">
        <v>247</v>
      </c>
      <c r="AD8" s="27" t="s">
        <v>248</v>
      </c>
      <c r="AE8" s="27" t="s">
        <v>249</v>
      </c>
      <c r="AF8" s="26" t="s">
        <v>250</v>
      </c>
      <c r="AG8" s="27" t="s">
        <v>251</v>
      </c>
      <c r="AH8" s="27" t="s">
        <v>252</v>
      </c>
      <c r="AI8" s="61" t="s">
        <v>377</v>
      </c>
      <c r="AJ8" s="61" t="s">
        <v>378</v>
      </c>
    </row>
    <row r="9" spans="1:36" s="114" customFormat="1" ht="15" thickBot="1" x14ac:dyDescent="0.35">
      <c r="A9" s="204" t="s">
        <v>322</v>
      </c>
      <c r="B9" s="81" t="s">
        <v>334</v>
      </c>
      <c r="C9" s="203">
        <v>1802</v>
      </c>
      <c r="D9" s="152">
        <v>0</v>
      </c>
      <c r="E9" s="152">
        <f>C9+D9</f>
        <v>1802</v>
      </c>
      <c r="F9" s="203">
        <f>SUM(H9:AH9)</f>
        <v>0</v>
      </c>
      <c r="G9" s="203">
        <f t="shared" ref="G9:G19" si="0">C9-F9</f>
        <v>1802</v>
      </c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50"/>
      <c r="AJ9" s="50"/>
    </row>
    <row r="10" spans="1:36" s="114" customFormat="1" ht="15" thickBot="1" x14ac:dyDescent="0.35">
      <c r="A10" s="204" t="s">
        <v>323</v>
      </c>
      <c r="B10" s="81" t="s">
        <v>324</v>
      </c>
      <c r="C10" s="203">
        <v>3889</v>
      </c>
      <c r="D10" s="152">
        <v>0</v>
      </c>
      <c r="E10" s="152">
        <f t="shared" ref="E10:E19" si="1">C10+D10</f>
        <v>3889</v>
      </c>
      <c r="F10" s="203">
        <f t="shared" ref="F10:F19" si="2">SUM(H10:AH10)</f>
        <v>3889</v>
      </c>
      <c r="G10" s="203">
        <f t="shared" si="0"/>
        <v>0</v>
      </c>
      <c r="H10" s="211"/>
      <c r="I10" s="211"/>
      <c r="J10" s="211"/>
      <c r="K10" s="211"/>
      <c r="L10" s="211"/>
      <c r="M10" s="211"/>
      <c r="N10" s="211">
        <v>3889</v>
      </c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50"/>
      <c r="AJ10" s="50"/>
    </row>
    <row r="11" spans="1:36" s="114" customFormat="1" ht="15" thickBot="1" x14ac:dyDescent="0.35">
      <c r="A11" s="204" t="s">
        <v>325</v>
      </c>
      <c r="B11" s="81" t="s">
        <v>335</v>
      </c>
      <c r="C11" s="203">
        <v>1539</v>
      </c>
      <c r="D11" s="152">
        <v>0</v>
      </c>
      <c r="E11" s="152">
        <f t="shared" si="1"/>
        <v>1539</v>
      </c>
      <c r="F11" s="203">
        <f t="shared" si="2"/>
        <v>1539</v>
      </c>
      <c r="G11" s="203">
        <f t="shared" si="0"/>
        <v>0</v>
      </c>
      <c r="H11" s="211"/>
      <c r="I11" s="211"/>
      <c r="J11" s="211"/>
      <c r="K11" s="211"/>
      <c r="L11" s="211"/>
      <c r="M11" s="211"/>
      <c r="N11" s="211">
        <v>1539</v>
      </c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50"/>
      <c r="AJ11" s="50"/>
    </row>
    <row r="12" spans="1:36" s="114" customFormat="1" ht="15" thickBot="1" x14ac:dyDescent="0.35">
      <c r="A12" s="204" t="s">
        <v>326</v>
      </c>
      <c r="B12" s="81" t="s">
        <v>379</v>
      </c>
      <c r="C12" s="203">
        <v>10687</v>
      </c>
      <c r="D12" s="152">
        <v>0</v>
      </c>
      <c r="E12" s="152">
        <f t="shared" si="1"/>
        <v>10687</v>
      </c>
      <c r="F12" s="203">
        <f t="shared" si="2"/>
        <v>0</v>
      </c>
      <c r="G12" s="203">
        <f t="shared" si="0"/>
        <v>10687</v>
      </c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50"/>
      <c r="AJ12" s="50"/>
    </row>
    <row r="13" spans="1:36" s="114" customFormat="1" ht="15" thickBot="1" x14ac:dyDescent="0.35">
      <c r="A13" s="204" t="s">
        <v>327</v>
      </c>
      <c r="B13" s="81" t="s">
        <v>336</v>
      </c>
      <c r="C13" s="203">
        <v>6123</v>
      </c>
      <c r="D13" s="152">
        <v>0</v>
      </c>
      <c r="E13" s="152">
        <f t="shared" si="1"/>
        <v>6123</v>
      </c>
      <c r="F13" s="203">
        <f t="shared" si="2"/>
        <v>0</v>
      </c>
      <c r="G13" s="203">
        <f t="shared" si="0"/>
        <v>6123</v>
      </c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50"/>
      <c r="AJ13" s="50"/>
    </row>
    <row r="14" spans="1:36" s="114" customFormat="1" ht="15" thickBot="1" x14ac:dyDescent="0.35">
      <c r="A14" s="204" t="s">
        <v>328</v>
      </c>
      <c r="B14" s="81" t="s">
        <v>337</v>
      </c>
      <c r="C14" s="203">
        <v>2690</v>
      </c>
      <c r="D14" s="152">
        <v>0</v>
      </c>
      <c r="E14" s="152">
        <f t="shared" si="1"/>
        <v>2690</v>
      </c>
      <c r="F14" s="203">
        <f t="shared" si="2"/>
        <v>0</v>
      </c>
      <c r="G14" s="203">
        <f t="shared" si="0"/>
        <v>2690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93"/>
      <c r="AJ14" s="93"/>
    </row>
    <row r="15" spans="1:36" s="114" customFormat="1" ht="15" thickBot="1" x14ac:dyDescent="0.35">
      <c r="A15" s="204" t="s">
        <v>329</v>
      </c>
      <c r="B15" s="81" t="s">
        <v>338</v>
      </c>
      <c r="C15" s="203">
        <v>21516</v>
      </c>
      <c r="D15" s="152">
        <v>0</v>
      </c>
      <c r="E15" s="152">
        <f t="shared" si="1"/>
        <v>21516</v>
      </c>
      <c r="F15" s="203">
        <f t="shared" si="2"/>
        <v>21516</v>
      </c>
      <c r="G15" s="203">
        <f t="shared" si="0"/>
        <v>0</v>
      </c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>
        <v>21516</v>
      </c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</row>
    <row r="16" spans="1:36" s="114" customFormat="1" ht="15" thickBot="1" x14ac:dyDescent="0.35">
      <c r="A16" s="204" t="s">
        <v>330</v>
      </c>
      <c r="B16" s="81" t="s">
        <v>339</v>
      </c>
      <c r="C16" s="203">
        <v>9823</v>
      </c>
      <c r="D16" s="152">
        <v>0</v>
      </c>
      <c r="E16" s="152">
        <f t="shared" si="1"/>
        <v>9823</v>
      </c>
      <c r="F16" s="203">
        <f t="shared" si="2"/>
        <v>0</v>
      </c>
      <c r="G16" s="203">
        <f t="shared" si="0"/>
        <v>9823</v>
      </c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93"/>
      <c r="AJ16" s="93"/>
    </row>
    <row r="17" spans="1:36" s="114" customFormat="1" ht="15" thickBot="1" x14ac:dyDescent="0.35">
      <c r="A17" s="204" t="s">
        <v>220</v>
      </c>
      <c r="B17" s="81" t="s">
        <v>237</v>
      </c>
      <c r="C17" s="203">
        <v>20668</v>
      </c>
      <c r="D17" s="152">
        <v>0</v>
      </c>
      <c r="E17" s="152">
        <f t="shared" si="1"/>
        <v>20668</v>
      </c>
      <c r="F17" s="203">
        <f t="shared" si="2"/>
        <v>0</v>
      </c>
      <c r="G17" s="203">
        <f t="shared" si="0"/>
        <v>20668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50"/>
      <c r="AJ17" s="50"/>
    </row>
    <row r="18" spans="1:36" s="114" customFormat="1" ht="15" thickBot="1" x14ac:dyDescent="0.35">
      <c r="A18" s="204" t="s">
        <v>331</v>
      </c>
      <c r="B18" s="81" t="s">
        <v>340</v>
      </c>
      <c r="C18" s="203">
        <v>4344</v>
      </c>
      <c r="D18" s="152">
        <v>0</v>
      </c>
      <c r="E18" s="152">
        <f t="shared" si="1"/>
        <v>4344</v>
      </c>
      <c r="F18" s="203">
        <f t="shared" si="2"/>
        <v>0</v>
      </c>
      <c r="G18" s="203">
        <f t="shared" si="0"/>
        <v>4344</v>
      </c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50"/>
      <c r="AJ18" s="50"/>
    </row>
    <row r="19" spans="1:36" s="114" customFormat="1" ht="15" thickBot="1" x14ac:dyDescent="0.35">
      <c r="A19" s="204" t="s">
        <v>332</v>
      </c>
      <c r="B19" s="81" t="s">
        <v>341</v>
      </c>
      <c r="C19" s="203">
        <v>1028</v>
      </c>
      <c r="D19" s="152">
        <v>0</v>
      </c>
      <c r="E19" s="152">
        <f t="shared" si="1"/>
        <v>1028</v>
      </c>
      <c r="F19" s="203">
        <f t="shared" si="2"/>
        <v>0</v>
      </c>
      <c r="G19" s="203">
        <f t="shared" si="0"/>
        <v>1028</v>
      </c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50"/>
      <c r="AJ19" s="50"/>
    </row>
    <row r="20" spans="1:36" s="114" customFormat="1" ht="15" thickBot="1" x14ac:dyDescent="0.35">
      <c r="A20" s="203"/>
      <c r="B20" s="203"/>
      <c r="C20" s="203"/>
      <c r="D20" s="203"/>
      <c r="E20" s="203"/>
      <c r="F20" s="203"/>
      <c r="G20" s="203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93"/>
      <c r="AJ20" s="93"/>
    </row>
    <row r="21" spans="1:36" s="114" customFormat="1" ht="15" thickBot="1" x14ac:dyDescent="0.35">
      <c r="A21" s="208" t="s">
        <v>49</v>
      </c>
      <c r="B21" s="208"/>
      <c r="C21" s="208">
        <f>SUM(C9:C19)</f>
        <v>84109</v>
      </c>
      <c r="D21" s="208">
        <v>0</v>
      </c>
      <c r="E21" s="208">
        <f>C21+D21</f>
        <v>84109</v>
      </c>
      <c r="F21" s="208">
        <f>SUM(F9:F19)</f>
        <v>26944</v>
      </c>
      <c r="G21" s="208">
        <f>SUM(G9:G19)</f>
        <v>57165</v>
      </c>
      <c r="H21" s="208">
        <f>SUM(H9:H19)</f>
        <v>0</v>
      </c>
      <c r="I21" s="208">
        <f t="shared" ref="I21:AJ21" si="3">SUM(I9:I19)</f>
        <v>0</v>
      </c>
      <c r="J21" s="208">
        <f t="shared" si="3"/>
        <v>0</v>
      </c>
      <c r="K21" s="208">
        <f t="shared" si="3"/>
        <v>0</v>
      </c>
      <c r="L21" s="208">
        <f t="shared" si="3"/>
        <v>0</v>
      </c>
      <c r="M21" s="208">
        <f t="shared" si="3"/>
        <v>0</v>
      </c>
      <c r="N21" s="208">
        <f t="shared" si="3"/>
        <v>5428</v>
      </c>
      <c r="O21" s="208">
        <f t="shared" si="3"/>
        <v>0</v>
      </c>
      <c r="P21" s="208">
        <f t="shared" si="3"/>
        <v>0</v>
      </c>
      <c r="Q21" s="208">
        <f t="shared" si="3"/>
        <v>0</v>
      </c>
      <c r="R21" s="208">
        <f t="shared" si="3"/>
        <v>0</v>
      </c>
      <c r="S21" s="208">
        <f t="shared" si="3"/>
        <v>0</v>
      </c>
      <c r="T21" s="208">
        <f t="shared" si="3"/>
        <v>0</v>
      </c>
      <c r="U21" s="208">
        <f t="shared" si="3"/>
        <v>0</v>
      </c>
      <c r="V21" s="208">
        <f t="shared" si="3"/>
        <v>0</v>
      </c>
      <c r="W21" s="208">
        <f t="shared" si="3"/>
        <v>0</v>
      </c>
      <c r="X21" s="208">
        <f t="shared" si="3"/>
        <v>21516</v>
      </c>
      <c r="Y21" s="208">
        <f t="shared" si="3"/>
        <v>0</v>
      </c>
      <c r="Z21" s="208">
        <f t="shared" si="3"/>
        <v>0</v>
      </c>
      <c r="AA21" s="208">
        <f t="shared" si="3"/>
        <v>0</v>
      </c>
      <c r="AB21" s="208">
        <f t="shared" si="3"/>
        <v>0</v>
      </c>
      <c r="AC21" s="208">
        <f t="shared" si="3"/>
        <v>0</v>
      </c>
      <c r="AD21" s="208">
        <f t="shared" si="3"/>
        <v>0</v>
      </c>
      <c r="AE21" s="208">
        <f t="shared" si="3"/>
        <v>0</v>
      </c>
      <c r="AF21" s="208">
        <f t="shared" si="3"/>
        <v>0</v>
      </c>
      <c r="AG21" s="208">
        <f t="shared" si="3"/>
        <v>0</v>
      </c>
      <c r="AH21" s="208">
        <f t="shared" si="3"/>
        <v>0</v>
      </c>
      <c r="AI21" s="208">
        <f t="shared" si="3"/>
        <v>0</v>
      </c>
      <c r="AJ21" s="208">
        <f t="shared" si="3"/>
        <v>0</v>
      </c>
    </row>
    <row r="22" spans="1:36" x14ac:dyDescent="0.3">
      <c r="AI22" s="93"/>
      <c r="AJ22" s="93"/>
    </row>
    <row r="26" spans="1:36" x14ac:dyDescent="0.3">
      <c r="AI26" s="93"/>
      <c r="AJ26" s="93"/>
    </row>
    <row r="27" spans="1:36" x14ac:dyDescent="0.3">
      <c r="AI27" s="93"/>
      <c r="AJ27" s="93"/>
    </row>
    <row r="32" spans="1:36" x14ac:dyDescent="0.3">
      <c r="AI32" s="93"/>
      <c r="AJ32" s="93"/>
    </row>
    <row r="33" spans="35:36" x14ac:dyDescent="0.3">
      <c r="AI33" s="93"/>
      <c r="AJ33" s="93"/>
    </row>
    <row r="35" spans="35:36" x14ac:dyDescent="0.3">
      <c r="AI35" s="93"/>
      <c r="AJ35" s="93"/>
    </row>
    <row r="38" spans="35:36" x14ac:dyDescent="0.3">
      <c r="AI38" s="30"/>
      <c r="AJ38" s="30"/>
    </row>
    <row r="39" spans="35:36" x14ac:dyDescent="0.3">
      <c r="AI39" s="30"/>
      <c r="AJ39" s="30"/>
    </row>
    <row r="40" spans="35:36" x14ac:dyDescent="0.3">
      <c r="AI40" s="30"/>
      <c r="AJ40" s="30"/>
    </row>
    <row r="41" spans="35:36" x14ac:dyDescent="0.3">
      <c r="AI41" s="30"/>
      <c r="AJ41" s="30"/>
    </row>
    <row r="42" spans="35:36" x14ac:dyDescent="0.3">
      <c r="AI42" s="30"/>
      <c r="AJ42" s="30"/>
    </row>
    <row r="43" spans="35:36" x14ac:dyDescent="0.3">
      <c r="AI43" s="30"/>
      <c r="AJ43" s="30"/>
    </row>
    <row r="44" spans="35:36" x14ac:dyDescent="0.3">
      <c r="AI44" s="30"/>
      <c r="AJ44" s="30"/>
    </row>
    <row r="45" spans="35:36" x14ac:dyDescent="0.3">
      <c r="AI45" s="30"/>
      <c r="AJ45" s="30"/>
    </row>
    <row r="46" spans="35:36" x14ac:dyDescent="0.3">
      <c r="AI46" s="30"/>
      <c r="AJ46" s="30"/>
    </row>
    <row r="47" spans="35:36" x14ac:dyDescent="0.3">
      <c r="AI47" s="30"/>
      <c r="AJ47" s="30"/>
    </row>
    <row r="48" spans="35:36" x14ac:dyDescent="0.3">
      <c r="AI48" s="30"/>
      <c r="AJ48" s="30"/>
    </row>
    <row r="49" spans="35:36" x14ac:dyDescent="0.3">
      <c r="AI49" s="30"/>
      <c r="AJ49" s="30"/>
    </row>
    <row r="50" spans="35:36" x14ac:dyDescent="0.3">
      <c r="AI50" s="30"/>
      <c r="AJ50" s="30"/>
    </row>
    <row r="51" spans="35:36" x14ac:dyDescent="0.3">
      <c r="AI51" s="30"/>
      <c r="AJ51" s="30"/>
    </row>
  </sheetData>
  <sheetProtection algorithmName="SHA-512" hashValue="MeguMM+RIT0cmR0FmgQ2M9KcDCqc3vsGlx36RQ9UIQFMl2x9PsFWwI4MBoK7rVzDuYferpznFchCBZEgsm9gJw==" saltValue="b5HIaFqG0n2UpaVoEnUaZ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CCFFCC"/>
  </sheetPr>
  <dimension ref="A1:AG47"/>
  <sheetViews>
    <sheetView workbookViewId="0">
      <pane xSplit="7" ySplit="8" topLeftCell="T9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A9" sqref="A9"/>
    </sheetView>
  </sheetViews>
  <sheetFormatPr defaultColWidth="9.109375" defaultRowHeight="14.4" x14ac:dyDescent="0.3"/>
  <cols>
    <col min="1" max="1" width="9.109375" style="51"/>
    <col min="2" max="2" width="40.109375" style="51" bestFit="1" customWidth="1"/>
    <col min="3" max="7" width="14.6640625" style="51" customWidth="1"/>
    <col min="8" max="14" width="15.6640625" style="51" customWidth="1"/>
    <col min="15" max="31" width="12.6640625" style="51" customWidth="1"/>
    <col min="32" max="33" width="21.33203125" style="50" customWidth="1"/>
    <col min="34" max="16384" width="9.109375" style="51"/>
  </cols>
  <sheetData>
    <row r="1" spans="1:33" ht="21" x14ac:dyDescent="0.4">
      <c r="A1" s="53" t="s">
        <v>0</v>
      </c>
      <c r="B1" s="59"/>
      <c r="C1" s="54" t="s">
        <v>356</v>
      </c>
      <c r="D1" s="54"/>
      <c r="E1" s="54"/>
      <c r="F1" s="60"/>
      <c r="G1" s="59"/>
      <c r="H1" s="59"/>
      <c r="I1" s="54"/>
      <c r="J1" s="59"/>
      <c r="K1" s="59"/>
      <c r="L1" s="59"/>
      <c r="M1" s="59"/>
      <c r="N1" s="53" t="str">
        <f>$C$1</f>
        <v>Title V - Abstinence Education</v>
      </c>
      <c r="O1" s="59"/>
      <c r="P1" s="54"/>
      <c r="Q1" s="59"/>
      <c r="R1" s="59"/>
      <c r="S1" s="59"/>
      <c r="T1" s="53" t="str">
        <f>$C$1</f>
        <v>Title V - Abstinence Education</v>
      </c>
      <c r="U1" s="59"/>
      <c r="V1" s="59"/>
      <c r="W1" s="59"/>
      <c r="X1" s="59"/>
      <c r="Y1" s="59"/>
      <c r="Z1" s="59"/>
      <c r="AA1" s="53" t="str">
        <f>$C$1</f>
        <v>Title V - Abstinence Education</v>
      </c>
      <c r="AB1" s="54"/>
      <c r="AC1" s="59"/>
      <c r="AD1" s="59"/>
      <c r="AE1" s="59"/>
      <c r="AF1" s="53"/>
      <c r="AG1" s="53"/>
    </row>
    <row r="2" spans="1:33" ht="21" x14ac:dyDescent="0.4">
      <c r="A2" s="53" t="s">
        <v>358</v>
      </c>
      <c r="B2" s="59"/>
      <c r="C2" s="54" t="s">
        <v>342</v>
      </c>
      <c r="D2" s="54"/>
      <c r="E2" s="54"/>
      <c r="F2" s="60"/>
      <c r="G2" s="59"/>
      <c r="H2" s="188"/>
      <c r="I2" s="189"/>
      <c r="J2" s="188"/>
      <c r="K2" s="188"/>
      <c r="L2" s="188"/>
      <c r="M2" s="188"/>
      <c r="N2" s="189" t="str">
        <f>"FY"&amp;$C$4</f>
        <v>FY2017-18</v>
      </c>
      <c r="O2" s="188"/>
      <c r="P2" s="189"/>
      <c r="Q2" s="188"/>
      <c r="R2" s="188"/>
      <c r="S2" s="188"/>
      <c r="T2" s="189" t="str">
        <f>"FY"&amp;$C$4</f>
        <v>FY2017-18</v>
      </c>
      <c r="U2" s="59"/>
      <c r="V2" s="59"/>
      <c r="W2" s="59"/>
      <c r="X2" s="59"/>
      <c r="Y2" s="59"/>
      <c r="Z2" s="59"/>
      <c r="AA2" s="190" t="str">
        <f>"FY"&amp;$C$4</f>
        <v>FY2017-18</v>
      </c>
      <c r="AB2" s="54"/>
      <c r="AC2" s="59"/>
      <c r="AD2" s="59"/>
      <c r="AE2" s="59"/>
      <c r="AF2" s="53"/>
      <c r="AG2" s="53"/>
    </row>
    <row r="3" spans="1:33" ht="15.6" x14ac:dyDescent="0.3">
      <c r="A3" s="56" t="s">
        <v>1</v>
      </c>
      <c r="B3" s="59"/>
      <c r="C3" s="57">
        <v>7235</v>
      </c>
      <c r="D3" s="57"/>
      <c r="E3" s="57"/>
      <c r="F3" s="60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0"/>
      <c r="AG3" s="60"/>
    </row>
    <row r="4" spans="1:33" ht="15.6" x14ac:dyDescent="0.3">
      <c r="A4" s="56" t="s">
        <v>2</v>
      </c>
      <c r="B4" s="59"/>
      <c r="C4" s="57" t="s">
        <v>241</v>
      </c>
      <c r="D4" s="57"/>
      <c r="E4" s="57"/>
      <c r="F4" s="56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60"/>
      <c r="AG4" s="60"/>
    </row>
    <row r="5" spans="1:33" ht="15.6" x14ac:dyDescent="0.3">
      <c r="A5" s="56" t="s">
        <v>18</v>
      </c>
      <c r="B5" s="59"/>
      <c r="C5" s="56" t="s">
        <v>419</v>
      </c>
      <c r="D5" s="56"/>
      <c r="E5" s="56"/>
      <c r="F5" s="58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8"/>
      <c r="AG5" s="58"/>
    </row>
    <row r="6" spans="1:33" ht="15.6" x14ac:dyDescent="0.3">
      <c r="A6" s="56" t="s">
        <v>19</v>
      </c>
      <c r="B6" s="59"/>
      <c r="C6" s="56" t="s">
        <v>429</v>
      </c>
      <c r="D6" s="56"/>
      <c r="E6" s="56"/>
      <c r="F6" s="58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8"/>
      <c r="AG6" s="58"/>
    </row>
    <row r="7" spans="1:33" ht="16.2" thickBot="1" x14ac:dyDescent="0.35">
      <c r="A7" s="56"/>
      <c r="B7" s="59"/>
      <c r="C7" s="56"/>
      <c r="D7" s="56"/>
      <c r="E7" s="56"/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8"/>
      <c r="AG7" s="58"/>
    </row>
    <row r="8" spans="1:33" ht="29.4" thickBot="1" x14ac:dyDescent="0.35">
      <c r="A8" s="61" t="s">
        <v>297</v>
      </c>
      <c r="B8" s="63" t="s">
        <v>255</v>
      </c>
      <c r="C8" s="61" t="s">
        <v>15</v>
      </c>
      <c r="D8" s="61" t="s">
        <v>183</v>
      </c>
      <c r="E8" s="61" t="s">
        <v>313</v>
      </c>
      <c r="F8" s="61" t="s">
        <v>16</v>
      </c>
      <c r="G8" s="25" t="s">
        <v>17</v>
      </c>
      <c r="H8" s="26" t="s">
        <v>63</v>
      </c>
      <c r="I8" s="27" t="s">
        <v>64</v>
      </c>
      <c r="J8" s="26" t="s">
        <v>65</v>
      </c>
      <c r="K8" s="27" t="s">
        <v>66</v>
      </c>
      <c r="L8" s="26" t="s">
        <v>67</v>
      </c>
      <c r="M8" s="27" t="s">
        <v>68</v>
      </c>
      <c r="N8" s="26" t="s">
        <v>69</v>
      </c>
      <c r="O8" s="27" t="s">
        <v>70</v>
      </c>
      <c r="P8" s="26" t="s">
        <v>71</v>
      </c>
      <c r="Q8" s="27" t="s">
        <v>72</v>
      </c>
      <c r="R8" s="27" t="s">
        <v>73</v>
      </c>
      <c r="S8" s="27" t="s">
        <v>74</v>
      </c>
      <c r="T8" s="27" t="s">
        <v>242</v>
      </c>
      <c r="U8" s="27" t="s">
        <v>243</v>
      </c>
      <c r="V8" s="27" t="s">
        <v>253</v>
      </c>
      <c r="W8" s="27" t="s">
        <v>244</v>
      </c>
      <c r="X8" s="27" t="s">
        <v>245</v>
      </c>
      <c r="Y8" s="27" t="s">
        <v>246</v>
      </c>
      <c r="Z8" s="27" t="s">
        <v>247</v>
      </c>
      <c r="AA8" s="27" t="s">
        <v>248</v>
      </c>
      <c r="AB8" s="27" t="s">
        <v>249</v>
      </c>
      <c r="AC8" s="27" t="s">
        <v>250</v>
      </c>
      <c r="AD8" s="27" t="s">
        <v>251</v>
      </c>
      <c r="AE8" s="27" t="s">
        <v>252</v>
      </c>
      <c r="AF8" s="12" t="s">
        <v>377</v>
      </c>
      <c r="AG8" s="12" t="s">
        <v>378</v>
      </c>
    </row>
    <row r="9" spans="1:33" ht="29.4" thickBot="1" x14ac:dyDescent="0.35">
      <c r="A9" s="172" t="s">
        <v>161</v>
      </c>
      <c r="B9" s="170" t="s">
        <v>311</v>
      </c>
      <c r="C9" s="152">
        <v>15000</v>
      </c>
      <c r="D9" s="152">
        <v>0</v>
      </c>
      <c r="E9" s="152">
        <f>C9+D9</f>
        <v>15000</v>
      </c>
      <c r="F9" s="152">
        <f t="shared" ref="F9:F12" si="0">SUM(H9:BB9)</f>
        <v>15000</v>
      </c>
      <c r="G9" s="152">
        <f>C9-F9</f>
        <v>0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>
        <v>15000</v>
      </c>
      <c r="T9" s="93"/>
      <c r="U9" s="93"/>
      <c r="V9" s="93"/>
      <c r="W9" s="92"/>
      <c r="X9" s="92"/>
      <c r="Y9" s="92"/>
      <c r="Z9" s="92"/>
      <c r="AA9" s="92"/>
      <c r="AB9" s="92"/>
      <c r="AC9" s="92"/>
      <c r="AD9" s="92"/>
      <c r="AE9" s="92"/>
    </row>
    <row r="10" spans="1:33" ht="15" thickBot="1" x14ac:dyDescent="0.35">
      <c r="A10" s="172" t="s">
        <v>169</v>
      </c>
      <c r="B10" s="170" t="s">
        <v>166</v>
      </c>
      <c r="C10" s="152">
        <v>219114</v>
      </c>
      <c r="D10" s="152">
        <v>0</v>
      </c>
      <c r="E10" s="152">
        <f t="shared" ref="E10:E15" si="1">C10+D10</f>
        <v>219114</v>
      </c>
      <c r="F10" s="152">
        <f t="shared" si="0"/>
        <v>219114</v>
      </c>
      <c r="G10" s="152">
        <f>C10-F10</f>
        <v>0</v>
      </c>
      <c r="H10" s="92"/>
      <c r="I10" s="92"/>
      <c r="J10" s="92">
        <v>9986</v>
      </c>
      <c r="K10" s="92">
        <v>9986</v>
      </c>
      <c r="L10" s="92">
        <v>22886</v>
      </c>
      <c r="M10" s="92">
        <f>5200+16047</f>
        <v>21247</v>
      </c>
      <c r="N10" s="92">
        <v>14312</v>
      </c>
      <c r="O10" s="92"/>
      <c r="P10" s="92">
        <f>18836+20333</f>
        <v>39169</v>
      </c>
      <c r="Q10" s="92">
        <v>23437</v>
      </c>
      <c r="R10" s="92">
        <v>15485</v>
      </c>
      <c r="S10" s="92"/>
      <c r="T10" s="93">
        <v>43304</v>
      </c>
      <c r="U10" s="93">
        <v>19302</v>
      </c>
      <c r="V10" s="93"/>
      <c r="W10" s="92"/>
      <c r="X10" s="92"/>
      <c r="Y10" s="92"/>
      <c r="Z10" s="92"/>
      <c r="AA10" s="92"/>
      <c r="AB10" s="92"/>
      <c r="AC10" s="92"/>
      <c r="AD10" s="92"/>
      <c r="AE10" s="92"/>
    </row>
    <row r="11" spans="1:33" ht="15" thickBot="1" x14ac:dyDescent="0.35">
      <c r="A11" s="172" t="s">
        <v>162</v>
      </c>
      <c r="B11" s="170" t="s">
        <v>165</v>
      </c>
      <c r="C11" s="152">
        <v>183924</v>
      </c>
      <c r="D11" s="152">
        <v>0</v>
      </c>
      <c r="E11" s="152">
        <f t="shared" si="1"/>
        <v>183924</v>
      </c>
      <c r="F11" s="152">
        <f>SUM(H11:BB11)</f>
        <v>183924</v>
      </c>
      <c r="G11" s="152">
        <f>C11-F11</f>
        <v>0</v>
      </c>
      <c r="H11" s="92"/>
      <c r="I11" s="92">
        <v>15327</v>
      </c>
      <c r="J11" s="92">
        <v>15327</v>
      </c>
      <c r="K11" s="92">
        <v>15327</v>
      </c>
      <c r="L11" s="92">
        <v>15327</v>
      </c>
      <c r="M11" s="92">
        <v>15327</v>
      </c>
      <c r="N11" s="92">
        <v>15327</v>
      </c>
      <c r="O11" s="92">
        <v>15327</v>
      </c>
      <c r="P11" s="92">
        <v>29806</v>
      </c>
      <c r="Q11" s="92">
        <v>13975</v>
      </c>
      <c r="R11" s="92">
        <v>10952</v>
      </c>
      <c r="S11" s="92">
        <v>10952</v>
      </c>
      <c r="T11" s="93"/>
      <c r="U11" s="93">
        <v>10950</v>
      </c>
      <c r="V11" s="93"/>
      <c r="W11" s="92"/>
      <c r="X11" s="92"/>
      <c r="Y11" s="92"/>
      <c r="Z11" s="92"/>
      <c r="AA11" s="92"/>
      <c r="AB11" s="92"/>
      <c r="AC11" s="92"/>
      <c r="AD11" s="92"/>
      <c r="AE11" s="92"/>
    </row>
    <row r="12" spans="1:33" ht="15" thickBot="1" x14ac:dyDescent="0.35">
      <c r="A12" s="172" t="s">
        <v>163</v>
      </c>
      <c r="B12" s="170" t="s">
        <v>167</v>
      </c>
      <c r="C12" s="152">
        <v>219038</v>
      </c>
      <c r="D12" s="152">
        <v>0</v>
      </c>
      <c r="E12" s="152">
        <f t="shared" si="1"/>
        <v>219038</v>
      </c>
      <c r="F12" s="152">
        <f t="shared" si="0"/>
        <v>202626</v>
      </c>
      <c r="G12" s="152">
        <f>C12-F12</f>
        <v>16412</v>
      </c>
      <c r="H12" s="92"/>
      <c r="I12" s="92">
        <v>12873</v>
      </c>
      <c r="J12" s="92">
        <v>17745</v>
      </c>
      <c r="K12" s="92">
        <v>16261</v>
      </c>
      <c r="L12" s="92">
        <v>15775</v>
      </c>
      <c r="M12" s="92">
        <v>16185</v>
      </c>
      <c r="N12" s="92">
        <v>14932</v>
      </c>
      <c r="O12" s="92">
        <v>15345</v>
      </c>
      <c r="P12" s="92">
        <v>21191</v>
      </c>
      <c r="Q12" s="92">
        <v>28803</v>
      </c>
      <c r="R12" s="92">
        <v>13694</v>
      </c>
      <c r="S12" s="92">
        <v>11439</v>
      </c>
      <c r="T12" s="93">
        <v>18383</v>
      </c>
      <c r="U12" s="93">
        <v>4335</v>
      </c>
      <c r="V12" s="93"/>
      <c r="W12" s="92"/>
      <c r="X12" s="92">
        <v>-4335</v>
      </c>
      <c r="Y12" s="92"/>
      <c r="Z12" s="92"/>
      <c r="AA12" s="92"/>
      <c r="AB12" s="92"/>
      <c r="AC12" s="92"/>
      <c r="AD12" s="92"/>
      <c r="AE12" s="92"/>
    </row>
    <row r="13" spans="1:33" ht="15" thickBot="1" x14ac:dyDescent="0.35">
      <c r="A13" s="172" t="s">
        <v>164</v>
      </c>
      <c r="B13" s="170" t="s">
        <v>168</v>
      </c>
      <c r="C13" s="152">
        <v>219114</v>
      </c>
      <c r="D13" s="152">
        <v>0</v>
      </c>
      <c r="E13" s="152">
        <f t="shared" si="1"/>
        <v>219114</v>
      </c>
      <c r="F13" s="152">
        <f>SUM(H13:AZ13)</f>
        <v>183912</v>
      </c>
      <c r="G13" s="152">
        <f>C13-F13</f>
        <v>35202</v>
      </c>
      <c r="H13" s="92"/>
      <c r="I13" s="92">
        <v>19445</v>
      </c>
      <c r="J13" s="92">
        <v>6895</v>
      </c>
      <c r="K13" s="92">
        <v>11872</v>
      </c>
      <c r="L13" s="92">
        <v>16847</v>
      </c>
      <c r="M13" s="92">
        <v>9882</v>
      </c>
      <c r="N13" s="92">
        <v>5332</v>
      </c>
      <c r="O13" s="92">
        <v>51285</v>
      </c>
      <c r="P13" s="92">
        <v>23968</v>
      </c>
      <c r="Q13" s="92">
        <v>12993</v>
      </c>
      <c r="R13" s="92">
        <v>6815</v>
      </c>
      <c r="S13" s="92"/>
      <c r="T13" s="93">
        <v>9981</v>
      </c>
      <c r="U13" s="93"/>
      <c r="V13" s="93">
        <v>8597</v>
      </c>
      <c r="W13" s="92"/>
      <c r="X13" s="92"/>
      <c r="Y13" s="92"/>
      <c r="Z13" s="92"/>
      <c r="AA13" s="92"/>
      <c r="AB13" s="92"/>
      <c r="AC13" s="92"/>
      <c r="AD13" s="92"/>
      <c r="AE13" s="92"/>
      <c r="AF13" s="51"/>
      <c r="AG13" s="51"/>
    </row>
    <row r="14" spans="1:33" ht="15" thickBot="1" x14ac:dyDescent="0.35">
      <c r="A14" s="172"/>
      <c r="B14" s="170"/>
      <c r="C14" s="152"/>
      <c r="D14" s="152"/>
      <c r="E14" s="152">
        <f>C14+D14</f>
        <v>0</v>
      </c>
      <c r="F14" s="152"/>
      <c r="G14" s="15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3"/>
      <c r="U14" s="93"/>
      <c r="V14" s="93"/>
      <c r="W14" s="92"/>
      <c r="X14" s="92"/>
      <c r="Y14" s="92"/>
      <c r="Z14" s="92"/>
      <c r="AA14" s="92"/>
      <c r="AB14" s="92"/>
      <c r="AC14" s="92"/>
      <c r="AD14" s="92"/>
      <c r="AE14" s="92"/>
      <c r="AF14" s="51"/>
      <c r="AG14" s="51"/>
    </row>
    <row r="15" spans="1:33" s="24" customFormat="1" ht="15" thickBot="1" x14ac:dyDescent="0.35">
      <c r="A15" s="44" t="s">
        <v>49</v>
      </c>
      <c r="B15" s="64"/>
      <c r="C15" s="174">
        <f t="shared" ref="C15:AG15" si="2">SUM(C9:C14)</f>
        <v>856190</v>
      </c>
      <c r="D15" s="174">
        <v>0</v>
      </c>
      <c r="E15" s="174">
        <f t="shared" si="1"/>
        <v>856190</v>
      </c>
      <c r="F15" s="174">
        <f t="shared" si="2"/>
        <v>804576</v>
      </c>
      <c r="G15" s="174">
        <f t="shared" si="2"/>
        <v>51614</v>
      </c>
      <c r="H15" s="174">
        <f t="shared" si="2"/>
        <v>0</v>
      </c>
      <c r="I15" s="174">
        <f t="shared" si="2"/>
        <v>47645</v>
      </c>
      <c r="J15" s="174">
        <f t="shared" si="2"/>
        <v>49953</v>
      </c>
      <c r="K15" s="174">
        <f t="shared" si="2"/>
        <v>53446</v>
      </c>
      <c r="L15" s="174">
        <f t="shared" si="2"/>
        <v>70835</v>
      </c>
      <c r="M15" s="174">
        <f t="shared" si="2"/>
        <v>62641</v>
      </c>
      <c r="N15" s="174">
        <f t="shared" si="2"/>
        <v>49903</v>
      </c>
      <c r="O15" s="174">
        <f t="shared" si="2"/>
        <v>81957</v>
      </c>
      <c r="P15" s="174">
        <f t="shared" si="2"/>
        <v>114134</v>
      </c>
      <c r="Q15" s="174">
        <f t="shared" si="2"/>
        <v>79208</v>
      </c>
      <c r="R15" s="174">
        <f t="shared" si="2"/>
        <v>46946</v>
      </c>
      <c r="S15" s="174">
        <f t="shared" si="2"/>
        <v>37391</v>
      </c>
      <c r="T15" s="174">
        <f t="shared" si="2"/>
        <v>71668</v>
      </c>
      <c r="U15" s="174">
        <f t="shared" si="2"/>
        <v>34587</v>
      </c>
      <c r="V15" s="174">
        <f t="shared" si="2"/>
        <v>8597</v>
      </c>
      <c r="W15" s="174">
        <f t="shared" si="2"/>
        <v>0</v>
      </c>
      <c r="X15" s="174">
        <f t="shared" si="2"/>
        <v>-4335</v>
      </c>
      <c r="Y15" s="174">
        <f t="shared" si="2"/>
        <v>0</v>
      </c>
      <c r="Z15" s="174">
        <f t="shared" si="2"/>
        <v>0</v>
      </c>
      <c r="AA15" s="174">
        <f t="shared" si="2"/>
        <v>0</v>
      </c>
      <c r="AB15" s="174">
        <f t="shared" si="2"/>
        <v>0</v>
      </c>
      <c r="AC15" s="174">
        <f t="shared" si="2"/>
        <v>0</v>
      </c>
      <c r="AD15" s="174">
        <f t="shared" si="2"/>
        <v>0</v>
      </c>
      <c r="AE15" s="174">
        <f t="shared" si="2"/>
        <v>0</v>
      </c>
      <c r="AF15" s="174">
        <f t="shared" si="2"/>
        <v>0</v>
      </c>
      <c r="AG15" s="174">
        <f t="shared" si="2"/>
        <v>0</v>
      </c>
    </row>
    <row r="16" spans="1:33" x14ac:dyDescent="0.3">
      <c r="C16" s="52"/>
      <c r="D16" s="52"/>
      <c r="E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3:33" x14ac:dyDescent="0.3">
      <c r="C17" s="52"/>
      <c r="D17" s="52"/>
      <c r="E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W17" s="52"/>
      <c r="X17" s="52"/>
      <c r="Y17" s="52"/>
      <c r="Z17" s="52"/>
      <c r="AA17" s="52"/>
      <c r="AB17" s="52"/>
      <c r="AC17" s="52"/>
      <c r="AD17" s="52"/>
      <c r="AE17" s="52"/>
    </row>
    <row r="18" spans="3:33" x14ac:dyDescent="0.3">
      <c r="C18" s="52"/>
      <c r="D18" s="52"/>
      <c r="E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W18" s="52"/>
      <c r="X18" s="52"/>
      <c r="Y18" s="52"/>
      <c r="Z18" s="52"/>
      <c r="AA18" s="52"/>
      <c r="AB18" s="52"/>
      <c r="AC18" s="52"/>
      <c r="AD18" s="52"/>
      <c r="AE18" s="52"/>
      <c r="AF18" s="93"/>
      <c r="AG18" s="93"/>
    </row>
    <row r="19" spans="3:33" x14ac:dyDescent="0.3">
      <c r="C19" s="52"/>
      <c r="D19" s="52"/>
      <c r="E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W19" s="52"/>
      <c r="X19" s="52"/>
      <c r="Y19" s="52"/>
      <c r="Z19" s="52"/>
      <c r="AA19" s="52"/>
      <c r="AB19" s="52"/>
      <c r="AC19" s="52"/>
      <c r="AD19" s="52"/>
      <c r="AE19" s="52"/>
    </row>
    <row r="20" spans="3:33" x14ac:dyDescent="0.3">
      <c r="C20" s="52"/>
      <c r="D20" s="52"/>
      <c r="E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W20" s="52"/>
      <c r="X20" s="52"/>
      <c r="Y20" s="52"/>
      <c r="Z20" s="52"/>
      <c r="AA20" s="52"/>
      <c r="AB20" s="52"/>
      <c r="AC20" s="52"/>
      <c r="AD20" s="52"/>
      <c r="AE20" s="52"/>
    </row>
    <row r="21" spans="3:33" x14ac:dyDescent="0.3">
      <c r="C21" s="52"/>
      <c r="D21" s="52"/>
      <c r="E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W21" s="52"/>
      <c r="X21" s="52"/>
      <c r="Y21" s="52"/>
      <c r="Z21" s="52"/>
      <c r="AA21" s="52"/>
      <c r="AB21" s="52"/>
      <c r="AC21" s="52"/>
      <c r="AD21" s="52"/>
      <c r="AE21" s="52"/>
    </row>
    <row r="22" spans="3:33" x14ac:dyDescent="0.3">
      <c r="C22" s="52"/>
      <c r="D22" s="52"/>
      <c r="E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W22" s="52"/>
      <c r="X22" s="52"/>
      <c r="Y22" s="52"/>
      <c r="Z22" s="52"/>
      <c r="AA22" s="52"/>
      <c r="AB22" s="52"/>
      <c r="AC22" s="52"/>
      <c r="AD22" s="52"/>
      <c r="AE22" s="52"/>
      <c r="AF22" s="93"/>
      <c r="AG22" s="93"/>
    </row>
    <row r="23" spans="3:33" x14ac:dyDescent="0.3">
      <c r="C23" s="52"/>
      <c r="D23" s="52"/>
      <c r="E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W23" s="52"/>
      <c r="X23" s="52"/>
      <c r="Y23" s="52"/>
      <c r="Z23" s="52"/>
      <c r="AA23" s="52"/>
      <c r="AB23" s="52"/>
      <c r="AC23" s="52"/>
      <c r="AD23" s="52"/>
      <c r="AE23" s="52"/>
      <c r="AF23" s="93"/>
      <c r="AG23" s="93"/>
    </row>
    <row r="24" spans="3:33" x14ac:dyDescent="0.3">
      <c r="C24" s="52"/>
      <c r="D24" s="52"/>
      <c r="E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W24" s="52"/>
      <c r="X24" s="52"/>
      <c r="Y24" s="52"/>
      <c r="Z24" s="52"/>
      <c r="AA24" s="52"/>
      <c r="AB24" s="52"/>
      <c r="AC24" s="52"/>
      <c r="AD24" s="52"/>
      <c r="AE24" s="52"/>
    </row>
    <row r="25" spans="3:33" x14ac:dyDescent="0.3">
      <c r="C25" s="52"/>
      <c r="D25" s="52"/>
      <c r="E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W25" s="52"/>
      <c r="X25" s="52"/>
      <c r="Y25" s="52"/>
      <c r="Z25" s="52"/>
      <c r="AA25" s="52"/>
      <c r="AB25" s="52"/>
      <c r="AC25" s="52"/>
      <c r="AD25" s="52"/>
      <c r="AE25" s="52"/>
    </row>
    <row r="26" spans="3:33" x14ac:dyDescent="0.3">
      <c r="C26" s="52"/>
      <c r="D26" s="52"/>
      <c r="E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W26" s="52"/>
      <c r="X26" s="52"/>
      <c r="Y26" s="52"/>
      <c r="Z26" s="52"/>
      <c r="AA26" s="52"/>
      <c r="AB26" s="52"/>
      <c r="AC26" s="52"/>
      <c r="AD26" s="52"/>
      <c r="AE26" s="52"/>
    </row>
    <row r="27" spans="3:33" x14ac:dyDescent="0.3">
      <c r="C27" s="52"/>
      <c r="D27" s="52"/>
      <c r="E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W27" s="52"/>
      <c r="X27" s="52"/>
      <c r="Y27" s="52"/>
      <c r="Z27" s="52"/>
      <c r="AA27" s="52"/>
      <c r="AB27" s="52"/>
      <c r="AC27" s="52"/>
      <c r="AD27" s="52"/>
      <c r="AE27" s="52"/>
    </row>
    <row r="28" spans="3:33" x14ac:dyDescent="0.3">
      <c r="C28" s="52"/>
      <c r="D28" s="52"/>
      <c r="E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W28" s="52"/>
      <c r="X28" s="52"/>
      <c r="Y28" s="52"/>
      <c r="Z28" s="52"/>
      <c r="AA28" s="52"/>
      <c r="AB28" s="52"/>
      <c r="AC28" s="52"/>
      <c r="AD28" s="52"/>
      <c r="AE28" s="52"/>
    </row>
    <row r="29" spans="3:33" x14ac:dyDescent="0.3">
      <c r="C29" s="52"/>
      <c r="D29" s="52"/>
      <c r="E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W29" s="52"/>
      <c r="X29" s="52"/>
      <c r="Y29" s="52"/>
      <c r="Z29" s="52"/>
      <c r="AA29" s="52"/>
      <c r="AB29" s="52"/>
      <c r="AC29" s="52"/>
      <c r="AD29" s="52"/>
      <c r="AE29" s="52"/>
      <c r="AF29" s="93"/>
      <c r="AG29" s="93"/>
    </row>
    <row r="30" spans="3:33" x14ac:dyDescent="0.3"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W30" s="52"/>
      <c r="X30" s="52"/>
      <c r="Y30" s="52"/>
      <c r="Z30" s="52"/>
      <c r="AA30" s="52"/>
      <c r="AB30" s="52"/>
      <c r="AC30" s="52"/>
      <c r="AD30" s="52"/>
      <c r="AE30" s="52"/>
    </row>
    <row r="31" spans="3:33" x14ac:dyDescent="0.3"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W31" s="52"/>
      <c r="X31" s="52"/>
      <c r="Y31" s="52"/>
      <c r="Z31" s="52"/>
      <c r="AA31" s="52"/>
      <c r="AB31" s="52"/>
      <c r="AC31" s="52"/>
      <c r="AD31" s="52"/>
      <c r="AE31" s="52"/>
    </row>
    <row r="32" spans="3:33" x14ac:dyDescent="0.3"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W32" s="52"/>
      <c r="X32" s="52"/>
      <c r="Y32" s="52"/>
      <c r="Z32" s="52"/>
      <c r="AA32" s="52"/>
      <c r="AB32" s="52"/>
      <c r="AC32" s="52"/>
      <c r="AD32" s="52"/>
      <c r="AE32" s="52"/>
      <c r="AF32" s="51"/>
      <c r="AG32" s="51"/>
    </row>
    <row r="33" spans="8:33" x14ac:dyDescent="0.3"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W33" s="52"/>
      <c r="X33" s="52"/>
      <c r="Y33" s="52"/>
      <c r="Z33" s="52"/>
      <c r="AA33" s="52"/>
      <c r="AB33" s="52"/>
      <c r="AC33" s="52"/>
      <c r="AD33" s="52"/>
      <c r="AE33" s="52"/>
      <c r="AF33" s="51"/>
      <c r="AG33" s="51"/>
    </row>
    <row r="34" spans="8:33" x14ac:dyDescent="0.3"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W34" s="52"/>
      <c r="X34" s="52"/>
      <c r="Y34" s="52"/>
      <c r="Z34" s="52"/>
      <c r="AA34" s="52"/>
      <c r="AB34" s="52"/>
      <c r="AC34" s="52"/>
      <c r="AD34" s="52"/>
      <c r="AE34" s="52"/>
      <c r="AF34" s="30"/>
      <c r="AG34" s="30"/>
    </row>
    <row r="35" spans="8:33" x14ac:dyDescent="0.3"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W35" s="52"/>
      <c r="X35" s="52"/>
      <c r="Y35" s="52"/>
      <c r="Z35" s="52"/>
      <c r="AA35" s="52"/>
      <c r="AB35" s="52"/>
      <c r="AC35" s="52"/>
      <c r="AD35" s="52"/>
      <c r="AE35" s="52"/>
      <c r="AF35" s="30"/>
      <c r="AG35" s="30"/>
    </row>
    <row r="36" spans="8:33" x14ac:dyDescent="0.3"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W36" s="52"/>
      <c r="X36" s="52"/>
      <c r="Y36" s="52"/>
      <c r="Z36" s="52"/>
      <c r="AA36" s="52"/>
      <c r="AB36" s="52"/>
      <c r="AC36" s="52"/>
      <c r="AD36" s="52"/>
      <c r="AE36" s="52"/>
      <c r="AF36" s="30"/>
      <c r="AG36" s="30"/>
    </row>
    <row r="37" spans="8:33" x14ac:dyDescent="0.3"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W37" s="52"/>
      <c r="X37" s="52"/>
      <c r="Y37" s="52"/>
      <c r="Z37" s="52"/>
      <c r="AA37" s="52"/>
      <c r="AB37" s="52"/>
      <c r="AC37" s="52"/>
      <c r="AD37" s="52"/>
      <c r="AE37" s="52"/>
      <c r="AF37" s="30"/>
      <c r="AG37" s="30"/>
    </row>
    <row r="38" spans="8:33" x14ac:dyDescent="0.3"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W38" s="52"/>
      <c r="X38" s="52"/>
      <c r="Y38" s="52"/>
      <c r="Z38" s="52"/>
      <c r="AA38" s="52"/>
      <c r="AB38" s="52"/>
      <c r="AC38" s="52"/>
      <c r="AD38" s="52"/>
      <c r="AE38" s="52"/>
      <c r="AF38" s="30"/>
      <c r="AG38" s="30"/>
    </row>
    <row r="39" spans="8:33" x14ac:dyDescent="0.3"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W39" s="52"/>
      <c r="X39" s="52"/>
      <c r="Y39" s="52"/>
      <c r="Z39" s="52"/>
      <c r="AA39" s="52"/>
      <c r="AB39" s="52"/>
      <c r="AC39" s="52"/>
      <c r="AD39" s="52"/>
      <c r="AE39" s="52"/>
      <c r="AF39" s="30"/>
      <c r="AG39" s="30"/>
    </row>
    <row r="40" spans="8:33" x14ac:dyDescent="0.3"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W40" s="52"/>
      <c r="X40" s="52"/>
      <c r="Y40" s="52"/>
      <c r="Z40" s="52"/>
      <c r="AA40" s="52"/>
      <c r="AB40" s="52"/>
      <c r="AC40" s="52"/>
      <c r="AD40" s="52"/>
      <c r="AE40" s="52"/>
      <c r="AF40" s="30"/>
      <c r="AG40" s="30"/>
    </row>
    <row r="41" spans="8:33" x14ac:dyDescent="0.3"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W41" s="52"/>
      <c r="X41" s="52"/>
      <c r="Y41" s="52"/>
      <c r="Z41" s="52"/>
      <c r="AA41" s="52"/>
      <c r="AB41" s="52"/>
      <c r="AC41" s="52"/>
      <c r="AD41" s="52"/>
      <c r="AE41" s="52"/>
      <c r="AF41" s="30"/>
      <c r="AG41" s="30"/>
    </row>
    <row r="42" spans="8:33" x14ac:dyDescent="0.3"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W42" s="52"/>
      <c r="X42" s="52"/>
      <c r="Y42" s="52"/>
      <c r="Z42" s="52"/>
      <c r="AA42" s="52"/>
      <c r="AB42" s="52"/>
      <c r="AC42" s="52"/>
      <c r="AD42" s="52"/>
      <c r="AE42" s="52"/>
      <c r="AF42" s="30"/>
      <c r="AG42" s="30"/>
    </row>
    <row r="43" spans="8:33" x14ac:dyDescent="0.3"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W43" s="52"/>
      <c r="X43" s="52"/>
      <c r="Y43" s="52"/>
      <c r="Z43" s="52"/>
      <c r="AA43" s="52"/>
      <c r="AB43" s="52"/>
      <c r="AC43" s="52"/>
      <c r="AD43" s="52"/>
      <c r="AE43" s="52"/>
      <c r="AF43" s="30"/>
      <c r="AG43" s="30"/>
    </row>
    <row r="44" spans="8:33" x14ac:dyDescent="0.3"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W44" s="52"/>
      <c r="X44" s="52"/>
      <c r="Y44" s="52"/>
      <c r="Z44" s="52"/>
      <c r="AA44" s="52"/>
      <c r="AB44" s="52"/>
      <c r="AC44" s="52"/>
      <c r="AD44" s="52"/>
      <c r="AE44" s="52"/>
      <c r="AF44" s="30"/>
      <c r="AG44" s="30"/>
    </row>
    <row r="45" spans="8:33" x14ac:dyDescent="0.3"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W45" s="52"/>
      <c r="X45" s="52"/>
      <c r="Y45" s="52"/>
      <c r="Z45" s="52"/>
      <c r="AA45" s="52"/>
      <c r="AB45" s="52"/>
      <c r="AC45" s="52"/>
      <c r="AD45" s="52"/>
      <c r="AE45" s="52"/>
      <c r="AF45" s="30"/>
      <c r="AG45" s="30"/>
    </row>
    <row r="46" spans="8:33" x14ac:dyDescent="0.3"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W46" s="52"/>
      <c r="X46" s="52"/>
      <c r="Y46" s="52"/>
      <c r="Z46" s="52"/>
      <c r="AA46" s="52"/>
      <c r="AB46" s="52"/>
      <c r="AC46" s="52"/>
      <c r="AD46" s="52"/>
      <c r="AE46" s="52"/>
      <c r="AF46" s="30"/>
      <c r="AG46" s="30"/>
    </row>
    <row r="47" spans="8:33" x14ac:dyDescent="0.3"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W47" s="52"/>
      <c r="X47" s="52"/>
      <c r="Y47" s="52"/>
      <c r="Z47" s="52"/>
      <c r="AA47" s="52"/>
      <c r="AB47" s="52"/>
      <c r="AC47" s="52"/>
      <c r="AD47" s="52"/>
      <c r="AE47" s="52"/>
    </row>
  </sheetData>
  <sheetProtection password="DC61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CCFFCC"/>
  </sheetPr>
  <dimension ref="A1:AJ140"/>
  <sheetViews>
    <sheetView zoomScaleNormal="100" workbookViewId="0">
      <pane xSplit="7" ySplit="8" topLeftCell="H24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A9" sqref="A9"/>
    </sheetView>
  </sheetViews>
  <sheetFormatPr defaultColWidth="9.109375" defaultRowHeight="14.4" x14ac:dyDescent="0.3"/>
  <cols>
    <col min="1" max="1" width="9.44140625" style="2" customWidth="1"/>
    <col min="2" max="2" width="45" style="51" bestFit="1" customWidth="1"/>
    <col min="3" max="5" width="17.5546875" style="51" customWidth="1"/>
    <col min="6" max="6" width="16.88671875" style="51" customWidth="1"/>
    <col min="7" max="7" width="28.44140625" style="51" customWidth="1"/>
    <col min="8" max="34" width="15.6640625" style="4" customWidth="1"/>
    <col min="35" max="36" width="21.33203125" style="50" customWidth="1"/>
    <col min="37" max="16384" width="9.109375" style="51"/>
  </cols>
  <sheetData>
    <row r="1" spans="1:36" ht="21" x14ac:dyDescent="0.4">
      <c r="A1" s="53" t="s">
        <v>0</v>
      </c>
      <c r="B1" s="59"/>
      <c r="C1" s="54" t="s">
        <v>20</v>
      </c>
      <c r="D1" s="54"/>
      <c r="E1" s="54"/>
      <c r="F1" s="53"/>
      <c r="G1" s="55"/>
      <c r="H1" s="60"/>
      <c r="I1" s="60"/>
      <c r="J1" s="54"/>
      <c r="K1" s="54"/>
      <c r="L1" s="54"/>
      <c r="M1" s="53"/>
      <c r="N1" s="53" t="str">
        <f>$C$1</f>
        <v xml:space="preserve">Adult Education </v>
      </c>
      <c r="O1" s="55"/>
      <c r="P1" s="55"/>
      <c r="Q1" s="60"/>
      <c r="R1" s="60"/>
      <c r="S1" s="54"/>
      <c r="T1" s="53" t="str">
        <f>$C$1</f>
        <v xml:space="preserve">Adult Education </v>
      </c>
      <c r="U1" s="53"/>
      <c r="V1" s="53"/>
      <c r="W1" s="54"/>
      <c r="X1" s="54"/>
      <c r="Y1" s="53"/>
      <c r="Z1" s="53"/>
      <c r="AA1" s="53" t="str">
        <f>$C$1</f>
        <v xml:space="preserve">Adult Education </v>
      </c>
      <c r="AB1" s="55"/>
      <c r="AC1" s="60"/>
      <c r="AD1" s="60"/>
      <c r="AE1" s="54"/>
      <c r="AF1" s="54"/>
      <c r="AG1" s="53" t="str">
        <f>$C$1</f>
        <v xml:space="preserve">Adult Education </v>
      </c>
      <c r="AH1" s="53"/>
      <c r="AI1" s="53"/>
      <c r="AJ1" s="53"/>
    </row>
    <row r="2" spans="1:36" s="3" customFormat="1" ht="21" x14ac:dyDescent="0.4">
      <c r="A2" s="53" t="s">
        <v>358</v>
      </c>
      <c r="B2" s="55"/>
      <c r="C2" s="53" t="s">
        <v>361</v>
      </c>
      <c r="D2" s="53"/>
      <c r="E2" s="53"/>
      <c r="F2" s="53"/>
      <c r="G2" s="185"/>
      <c r="H2" s="185"/>
      <c r="I2" s="185"/>
      <c r="J2" s="185"/>
      <c r="K2" s="185"/>
      <c r="L2" s="185"/>
      <c r="M2" s="15"/>
      <c r="N2" s="187" t="str">
        <f>"FY"&amp;$C$4</f>
        <v>FY2017-18</v>
      </c>
      <c r="O2" s="15"/>
      <c r="P2" s="15"/>
      <c r="Q2" s="15"/>
      <c r="R2" s="15"/>
      <c r="S2" s="15"/>
      <c r="T2" s="187" t="str">
        <f>"FY"&amp;$C$4</f>
        <v>FY2017-18</v>
      </c>
      <c r="U2" s="15"/>
      <c r="V2" s="15"/>
      <c r="W2" s="185"/>
      <c r="X2" s="185"/>
      <c r="Y2" s="15"/>
      <c r="Z2" s="15"/>
      <c r="AA2" s="187" t="str">
        <f>"FY"&amp;$C$4</f>
        <v>FY2017-18</v>
      </c>
      <c r="AB2" s="15"/>
      <c r="AC2" s="15"/>
      <c r="AD2" s="15"/>
      <c r="AE2" s="15"/>
      <c r="AF2" s="15"/>
      <c r="AG2" s="187" t="str">
        <f>"FY"&amp;$C$4</f>
        <v>FY2017-18</v>
      </c>
      <c r="AH2" s="15"/>
      <c r="AI2" s="53"/>
      <c r="AJ2" s="53"/>
    </row>
    <row r="3" spans="1:36" ht="15.6" x14ac:dyDescent="0.3">
      <c r="A3" s="56" t="s">
        <v>1</v>
      </c>
      <c r="B3" s="59"/>
      <c r="C3" s="57">
        <v>5002</v>
      </c>
      <c r="D3" s="57"/>
      <c r="E3" s="57"/>
      <c r="F3" s="56"/>
      <c r="G3" s="19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</row>
    <row r="4" spans="1:36" ht="15.6" x14ac:dyDescent="0.3">
      <c r="A4" s="56" t="s">
        <v>2</v>
      </c>
      <c r="B4" s="59"/>
      <c r="C4" s="57" t="s">
        <v>241</v>
      </c>
      <c r="D4" s="57"/>
      <c r="E4" s="57"/>
      <c r="F4" s="56"/>
      <c r="G4" s="19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</row>
    <row r="5" spans="1:36" ht="15.6" x14ac:dyDescent="0.3">
      <c r="A5" s="56" t="s">
        <v>18</v>
      </c>
      <c r="B5" s="59"/>
      <c r="C5" s="56" t="s">
        <v>421</v>
      </c>
      <c r="D5" s="56"/>
      <c r="E5" s="56"/>
      <c r="F5" s="56"/>
      <c r="G5" s="9"/>
      <c r="H5" s="9"/>
      <c r="I5" s="9"/>
      <c r="J5" s="9"/>
      <c r="K5" s="9"/>
      <c r="L5" s="9"/>
      <c r="M5" s="58"/>
      <c r="N5" s="58"/>
      <c r="O5" s="58"/>
      <c r="P5" s="58"/>
      <c r="Q5" s="58"/>
      <c r="R5" s="58"/>
      <c r="S5" s="58"/>
      <c r="T5" s="58"/>
      <c r="U5" s="58"/>
      <c r="V5" s="58"/>
      <c r="W5" s="9"/>
      <c r="X5" s="9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</row>
    <row r="6" spans="1:36" ht="15.6" x14ac:dyDescent="0.3">
      <c r="A6" s="56" t="s">
        <v>19</v>
      </c>
      <c r="B6" s="59"/>
      <c r="C6" s="56" t="s">
        <v>21</v>
      </c>
      <c r="D6" s="56"/>
      <c r="E6" s="56"/>
      <c r="F6" s="56"/>
      <c r="G6" s="9"/>
      <c r="H6" s="9"/>
      <c r="I6" s="9"/>
      <c r="J6" s="9"/>
      <c r="K6" s="9"/>
      <c r="L6" s="9"/>
      <c r="M6" s="58"/>
      <c r="N6" s="58"/>
      <c r="O6" s="58"/>
      <c r="P6" s="58"/>
      <c r="Q6" s="58"/>
      <c r="R6" s="58"/>
      <c r="S6" s="58"/>
      <c r="T6" s="58"/>
      <c r="U6" s="58"/>
      <c r="V6" s="58"/>
      <c r="W6" s="9"/>
      <c r="X6" s="9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36" ht="21.6" thickBot="1" x14ac:dyDescent="0.45">
      <c r="A7" s="53"/>
      <c r="B7" s="59"/>
      <c r="C7" s="19"/>
      <c r="D7" s="19"/>
      <c r="E7" s="19"/>
      <c r="F7" s="19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</row>
    <row r="8" spans="1:36" s="5" customFormat="1" ht="29.4" thickBot="1" x14ac:dyDescent="0.35">
      <c r="A8" s="186" t="s">
        <v>297</v>
      </c>
      <c r="B8" s="12" t="s">
        <v>255</v>
      </c>
      <c r="C8" s="12" t="s">
        <v>15</v>
      </c>
      <c r="D8" s="61" t="s">
        <v>183</v>
      </c>
      <c r="E8" s="61" t="s">
        <v>313</v>
      </c>
      <c r="F8" s="13" t="s">
        <v>16</v>
      </c>
      <c r="G8" s="29" t="s">
        <v>17</v>
      </c>
      <c r="H8" s="26" t="s">
        <v>60</v>
      </c>
      <c r="I8" s="27" t="s">
        <v>61</v>
      </c>
      <c r="J8" s="26" t="s">
        <v>62</v>
      </c>
      <c r="K8" s="27" t="s">
        <v>63</v>
      </c>
      <c r="L8" s="26" t="s">
        <v>64</v>
      </c>
      <c r="M8" s="27" t="s">
        <v>65</v>
      </c>
      <c r="N8" s="27" t="s">
        <v>66</v>
      </c>
      <c r="O8" s="27" t="s">
        <v>67</v>
      </c>
      <c r="P8" s="27" t="s">
        <v>68</v>
      </c>
      <c r="Q8" s="27" t="s">
        <v>69</v>
      </c>
      <c r="R8" s="27" t="s">
        <v>70</v>
      </c>
      <c r="S8" s="27" t="s">
        <v>71</v>
      </c>
      <c r="T8" s="26" t="s">
        <v>72</v>
      </c>
      <c r="U8" s="27" t="s">
        <v>73</v>
      </c>
      <c r="V8" s="27" t="s">
        <v>74</v>
      </c>
      <c r="W8" s="27" t="s">
        <v>242</v>
      </c>
      <c r="X8" s="26" t="s">
        <v>243</v>
      </c>
      <c r="Y8" s="27" t="s">
        <v>253</v>
      </c>
      <c r="Z8" s="27" t="s">
        <v>244</v>
      </c>
      <c r="AA8" s="27" t="s">
        <v>245</v>
      </c>
      <c r="AB8" s="27" t="s">
        <v>246</v>
      </c>
      <c r="AC8" s="27" t="s">
        <v>247</v>
      </c>
      <c r="AD8" s="27" t="s">
        <v>248</v>
      </c>
      <c r="AE8" s="27" t="s">
        <v>249</v>
      </c>
      <c r="AF8" s="26" t="s">
        <v>250</v>
      </c>
      <c r="AG8" s="27" t="s">
        <v>251</v>
      </c>
      <c r="AH8" s="27" t="s">
        <v>252</v>
      </c>
      <c r="AI8" s="12" t="s">
        <v>377</v>
      </c>
      <c r="AJ8" s="12" t="s">
        <v>378</v>
      </c>
    </row>
    <row r="9" spans="1:36" s="23" customFormat="1" ht="15" thickBot="1" x14ac:dyDescent="0.35">
      <c r="A9" s="75" t="s">
        <v>3</v>
      </c>
      <c r="B9" s="76" t="s">
        <v>85</v>
      </c>
      <c r="C9" s="228">
        <v>583559</v>
      </c>
      <c r="D9" s="223">
        <v>0</v>
      </c>
      <c r="E9" s="223">
        <f>C9+D9</f>
        <v>583559</v>
      </c>
      <c r="F9" s="228">
        <f>SUM(H9:BB9)</f>
        <v>563426</v>
      </c>
      <c r="G9" s="229">
        <f t="shared" ref="G9:G31" si="0">C9-F9</f>
        <v>20133</v>
      </c>
      <c r="H9" s="230"/>
      <c r="I9" s="230"/>
      <c r="J9" s="230"/>
      <c r="K9" s="230">
        <v>60140</v>
      </c>
      <c r="L9" s="230">
        <v>34746</v>
      </c>
      <c r="M9" s="230">
        <v>81850</v>
      </c>
      <c r="N9" s="230">
        <v>29179</v>
      </c>
      <c r="O9" s="230">
        <v>65434</v>
      </c>
      <c r="P9" s="230">
        <f>38051.84+1394.16</f>
        <v>39446</v>
      </c>
      <c r="Q9" s="230">
        <v>48578</v>
      </c>
      <c r="R9" s="230">
        <v>49299</v>
      </c>
      <c r="S9" s="230">
        <v>59093</v>
      </c>
      <c r="T9" s="230">
        <v>46793</v>
      </c>
      <c r="U9" s="230">
        <v>24172</v>
      </c>
      <c r="V9" s="230">
        <v>24696</v>
      </c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74"/>
      <c r="AJ9" s="74"/>
    </row>
    <row r="10" spans="1:36" s="23" customFormat="1" ht="15" thickBot="1" x14ac:dyDescent="0.35">
      <c r="A10" s="78" t="s">
        <v>5</v>
      </c>
      <c r="B10" s="79" t="s">
        <v>86</v>
      </c>
      <c r="C10" s="228">
        <v>109633</v>
      </c>
      <c r="D10" s="223">
        <v>0</v>
      </c>
      <c r="E10" s="223">
        <f t="shared" ref="E10:E31" si="1">C10+D10</f>
        <v>109633</v>
      </c>
      <c r="F10" s="228">
        <f t="shared" ref="F10:F31" si="2">SUM(H10:BB10)</f>
        <v>109633</v>
      </c>
      <c r="G10" s="228">
        <f t="shared" si="0"/>
        <v>0</v>
      </c>
      <c r="H10" s="230"/>
      <c r="I10" s="230"/>
      <c r="J10" s="230"/>
      <c r="K10" s="230">
        <v>7102</v>
      </c>
      <c r="L10" s="230">
        <v>13960</v>
      </c>
      <c r="M10" s="230">
        <v>12920</v>
      </c>
      <c r="N10" s="230">
        <v>11298</v>
      </c>
      <c r="O10" s="230">
        <v>13351</v>
      </c>
      <c r="P10" s="230">
        <v>12892</v>
      </c>
      <c r="Q10" s="230">
        <v>12714</v>
      </c>
      <c r="R10" s="230">
        <v>14074</v>
      </c>
      <c r="S10" s="230">
        <v>5219</v>
      </c>
      <c r="T10" s="230">
        <v>6103</v>
      </c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74"/>
      <c r="AJ10" s="74"/>
    </row>
    <row r="11" spans="1:36" s="23" customFormat="1" ht="15" thickBot="1" x14ac:dyDescent="0.35">
      <c r="A11" s="78" t="s">
        <v>83</v>
      </c>
      <c r="B11" s="79" t="s">
        <v>264</v>
      </c>
      <c r="C11" s="228">
        <v>331600</v>
      </c>
      <c r="D11" s="223">
        <v>0</v>
      </c>
      <c r="E11" s="223">
        <f t="shared" si="1"/>
        <v>331600</v>
      </c>
      <c r="F11" s="228">
        <f t="shared" si="2"/>
        <v>318475.83999999997</v>
      </c>
      <c r="G11" s="228">
        <f t="shared" si="0"/>
        <v>13124.160000000033</v>
      </c>
      <c r="H11" s="230"/>
      <c r="I11" s="230"/>
      <c r="J11" s="230"/>
      <c r="K11" s="230">
        <v>40933</v>
      </c>
      <c r="L11" s="230">
        <v>43333</v>
      </c>
      <c r="M11" s="230">
        <v>32281</v>
      </c>
      <c r="N11" s="230">
        <f>22259-1394.16</f>
        <v>20864.84</v>
      </c>
      <c r="O11" s="230">
        <v>29546</v>
      </c>
      <c r="P11" s="230">
        <v>27609</v>
      </c>
      <c r="Q11" s="230">
        <v>25723</v>
      </c>
      <c r="R11" s="230">
        <v>29625</v>
      </c>
      <c r="S11" s="230"/>
      <c r="T11" s="230"/>
      <c r="U11" s="230">
        <v>68561</v>
      </c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74"/>
      <c r="AJ11" s="74"/>
    </row>
    <row r="12" spans="1:36" s="23" customFormat="1" ht="15" thickBot="1" x14ac:dyDescent="0.35">
      <c r="A12" s="82" t="s">
        <v>30</v>
      </c>
      <c r="B12" s="83" t="s">
        <v>87</v>
      </c>
      <c r="C12" s="228">
        <v>174580</v>
      </c>
      <c r="D12" s="223">
        <v>0</v>
      </c>
      <c r="E12" s="223">
        <f t="shared" si="1"/>
        <v>174580</v>
      </c>
      <c r="F12" s="228">
        <f t="shared" si="2"/>
        <v>174580</v>
      </c>
      <c r="G12" s="228">
        <f t="shared" si="0"/>
        <v>0</v>
      </c>
      <c r="H12" s="230"/>
      <c r="I12" s="230"/>
      <c r="J12" s="230"/>
      <c r="K12" s="230">
        <v>24116</v>
      </c>
      <c r="L12" s="230">
        <v>22129</v>
      </c>
      <c r="M12" s="230">
        <v>23451</v>
      </c>
      <c r="N12" s="230">
        <v>17980</v>
      </c>
      <c r="O12" s="230">
        <v>1191</v>
      </c>
      <c r="P12" s="230">
        <v>22849</v>
      </c>
      <c r="Q12" s="230">
        <v>20217</v>
      </c>
      <c r="R12" s="230">
        <v>15839</v>
      </c>
      <c r="S12" s="230">
        <v>21060</v>
      </c>
      <c r="T12" s="230"/>
      <c r="U12" s="230"/>
      <c r="V12" s="230">
        <v>5748</v>
      </c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74"/>
      <c r="AJ12" s="74"/>
    </row>
    <row r="13" spans="1:36" s="23" customFormat="1" ht="15" thickBot="1" x14ac:dyDescent="0.35">
      <c r="A13" s="80" t="s">
        <v>84</v>
      </c>
      <c r="B13" s="79" t="s">
        <v>88</v>
      </c>
      <c r="C13" s="228">
        <v>154361</v>
      </c>
      <c r="D13" s="223">
        <v>0</v>
      </c>
      <c r="E13" s="223">
        <f t="shared" si="1"/>
        <v>154361</v>
      </c>
      <c r="F13" s="228">
        <f t="shared" si="2"/>
        <v>154361</v>
      </c>
      <c r="G13" s="228">
        <f t="shared" si="0"/>
        <v>0</v>
      </c>
      <c r="H13" s="230"/>
      <c r="I13" s="230"/>
      <c r="J13" s="230"/>
      <c r="K13" s="230">
        <v>10509</v>
      </c>
      <c r="L13" s="230"/>
      <c r="M13" s="230">
        <v>42480</v>
      </c>
      <c r="N13" s="230"/>
      <c r="O13" s="230"/>
      <c r="P13" s="230">
        <v>40742</v>
      </c>
      <c r="Q13" s="230"/>
      <c r="R13" s="230"/>
      <c r="S13" s="230">
        <v>42089</v>
      </c>
      <c r="T13" s="230"/>
      <c r="U13" s="230">
        <v>18541</v>
      </c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1"/>
      <c r="AJ13" s="231"/>
    </row>
    <row r="14" spans="1:36" s="23" customFormat="1" ht="15" thickBot="1" x14ac:dyDescent="0.35">
      <c r="A14" s="80" t="s">
        <v>6</v>
      </c>
      <c r="B14" s="81" t="s">
        <v>90</v>
      </c>
      <c r="C14" s="228">
        <v>128939</v>
      </c>
      <c r="D14" s="223">
        <v>0</v>
      </c>
      <c r="E14" s="223">
        <f t="shared" si="1"/>
        <v>128939</v>
      </c>
      <c r="F14" s="228">
        <f>SUM(H14:AZ14)</f>
        <v>128939</v>
      </c>
      <c r="G14" s="228">
        <f t="shared" si="0"/>
        <v>0</v>
      </c>
      <c r="H14" s="230"/>
      <c r="I14" s="230"/>
      <c r="J14" s="230"/>
      <c r="K14" s="230">
        <v>11208</v>
      </c>
      <c r="L14" s="230"/>
      <c r="M14" s="230">
        <v>25590</v>
      </c>
      <c r="N14" s="230"/>
      <c r="O14" s="230"/>
      <c r="P14" s="230">
        <v>39524</v>
      </c>
      <c r="Q14" s="230"/>
      <c r="R14" s="230"/>
      <c r="S14" s="230">
        <v>52617</v>
      </c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2"/>
      <c r="AJ14" s="232"/>
    </row>
    <row r="15" spans="1:36" s="23" customFormat="1" ht="15" thickBot="1" x14ac:dyDescent="0.35">
      <c r="A15" s="80" t="s">
        <v>31</v>
      </c>
      <c r="B15" s="81" t="s">
        <v>36</v>
      </c>
      <c r="C15" s="228">
        <v>100000</v>
      </c>
      <c r="D15" s="223">
        <v>0</v>
      </c>
      <c r="E15" s="223">
        <f t="shared" si="1"/>
        <v>100000</v>
      </c>
      <c r="F15" s="228">
        <f t="shared" si="2"/>
        <v>100000</v>
      </c>
      <c r="G15" s="228">
        <f t="shared" si="0"/>
        <v>0</v>
      </c>
      <c r="H15" s="230"/>
      <c r="I15" s="230"/>
      <c r="J15" s="230"/>
      <c r="K15" s="230">
        <v>16600</v>
      </c>
      <c r="L15" s="230"/>
      <c r="M15" s="230"/>
      <c r="N15" s="230"/>
      <c r="O15" s="230">
        <v>29308</v>
      </c>
      <c r="P15" s="230"/>
      <c r="Q15" s="230"/>
      <c r="R15" s="230">
        <v>27200</v>
      </c>
      <c r="S15" s="230"/>
      <c r="T15" s="230">
        <v>13492</v>
      </c>
      <c r="U15" s="230">
        <v>13400</v>
      </c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74"/>
      <c r="AJ15" s="74"/>
    </row>
    <row r="16" spans="1:36" s="23" customFormat="1" ht="15" thickBot="1" x14ac:dyDescent="0.35">
      <c r="A16" s="80" t="s">
        <v>32</v>
      </c>
      <c r="B16" s="79" t="s">
        <v>91</v>
      </c>
      <c r="C16" s="228">
        <v>337765</v>
      </c>
      <c r="D16" s="223">
        <v>0</v>
      </c>
      <c r="E16" s="223">
        <f t="shared" si="1"/>
        <v>337765</v>
      </c>
      <c r="F16" s="228">
        <f t="shared" si="2"/>
        <v>337765</v>
      </c>
      <c r="G16" s="228">
        <f t="shared" si="0"/>
        <v>0</v>
      </c>
      <c r="H16" s="230"/>
      <c r="I16" s="230"/>
      <c r="J16" s="230"/>
      <c r="K16" s="230">
        <f>28628+28276</f>
        <v>56904</v>
      </c>
      <c r="L16" s="230">
        <v>25377</v>
      </c>
      <c r="M16" s="230">
        <v>27256</v>
      </c>
      <c r="N16" s="230">
        <v>27015</v>
      </c>
      <c r="O16" s="230">
        <v>28525</v>
      </c>
      <c r="P16" s="230">
        <v>26538</v>
      </c>
      <c r="Q16" s="230">
        <v>29481</v>
      </c>
      <c r="R16" s="230">
        <v>32187</v>
      </c>
      <c r="S16" s="230">
        <v>28575</v>
      </c>
      <c r="T16" s="230">
        <v>29696</v>
      </c>
      <c r="U16" s="230">
        <v>26211</v>
      </c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74"/>
      <c r="AJ16" s="74"/>
    </row>
    <row r="17" spans="1:36" s="23" customFormat="1" ht="15" thickBot="1" x14ac:dyDescent="0.35">
      <c r="A17" s="80" t="s">
        <v>77</v>
      </c>
      <c r="B17" s="79" t="s">
        <v>422</v>
      </c>
      <c r="C17" s="228">
        <v>100000</v>
      </c>
      <c r="D17" s="223">
        <v>0</v>
      </c>
      <c r="E17" s="223">
        <f t="shared" si="1"/>
        <v>100000</v>
      </c>
      <c r="F17" s="228">
        <f t="shared" si="2"/>
        <v>99664</v>
      </c>
      <c r="G17" s="228">
        <f t="shared" si="0"/>
        <v>336</v>
      </c>
      <c r="H17" s="230"/>
      <c r="I17" s="230">
        <v>14242</v>
      </c>
      <c r="J17" s="230"/>
      <c r="K17" s="230">
        <f>7653+7613</f>
        <v>15266</v>
      </c>
      <c r="L17" s="230">
        <v>8113</v>
      </c>
      <c r="M17" s="230">
        <v>8165</v>
      </c>
      <c r="N17" s="230"/>
      <c r="O17" s="230">
        <v>8165</v>
      </c>
      <c r="P17" s="230">
        <f>7156+6146</f>
        <v>13302</v>
      </c>
      <c r="Q17" s="230">
        <v>7409</v>
      </c>
      <c r="R17" s="230">
        <v>7785</v>
      </c>
      <c r="S17" s="230">
        <v>9375</v>
      </c>
      <c r="T17" s="230"/>
      <c r="U17" s="230"/>
      <c r="V17" s="230"/>
      <c r="W17" s="230">
        <v>7842</v>
      </c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74"/>
      <c r="AJ17" s="74"/>
    </row>
    <row r="18" spans="1:36" s="23" customFormat="1" ht="15" thickBot="1" x14ac:dyDescent="0.35">
      <c r="A18" s="80" t="s">
        <v>257</v>
      </c>
      <c r="B18" s="79" t="s">
        <v>258</v>
      </c>
      <c r="C18" s="228">
        <v>100000</v>
      </c>
      <c r="D18" s="223">
        <v>0</v>
      </c>
      <c r="E18" s="223">
        <f t="shared" si="1"/>
        <v>100000</v>
      </c>
      <c r="F18" s="228">
        <f t="shared" si="2"/>
        <v>72181</v>
      </c>
      <c r="G18" s="228">
        <f t="shared" si="0"/>
        <v>27819</v>
      </c>
      <c r="H18" s="230"/>
      <c r="I18" s="230">
        <v>9266</v>
      </c>
      <c r="J18" s="230"/>
      <c r="K18" s="230"/>
      <c r="L18" s="230">
        <v>13387</v>
      </c>
      <c r="M18" s="230">
        <v>24038</v>
      </c>
      <c r="N18" s="230"/>
      <c r="O18" s="230"/>
      <c r="P18" s="230">
        <v>11047</v>
      </c>
      <c r="Q18" s="230"/>
      <c r="R18" s="230"/>
      <c r="S18" s="230">
        <v>14443</v>
      </c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1"/>
      <c r="AJ18" s="231"/>
    </row>
    <row r="19" spans="1:36" s="23" customFormat="1" ht="15" thickBot="1" x14ac:dyDescent="0.35">
      <c r="A19" s="80" t="s">
        <v>256</v>
      </c>
      <c r="B19" s="79" t="s">
        <v>259</v>
      </c>
      <c r="C19" s="228">
        <v>316018</v>
      </c>
      <c r="D19" s="223">
        <v>0</v>
      </c>
      <c r="E19" s="223">
        <f t="shared" si="1"/>
        <v>316018</v>
      </c>
      <c r="F19" s="228">
        <f t="shared" si="2"/>
        <v>263601</v>
      </c>
      <c r="G19" s="228">
        <f t="shared" si="0"/>
        <v>52417</v>
      </c>
      <c r="H19" s="230"/>
      <c r="I19" s="230">
        <v>19427</v>
      </c>
      <c r="J19" s="230"/>
      <c r="K19" s="230"/>
      <c r="L19" s="230">
        <v>33892</v>
      </c>
      <c r="M19" s="230">
        <v>16402</v>
      </c>
      <c r="N19" s="230">
        <v>18458</v>
      </c>
      <c r="O19" s="230">
        <v>26302</v>
      </c>
      <c r="P19" s="230">
        <v>25553</v>
      </c>
      <c r="Q19" s="230">
        <v>16786</v>
      </c>
      <c r="R19" s="230"/>
      <c r="S19" s="230">
        <f>18170+28923</f>
        <v>47093</v>
      </c>
      <c r="T19" s="230">
        <v>25535</v>
      </c>
      <c r="U19" s="230">
        <v>34153</v>
      </c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74"/>
      <c r="AJ19" s="74"/>
    </row>
    <row r="20" spans="1:36" s="23" customFormat="1" ht="15" thickBot="1" x14ac:dyDescent="0.35">
      <c r="A20" s="80" t="s">
        <v>260</v>
      </c>
      <c r="B20" s="79" t="s">
        <v>261</v>
      </c>
      <c r="C20" s="228">
        <v>330164</v>
      </c>
      <c r="D20" s="223">
        <v>0</v>
      </c>
      <c r="E20" s="223">
        <f t="shared" si="1"/>
        <v>330164</v>
      </c>
      <c r="F20" s="228">
        <f t="shared" si="2"/>
        <v>291149</v>
      </c>
      <c r="G20" s="228">
        <f t="shared" si="0"/>
        <v>39015</v>
      </c>
      <c r="H20" s="230"/>
      <c r="I20" s="230"/>
      <c r="J20" s="230"/>
      <c r="K20" s="230">
        <v>8882</v>
      </c>
      <c r="L20" s="230"/>
      <c r="M20" s="230">
        <v>57509</v>
      </c>
      <c r="N20" s="230"/>
      <c r="O20" s="230"/>
      <c r="P20" s="230">
        <f>55437+64264</f>
        <v>119701</v>
      </c>
      <c r="Q20" s="230"/>
      <c r="R20" s="230"/>
      <c r="S20" s="230">
        <v>29996</v>
      </c>
      <c r="T20" s="230"/>
      <c r="U20" s="230"/>
      <c r="V20" s="230"/>
      <c r="W20" s="230"/>
      <c r="X20" s="230"/>
      <c r="Y20" s="230"/>
      <c r="Z20" s="230">
        <v>75061</v>
      </c>
      <c r="AA20" s="230"/>
      <c r="AB20" s="230"/>
      <c r="AC20" s="230"/>
      <c r="AD20" s="230"/>
      <c r="AE20" s="230"/>
      <c r="AF20" s="230"/>
      <c r="AG20" s="230"/>
      <c r="AH20" s="230"/>
      <c r="AI20" s="74"/>
      <c r="AJ20" s="74"/>
    </row>
    <row r="21" spans="1:36" s="23" customFormat="1" ht="15" thickBot="1" x14ac:dyDescent="0.35">
      <c r="A21" s="80" t="s">
        <v>262</v>
      </c>
      <c r="B21" s="79" t="s">
        <v>263</v>
      </c>
      <c r="C21" s="228">
        <v>53771</v>
      </c>
      <c r="D21" s="223">
        <v>0</v>
      </c>
      <c r="E21" s="223">
        <f t="shared" si="1"/>
        <v>53771</v>
      </c>
      <c r="F21" s="228">
        <f t="shared" si="2"/>
        <v>53771</v>
      </c>
      <c r="G21" s="228">
        <f t="shared" si="0"/>
        <v>0</v>
      </c>
      <c r="H21" s="230"/>
      <c r="I21" s="230"/>
      <c r="J21" s="230"/>
      <c r="K21" s="230">
        <f>5482+10687</f>
        <v>16169</v>
      </c>
      <c r="L21" s="230">
        <v>9080</v>
      </c>
      <c r="M21" s="230">
        <v>6630</v>
      </c>
      <c r="N21" s="230">
        <v>16568</v>
      </c>
      <c r="O21" s="230">
        <v>5324</v>
      </c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74"/>
      <c r="AJ21" s="74"/>
    </row>
    <row r="22" spans="1:36" s="23" customFormat="1" ht="15" thickBot="1" x14ac:dyDescent="0.35">
      <c r="A22" s="82" t="s">
        <v>7</v>
      </c>
      <c r="B22" s="83" t="s">
        <v>8</v>
      </c>
      <c r="C22" s="228">
        <v>140400</v>
      </c>
      <c r="D22" s="223">
        <v>0</v>
      </c>
      <c r="E22" s="223">
        <f t="shared" si="1"/>
        <v>140400</v>
      </c>
      <c r="F22" s="228">
        <f t="shared" si="2"/>
        <v>140400</v>
      </c>
      <c r="G22" s="228">
        <f t="shared" si="0"/>
        <v>0</v>
      </c>
      <c r="H22" s="230"/>
      <c r="I22" s="230"/>
      <c r="J22" s="230"/>
      <c r="K22" s="230"/>
      <c r="L22" s="230">
        <v>15222</v>
      </c>
      <c r="M22" s="230"/>
      <c r="N22" s="230"/>
      <c r="O22" s="230">
        <v>38642</v>
      </c>
      <c r="P22" s="230"/>
      <c r="Q22" s="230"/>
      <c r="R22" s="230">
        <v>46642</v>
      </c>
      <c r="S22" s="230"/>
      <c r="T22" s="230"/>
      <c r="U22" s="230"/>
      <c r="V22" s="230">
        <v>39894</v>
      </c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1"/>
      <c r="AJ22" s="231"/>
    </row>
    <row r="23" spans="1:36" s="23" customFormat="1" ht="15" thickBot="1" x14ac:dyDescent="0.35">
      <c r="A23" s="82" t="s">
        <v>78</v>
      </c>
      <c r="B23" s="83" t="s">
        <v>92</v>
      </c>
      <c r="C23" s="228">
        <v>221064</v>
      </c>
      <c r="D23" s="223">
        <v>0</v>
      </c>
      <c r="E23" s="223">
        <f t="shared" si="1"/>
        <v>221064</v>
      </c>
      <c r="F23" s="228">
        <f t="shared" si="2"/>
        <v>219769</v>
      </c>
      <c r="G23" s="228">
        <f t="shared" si="0"/>
        <v>1295</v>
      </c>
      <c r="H23" s="230"/>
      <c r="I23" s="230">
        <v>15261</v>
      </c>
      <c r="J23" s="230"/>
      <c r="K23" s="230">
        <f>13685+9460</f>
        <v>23145</v>
      </c>
      <c r="L23" s="230">
        <v>37653</v>
      </c>
      <c r="M23" s="230">
        <v>39588</v>
      </c>
      <c r="N23" s="230">
        <v>27985</v>
      </c>
      <c r="O23" s="230">
        <v>1279</v>
      </c>
      <c r="P23" s="230">
        <v>15311</v>
      </c>
      <c r="Q23" s="230">
        <v>12978</v>
      </c>
      <c r="R23" s="230">
        <v>12486</v>
      </c>
      <c r="S23" s="230">
        <v>11761</v>
      </c>
      <c r="T23" s="230">
        <v>10949</v>
      </c>
      <c r="U23" s="230"/>
      <c r="V23" s="230"/>
      <c r="W23" s="230"/>
      <c r="X23" s="230">
        <v>11373</v>
      </c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1"/>
      <c r="AJ23" s="231"/>
    </row>
    <row r="24" spans="1:36" s="23" customFormat="1" ht="15" thickBot="1" x14ac:dyDescent="0.35">
      <c r="A24" s="78" t="s">
        <v>9</v>
      </c>
      <c r="B24" s="81" t="s">
        <v>93</v>
      </c>
      <c r="C24" s="228">
        <v>213980</v>
      </c>
      <c r="D24" s="223">
        <v>0</v>
      </c>
      <c r="E24" s="223">
        <f t="shared" si="1"/>
        <v>213980</v>
      </c>
      <c r="F24" s="228">
        <f t="shared" si="2"/>
        <v>211308</v>
      </c>
      <c r="G24" s="228">
        <f t="shared" si="0"/>
        <v>2672</v>
      </c>
      <c r="H24" s="230"/>
      <c r="I24" s="230"/>
      <c r="J24" s="230"/>
      <c r="K24" s="230">
        <f>18689+15401+15611</f>
        <v>49701</v>
      </c>
      <c r="L24" s="230">
        <v>16746</v>
      </c>
      <c r="M24" s="230">
        <v>17366</v>
      </c>
      <c r="N24" s="230">
        <v>17347</v>
      </c>
      <c r="O24" s="230">
        <v>17088</v>
      </c>
      <c r="P24" s="230">
        <v>18141</v>
      </c>
      <c r="Q24" s="230">
        <v>17282</v>
      </c>
      <c r="R24" s="230">
        <v>17109</v>
      </c>
      <c r="S24" s="230">
        <v>17306</v>
      </c>
      <c r="T24" s="230">
        <v>23222</v>
      </c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74"/>
      <c r="AJ24" s="74"/>
    </row>
    <row r="25" spans="1:36" s="23" customFormat="1" ht="15" thickBot="1" x14ac:dyDescent="0.35">
      <c r="A25" s="80" t="s">
        <v>10</v>
      </c>
      <c r="B25" s="81" t="s">
        <v>94</v>
      </c>
      <c r="C25" s="228">
        <v>574366</v>
      </c>
      <c r="D25" s="223">
        <v>0</v>
      </c>
      <c r="E25" s="223">
        <f t="shared" si="1"/>
        <v>574366</v>
      </c>
      <c r="F25" s="228">
        <f t="shared" si="2"/>
        <v>574366</v>
      </c>
      <c r="G25" s="228">
        <f t="shared" si="0"/>
        <v>0</v>
      </c>
      <c r="H25" s="230"/>
      <c r="I25" s="230">
        <v>60000</v>
      </c>
      <c r="J25" s="230"/>
      <c r="K25" s="230">
        <v>43927</v>
      </c>
      <c r="L25" s="230">
        <v>102000</v>
      </c>
      <c r="M25" s="230">
        <v>42000</v>
      </c>
      <c r="N25" s="230">
        <v>36000</v>
      </c>
      <c r="O25" s="230">
        <f>36000</f>
        <v>36000</v>
      </c>
      <c r="P25" s="230"/>
      <c r="Q25" s="230">
        <f>50000+42000</f>
        <v>92000</v>
      </c>
      <c r="R25" s="230">
        <v>54147</v>
      </c>
      <c r="S25" s="230">
        <v>54146</v>
      </c>
      <c r="T25" s="230">
        <f>4146+50000</f>
        <v>54146</v>
      </c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74"/>
      <c r="AJ25" s="74"/>
    </row>
    <row r="26" spans="1:36" s="23" customFormat="1" ht="15" thickBot="1" x14ac:dyDescent="0.35">
      <c r="A26" s="80" t="s">
        <v>11</v>
      </c>
      <c r="B26" s="81" t="s">
        <v>12</v>
      </c>
      <c r="C26" s="228">
        <v>126363</v>
      </c>
      <c r="D26" s="223">
        <v>0</v>
      </c>
      <c r="E26" s="223">
        <f t="shared" si="1"/>
        <v>126363</v>
      </c>
      <c r="F26" s="228">
        <f>SUM(H26:BB26)</f>
        <v>92782</v>
      </c>
      <c r="G26" s="228">
        <f t="shared" si="0"/>
        <v>33581</v>
      </c>
      <c r="H26" s="230"/>
      <c r="I26" s="230"/>
      <c r="J26" s="230"/>
      <c r="K26" s="230"/>
      <c r="L26" s="230">
        <v>21632</v>
      </c>
      <c r="M26" s="230"/>
      <c r="N26" s="230"/>
      <c r="O26" s="230"/>
      <c r="P26" s="230"/>
      <c r="Q26" s="230"/>
      <c r="R26" s="230"/>
      <c r="S26" s="230"/>
      <c r="T26" s="230"/>
      <c r="U26" s="230"/>
      <c r="V26" s="230">
        <v>71150</v>
      </c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74"/>
      <c r="AJ26" s="74"/>
    </row>
    <row r="27" spans="1:36" s="23" customFormat="1" ht="15" thickBot="1" x14ac:dyDescent="0.35">
      <c r="A27" s="80" t="s">
        <v>79</v>
      </c>
      <c r="B27" s="79" t="s">
        <v>95</v>
      </c>
      <c r="C27" s="228">
        <v>100000</v>
      </c>
      <c r="D27" s="223">
        <v>0</v>
      </c>
      <c r="E27" s="223">
        <f t="shared" si="1"/>
        <v>100000</v>
      </c>
      <c r="F27" s="228">
        <f t="shared" si="2"/>
        <v>100000</v>
      </c>
      <c r="G27" s="228">
        <f t="shared" si="0"/>
        <v>0</v>
      </c>
      <c r="H27" s="230"/>
      <c r="I27" s="230">
        <v>6388</v>
      </c>
      <c r="J27" s="230"/>
      <c r="K27" s="230">
        <f>6040+9498</f>
        <v>15538</v>
      </c>
      <c r="L27" s="230">
        <v>10777</v>
      </c>
      <c r="M27" s="230">
        <v>10893</v>
      </c>
      <c r="N27" s="230">
        <v>8058</v>
      </c>
      <c r="O27" s="230"/>
      <c r="P27" s="230">
        <v>10215</v>
      </c>
      <c r="Q27" s="230">
        <v>11302</v>
      </c>
      <c r="R27" s="230">
        <v>10665</v>
      </c>
      <c r="S27" s="230">
        <f>11779+4385</f>
        <v>16164</v>
      </c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74"/>
      <c r="AJ27" s="74"/>
    </row>
    <row r="28" spans="1:36" s="23" customFormat="1" ht="15" thickBot="1" x14ac:dyDescent="0.35">
      <c r="A28" s="78" t="s">
        <v>80</v>
      </c>
      <c r="B28" s="81" t="s">
        <v>96</v>
      </c>
      <c r="C28" s="228">
        <v>100000</v>
      </c>
      <c r="D28" s="223">
        <v>0</v>
      </c>
      <c r="E28" s="223">
        <f t="shared" si="1"/>
        <v>100000</v>
      </c>
      <c r="F28" s="228">
        <f t="shared" si="2"/>
        <v>100000</v>
      </c>
      <c r="G28" s="228">
        <f t="shared" si="0"/>
        <v>0</v>
      </c>
      <c r="H28" s="230"/>
      <c r="I28" s="230">
        <v>3615</v>
      </c>
      <c r="J28" s="230"/>
      <c r="K28" s="230">
        <f>9068+9491</f>
        <v>18559</v>
      </c>
      <c r="L28" s="230">
        <v>10382</v>
      </c>
      <c r="M28" s="230">
        <v>8796</v>
      </c>
      <c r="N28" s="230">
        <v>8855</v>
      </c>
      <c r="O28" s="230">
        <v>8919</v>
      </c>
      <c r="P28" s="230">
        <v>28711</v>
      </c>
      <c r="Q28" s="230">
        <v>5215</v>
      </c>
      <c r="R28" s="230">
        <v>4244</v>
      </c>
      <c r="S28" s="230">
        <v>2704</v>
      </c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74"/>
      <c r="AJ28" s="74"/>
    </row>
    <row r="29" spans="1:36" s="23" customFormat="1" ht="15" thickBot="1" x14ac:dyDescent="0.35">
      <c r="A29" s="80" t="s">
        <v>81</v>
      </c>
      <c r="B29" s="81" t="s">
        <v>97</v>
      </c>
      <c r="C29" s="228">
        <v>241761</v>
      </c>
      <c r="D29" s="223">
        <v>0</v>
      </c>
      <c r="E29" s="223">
        <f t="shared" si="1"/>
        <v>241761</v>
      </c>
      <c r="F29" s="228">
        <f>SUM(H29:AJ29)</f>
        <v>241713</v>
      </c>
      <c r="G29" s="228">
        <f t="shared" si="0"/>
        <v>48</v>
      </c>
      <c r="H29" s="230"/>
      <c r="I29" s="230"/>
      <c r="J29" s="230"/>
      <c r="K29" s="230"/>
      <c r="L29" s="230">
        <v>66518</v>
      </c>
      <c r="M29" s="230">
        <v>41561</v>
      </c>
      <c r="N29" s="230"/>
      <c r="O29" s="230"/>
      <c r="P29" s="230"/>
      <c r="Q29" s="230">
        <v>38715</v>
      </c>
      <c r="R29" s="230"/>
      <c r="S29" s="230">
        <v>64133</v>
      </c>
      <c r="T29" s="230"/>
      <c r="U29" s="230"/>
      <c r="V29" s="230"/>
      <c r="W29" s="230"/>
      <c r="X29" s="230"/>
      <c r="Y29" s="230">
        <v>30786</v>
      </c>
      <c r="Z29" s="230"/>
      <c r="AA29" s="230"/>
      <c r="AB29" s="230"/>
      <c r="AC29" s="230"/>
      <c r="AD29" s="230"/>
      <c r="AE29" s="230"/>
      <c r="AF29" s="230"/>
      <c r="AG29" s="230"/>
      <c r="AH29" s="230"/>
      <c r="AI29" s="231"/>
      <c r="AJ29" s="231"/>
    </row>
    <row r="30" spans="1:36" s="23" customFormat="1" ht="15" thickBot="1" x14ac:dyDescent="0.35">
      <c r="A30" s="80" t="s">
        <v>13</v>
      </c>
      <c r="B30" s="81" t="s">
        <v>98</v>
      </c>
      <c r="C30" s="228">
        <v>232004</v>
      </c>
      <c r="D30" s="223">
        <v>0</v>
      </c>
      <c r="E30" s="223">
        <f t="shared" si="1"/>
        <v>232004</v>
      </c>
      <c r="F30" s="228">
        <f t="shared" si="2"/>
        <v>232004</v>
      </c>
      <c r="G30" s="228">
        <f t="shared" si="0"/>
        <v>0</v>
      </c>
      <c r="H30" s="230"/>
      <c r="I30" s="230"/>
      <c r="J30" s="230"/>
      <c r="K30" s="230">
        <f>11530+21254</f>
        <v>32784</v>
      </c>
      <c r="L30" s="230">
        <v>24600</v>
      </c>
      <c r="M30" s="230">
        <v>22800</v>
      </c>
      <c r="N30" s="230"/>
      <c r="O30" s="230">
        <v>24562</v>
      </c>
      <c r="P30" s="230">
        <v>19334</v>
      </c>
      <c r="Q30" s="230">
        <v>16610</v>
      </c>
      <c r="R30" s="230">
        <v>19334</v>
      </c>
      <c r="S30" s="230">
        <v>41334</v>
      </c>
      <c r="T30" s="230">
        <v>30646</v>
      </c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74"/>
      <c r="AJ30" s="74"/>
    </row>
    <row r="31" spans="1:36" s="23" customFormat="1" ht="15" thickBot="1" x14ac:dyDescent="0.35">
      <c r="A31" s="80" t="s">
        <v>82</v>
      </c>
      <c r="B31" s="79" t="s">
        <v>99</v>
      </c>
      <c r="C31" s="228">
        <v>187347</v>
      </c>
      <c r="D31" s="223">
        <v>0</v>
      </c>
      <c r="E31" s="223">
        <f t="shared" si="1"/>
        <v>187347</v>
      </c>
      <c r="F31" s="228">
        <f t="shared" si="2"/>
        <v>187347</v>
      </c>
      <c r="G31" s="228">
        <f t="shared" si="0"/>
        <v>0</v>
      </c>
      <c r="H31" s="230"/>
      <c r="I31" s="230">
        <v>7995</v>
      </c>
      <c r="J31" s="230"/>
      <c r="K31" s="230">
        <f>16525+14709</f>
        <v>31234</v>
      </c>
      <c r="L31" s="230">
        <v>13703</v>
      </c>
      <c r="M31" s="230"/>
      <c r="N31" s="230">
        <f>15953+14314</f>
        <v>30267</v>
      </c>
      <c r="O31" s="230">
        <v>13106</v>
      </c>
      <c r="P31" s="230">
        <v>16889</v>
      </c>
      <c r="Q31" s="230">
        <v>15076</v>
      </c>
      <c r="R31" s="230">
        <v>13680</v>
      </c>
      <c r="S31" s="230">
        <v>15886</v>
      </c>
      <c r="T31" s="230">
        <v>29511</v>
      </c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74"/>
      <c r="AJ31" s="74"/>
    </row>
    <row r="32" spans="1:36" ht="15" thickBot="1" x14ac:dyDescent="0.35">
      <c r="A32" s="84"/>
      <c r="B32" s="31"/>
      <c r="C32" s="233"/>
      <c r="D32" s="233"/>
      <c r="E32" s="233"/>
      <c r="F32" s="233"/>
      <c r="G32" s="233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2"/>
      <c r="AJ32" s="232"/>
    </row>
    <row r="33" spans="1:36" s="24" customFormat="1" ht="15" thickBot="1" x14ac:dyDescent="0.35">
      <c r="A33" s="87" t="s">
        <v>49</v>
      </c>
      <c r="B33" s="47"/>
      <c r="C33" s="227">
        <f t="shared" ref="C33:AJ33" si="3">SUM(C9:C31)</f>
        <v>4957675</v>
      </c>
      <c r="D33" s="227">
        <v>0</v>
      </c>
      <c r="E33" s="227">
        <f>C33+D33</f>
        <v>4957675</v>
      </c>
      <c r="F33" s="227">
        <f>SUM(F9:F31)</f>
        <v>4767234.84</v>
      </c>
      <c r="G33" s="227">
        <f t="shared" si="3"/>
        <v>190440.16000000003</v>
      </c>
      <c r="H33" s="227">
        <f t="shared" si="3"/>
        <v>0</v>
      </c>
      <c r="I33" s="227">
        <f t="shared" si="3"/>
        <v>136194</v>
      </c>
      <c r="J33" s="227">
        <f t="shared" si="3"/>
        <v>0</v>
      </c>
      <c r="K33" s="227">
        <f t="shared" si="3"/>
        <v>482717</v>
      </c>
      <c r="L33" s="227">
        <f t="shared" si="3"/>
        <v>523250</v>
      </c>
      <c r="M33" s="227">
        <f t="shared" si="3"/>
        <v>541576</v>
      </c>
      <c r="N33" s="227">
        <f t="shared" si="3"/>
        <v>269874.83999999997</v>
      </c>
      <c r="O33" s="227">
        <f t="shared" si="3"/>
        <v>346742</v>
      </c>
      <c r="P33" s="227">
        <f t="shared" si="3"/>
        <v>487804</v>
      </c>
      <c r="Q33" s="227">
        <f t="shared" si="3"/>
        <v>370086</v>
      </c>
      <c r="R33" s="227">
        <f t="shared" si="3"/>
        <v>354316</v>
      </c>
      <c r="S33" s="227">
        <f t="shared" si="3"/>
        <v>532994</v>
      </c>
      <c r="T33" s="227">
        <f t="shared" si="3"/>
        <v>270093</v>
      </c>
      <c r="U33" s="227">
        <f t="shared" si="3"/>
        <v>185038</v>
      </c>
      <c r="V33" s="227">
        <f t="shared" si="3"/>
        <v>141488</v>
      </c>
      <c r="W33" s="227">
        <f t="shared" si="3"/>
        <v>7842</v>
      </c>
      <c r="X33" s="227">
        <f t="shared" si="3"/>
        <v>11373</v>
      </c>
      <c r="Y33" s="227">
        <f t="shared" si="3"/>
        <v>30786</v>
      </c>
      <c r="Z33" s="227">
        <f t="shared" si="3"/>
        <v>75061</v>
      </c>
      <c r="AA33" s="227">
        <f t="shared" si="3"/>
        <v>0</v>
      </c>
      <c r="AB33" s="227">
        <f t="shared" si="3"/>
        <v>0</v>
      </c>
      <c r="AC33" s="227">
        <f t="shared" si="3"/>
        <v>0</v>
      </c>
      <c r="AD33" s="227">
        <f t="shared" si="3"/>
        <v>0</v>
      </c>
      <c r="AE33" s="227">
        <f t="shared" si="3"/>
        <v>0</v>
      </c>
      <c r="AF33" s="227">
        <f t="shared" si="3"/>
        <v>0</v>
      </c>
      <c r="AG33" s="227">
        <f t="shared" si="3"/>
        <v>0</v>
      </c>
      <c r="AH33" s="227">
        <f t="shared" si="3"/>
        <v>0</v>
      </c>
      <c r="AI33" s="227">
        <f t="shared" si="3"/>
        <v>0</v>
      </c>
      <c r="AJ33" s="227">
        <f t="shared" si="3"/>
        <v>0</v>
      </c>
    </row>
    <row r="34" spans="1:36" x14ac:dyDescent="0.3">
      <c r="C34" s="32"/>
      <c r="D34" s="32"/>
      <c r="E34" s="32"/>
      <c r="F34" s="6"/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30"/>
      <c r="AJ34" s="30"/>
    </row>
    <row r="35" spans="1:36" x14ac:dyDescent="0.3">
      <c r="C35" s="32"/>
      <c r="D35" s="32"/>
      <c r="E35" s="32"/>
      <c r="F35" s="6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2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42"/>
      <c r="AF35" s="7"/>
      <c r="AG35" s="7"/>
      <c r="AH35" s="7"/>
      <c r="AI35" s="30"/>
      <c r="AJ35" s="30"/>
    </row>
    <row r="36" spans="1:36" x14ac:dyDescent="0.3">
      <c r="C36" s="32"/>
      <c r="D36" s="32"/>
      <c r="E36" s="32"/>
      <c r="F36" s="6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30"/>
      <c r="AJ36" s="30"/>
    </row>
    <row r="37" spans="1:36" x14ac:dyDescent="0.3">
      <c r="C37" s="32"/>
      <c r="D37" s="32"/>
      <c r="E37" s="32"/>
      <c r="F37" s="6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30"/>
      <c r="AJ37" s="30"/>
    </row>
    <row r="38" spans="1:36" x14ac:dyDescent="0.3">
      <c r="C38" s="32"/>
      <c r="D38" s="32"/>
      <c r="E38" s="32"/>
      <c r="F38" s="6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30"/>
      <c r="AJ38" s="30"/>
    </row>
    <row r="39" spans="1:36" x14ac:dyDescent="0.3">
      <c r="F39" s="6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30"/>
      <c r="AJ39" s="30"/>
    </row>
    <row r="40" spans="1:36" x14ac:dyDescent="0.3">
      <c r="F40" s="6"/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30"/>
      <c r="AJ40" s="30"/>
    </row>
    <row r="41" spans="1:36" x14ac:dyDescent="0.3">
      <c r="F41" s="6"/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30"/>
      <c r="AJ41" s="30"/>
    </row>
    <row r="42" spans="1:36" x14ac:dyDescent="0.3">
      <c r="F42" s="6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30"/>
      <c r="AJ42" s="30"/>
    </row>
    <row r="43" spans="1:36" x14ac:dyDescent="0.3">
      <c r="F43" s="6"/>
      <c r="G43" s="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30"/>
      <c r="AJ43" s="30"/>
    </row>
    <row r="44" spans="1:36" x14ac:dyDescent="0.3">
      <c r="F44" s="6"/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30"/>
      <c r="AJ44" s="30"/>
    </row>
    <row r="45" spans="1:36" x14ac:dyDescent="0.3">
      <c r="F45" s="6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30"/>
      <c r="AJ45" s="30"/>
    </row>
    <row r="46" spans="1:36" x14ac:dyDescent="0.3">
      <c r="F46" s="6"/>
      <c r="G46" s="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30"/>
      <c r="AJ46" s="30"/>
    </row>
    <row r="47" spans="1:36" x14ac:dyDescent="0.3">
      <c r="F47" s="6"/>
      <c r="G47" s="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6" x14ac:dyDescent="0.3">
      <c r="F48" s="6"/>
      <c r="G48" s="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6:34" x14ac:dyDescent="0.3">
      <c r="F49" s="6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6:34" x14ac:dyDescent="0.3">
      <c r="F50" s="6"/>
      <c r="G50" s="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6:34" x14ac:dyDescent="0.3">
      <c r="F51" s="6"/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6:34" x14ac:dyDescent="0.3">
      <c r="F52" s="6"/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6:34" x14ac:dyDescent="0.3">
      <c r="F53" s="6"/>
      <c r="G53" s="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6:34" x14ac:dyDescent="0.3">
      <c r="F54" s="6"/>
      <c r="G54" s="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6:34" x14ac:dyDescent="0.3">
      <c r="F55" s="6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6:34" x14ac:dyDescent="0.3">
      <c r="F56" s="6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6:34" x14ac:dyDescent="0.3">
      <c r="F57" s="6"/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6:34" x14ac:dyDescent="0.3">
      <c r="F58" s="6"/>
      <c r="G58" s="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6:34" x14ac:dyDescent="0.3">
      <c r="F59" s="6"/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6:34" x14ac:dyDescent="0.3"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6:34" x14ac:dyDescent="0.3">
      <c r="F61" s="6"/>
      <c r="G61" s="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6:34" x14ac:dyDescent="0.3">
      <c r="F62" s="6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6:34" x14ac:dyDescent="0.3">
      <c r="F63" s="6"/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6:34" x14ac:dyDescent="0.3">
      <c r="F64" s="6"/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6:34" x14ac:dyDescent="0.3">
      <c r="F65" s="6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6:34" x14ac:dyDescent="0.3">
      <c r="F66" s="6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6:34" x14ac:dyDescent="0.3">
      <c r="F67" s="6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6:34" x14ac:dyDescent="0.3">
      <c r="F68" s="6"/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6:34" x14ac:dyDescent="0.3"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6:34" x14ac:dyDescent="0.3">
      <c r="F70" s="6"/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6:34" x14ac:dyDescent="0.3">
      <c r="F71" s="6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6:34" x14ac:dyDescent="0.3">
      <c r="F72" s="6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6:34" x14ac:dyDescent="0.3">
      <c r="F73" s="6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6:34" x14ac:dyDescent="0.3">
      <c r="F74" s="6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6:34" x14ac:dyDescent="0.3">
      <c r="F75" s="6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6:34" x14ac:dyDescent="0.3">
      <c r="F76" s="6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6:34" x14ac:dyDescent="0.3">
      <c r="F77" s="6"/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6:34" x14ac:dyDescent="0.3">
      <c r="F78" s="6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6:34" x14ac:dyDescent="0.3">
      <c r="F79" s="6"/>
      <c r="G79" s="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6:34" x14ac:dyDescent="0.3">
      <c r="F80" s="6"/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6:34" x14ac:dyDescent="0.3">
      <c r="F81" s="6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6:34" x14ac:dyDescent="0.3">
      <c r="F82" s="6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6:34" x14ac:dyDescent="0.3">
      <c r="F83" s="6"/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6:34" x14ac:dyDescent="0.3">
      <c r="F84" s="6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6:34" x14ac:dyDescent="0.3">
      <c r="F85" s="6"/>
      <c r="G85" s="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6:34" x14ac:dyDescent="0.3">
      <c r="F86" s="6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6:34" x14ac:dyDescent="0.3">
      <c r="F87" s="6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6:34" x14ac:dyDescent="0.3">
      <c r="F88" s="6"/>
      <c r="G88" s="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6:34" x14ac:dyDescent="0.3">
      <c r="F89" s="6"/>
      <c r="G89" s="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6:34" x14ac:dyDescent="0.3">
      <c r="F90" s="6"/>
      <c r="G90" s="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6:34" x14ac:dyDescent="0.3">
      <c r="F91" s="6"/>
      <c r="G91" s="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6:34" x14ac:dyDescent="0.3">
      <c r="F92" s="6"/>
      <c r="G92" s="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6:34" x14ac:dyDescent="0.3">
      <c r="F93" s="6"/>
      <c r="G93" s="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6:34" x14ac:dyDescent="0.3"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6:34" x14ac:dyDescent="0.3"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6:34" x14ac:dyDescent="0.3">
      <c r="F96" s="6"/>
      <c r="G96" s="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6:34" x14ac:dyDescent="0.3">
      <c r="F97" s="6"/>
      <c r="G97" s="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6:34" x14ac:dyDescent="0.3">
      <c r="F98" s="6"/>
      <c r="G98" s="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6:34" x14ac:dyDescent="0.3">
      <c r="F99" s="6"/>
      <c r="G99" s="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6:34" x14ac:dyDescent="0.3">
      <c r="F100" s="6"/>
      <c r="G100" s="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6:34" x14ac:dyDescent="0.3">
      <c r="F101" s="6"/>
      <c r="G101" s="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6:34" x14ac:dyDescent="0.3">
      <c r="F102" s="6"/>
      <c r="G102" s="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6:34" x14ac:dyDescent="0.3">
      <c r="F103" s="6"/>
      <c r="G103" s="6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6:34" x14ac:dyDescent="0.3">
      <c r="F104" s="6"/>
      <c r="G104" s="6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6:34" x14ac:dyDescent="0.3">
      <c r="F105" s="6"/>
      <c r="G105" s="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6:34" x14ac:dyDescent="0.3">
      <c r="F106" s="6"/>
      <c r="G106" s="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6:34" x14ac:dyDescent="0.3">
      <c r="F107" s="6"/>
      <c r="G107" s="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6:34" x14ac:dyDescent="0.3">
      <c r="F108" s="6"/>
      <c r="G108" s="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6:34" x14ac:dyDescent="0.3">
      <c r="F109" s="6"/>
      <c r="G109" s="6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6:34" x14ac:dyDescent="0.3">
      <c r="F110" s="6"/>
      <c r="G110" s="6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6:34" x14ac:dyDescent="0.3"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6:34" x14ac:dyDescent="0.3">
      <c r="F112" s="6"/>
      <c r="G112" s="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6:34" x14ac:dyDescent="0.3">
      <c r="F113" s="6"/>
      <c r="G113" s="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6:34" x14ac:dyDescent="0.3">
      <c r="F114" s="6"/>
      <c r="G114" s="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6:34" x14ac:dyDescent="0.3">
      <c r="F115" s="6"/>
      <c r="G115" s="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6:34" x14ac:dyDescent="0.3">
      <c r="F116" s="6"/>
      <c r="G116" s="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6:34" x14ac:dyDescent="0.3">
      <c r="F117" s="6"/>
      <c r="G117" s="6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6:34" x14ac:dyDescent="0.3">
      <c r="F118" s="6"/>
      <c r="G118" s="6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6:34" x14ac:dyDescent="0.3">
      <c r="F119" s="6"/>
      <c r="G119" s="6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6:34" x14ac:dyDescent="0.3">
      <c r="F120" s="6"/>
      <c r="G120" s="6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6:34" x14ac:dyDescent="0.3">
      <c r="F121" s="6"/>
      <c r="G121" s="6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6:34" x14ac:dyDescent="0.3">
      <c r="F122" s="6"/>
      <c r="G122" s="6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6:34" x14ac:dyDescent="0.3">
      <c r="F123" s="6"/>
      <c r="G123" s="6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6:34" x14ac:dyDescent="0.3">
      <c r="F124" s="6"/>
      <c r="G124" s="6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6:34" x14ac:dyDescent="0.3">
      <c r="F125" s="6"/>
      <c r="G125" s="6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6:34" x14ac:dyDescent="0.3">
      <c r="F126" s="6"/>
      <c r="G126" s="6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6:34" x14ac:dyDescent="0.3">
      <c r="F127" s="6"/>
      <c r="G127" s="6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6:34" x14ac:dyDescent="0.3">
      <c r="F128" s="6"/>
      <c r="G128" s="6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6:34" x14ac:dyDescent="0.3">
      <c r="F129" s="6"/>
      <c r="G129" s="6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6:34" x14ac:dyDescent="0.3">
      <c r="F130" s="6"/>
      <c r="G130" s="6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6:34" x14ac:dyDescent="0.3">
      <c r="F131" s="6"/>
      <c r="G131" s="6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6:34" x14ac:dyDescent="0.3">
      <c r="F132" s="6"/>
      <c r="G132" s="6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6:34" x14ac:dyDescent="0.3">
      <c r="F133" s="6"/>
      <c r="G133" s="6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6:34" x14ac:dyDescent="0.3">
      <c r="F134" s="6"/>
      <c r="G134" s="6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</row>
    <row r="135" spans="6:34" x14ac:dyDescent="0.3">
      <c r="F135" s="6"/>
      <c r="G135" s="6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6:34" x14ac:dyDescent="0.3">
      <c r="F136" s="6"/>
      <c r="G136" s="6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</row>
    <row r="137" spans="6:34" x14ac:dyDescent="0.3">
      <c r="F137" s="6"/>
      <c r="G137" s="6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6:34" x14ac:dyDescent="0.3">
      <c r="F138" s="6"/>
      <c r="G138" s="6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6:34" x14ac:dyDescent="0.3">
      <c r="F139" s="6"/>
      <c r="G139" s="6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6:34" x14ac:dyDescent="0.3">
      <c r="F140" s="6"/>
      <c r="G140" s="6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</sheetData>
  <sheetProtection password="DC61" sheet="1" objects="1" scenarios="1"/>
  <pageMargins left="0.1" right="0.1" top="0.1" bottom="0.1" header="0.3" footer="0.3"/>
  <pageSetup scale="8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CCFFCC"/>
  </sheetPr>
  <dimension ref="A1:AG46"/>
  <sheetViews>
    <sheetView zoomScaleNormal="100" workbookViewId="0">
      <pane xSplit="7" ySplit="8" topLeftCell="S9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A9" sqref="A9"/>
    </sheetView>
  </sheetViews>
  <sheetFormatPr defaultColWidth="9.109375" defaultRowHeight="14.4" x14ac:dyDescent="0.3"/>
  <cols>
    <col min="1" max="1" width="9.109375" style="51"/>
    <col min="2" max="2" width="34.5546875" style="51" customWidth="1"/>
    <col min="3" max="7" width="14.6640625" style="51" customWidth="1"/>
    <col min="8" max="31" width="12.6640625" style="51" customWidth="1"/>
    <col min="32" max="33" width="21.33203125" style="50" customWidth="1"/>
    <col min="34" max="16384" width="9.109375" style="51"/>
  </cols>
  <sheetData>
    <row r="1" spans="1:33" ht="21" x14ac:dyDescent="0.4">
      <c r="A1" s="53" t="s">
        <v>0</v>
      </c>
      <c r="B1" s="59"/>
      <c r="C1" s="54" t="s">
        <v>47</v>
      </c>
      <c r="D1" s="54"/>
      <c r="E1" s="54"/>
      <c r="F1" s="60"/>
      <c r="G1" s="59"/>
      <c r="H1" s="59"/>
      <c r="I1" s="59"/>
      <c r="J1" s="54"/>
      <c r="K1" s="59"/>
      <c r="L1" s="59"/>
      <c r="M1" s="59"/>
      <c r="N1" s="54" t="str">
        <f>$C$1</f>
        <v>Project AWARE</v>
      </c>
      <c r="O1" s="59"/>
      <c r="P1" s="59"/>
      <c r="Q1" s="54"/>
      <c r="R1" s="59"/>
      <c r="S1" s="59"/>
      <c r="T1" s="54" t="str">
        <f>$C$1</f>
        <v>Project AWARE</v>
      </c>
      <c r="U1" s="59"/>
      <c r="V1" s="59"/>
      <c r="W1" s="59"/>
      <c r="X1" s="59"/>
      <c r="Y1" s="59"/>
      <c r="Z1" s="59"/>
      <c r="AA1" s="54" t="str">
        <f>$C$1</f>
        <v>Project AWARE</v>
      </c>
      <c r="AB1" s="59"/>
      <c r="AC1" s="59"/>
      <c r="AD1" s="59"/>
      <c r="AE1" s="59"/>
      <c r="AF1" s="53"/>
      <c r="AG1" s="53"/>
    </row>
    <row r="2" spans="1:33" ht="21" x14ac:dyDescent="0.4">
      <c r="A2" s="53" t="s">
        <v>358</v>
      </c>
      <c r="B2" s="59"/>
      <c r="C2" s="54" t="s">
        <v>362</v>
      </c>
      <c r="D2" s="54"/>
      <c r="E2" s="54"/>
      <c r="F2" s="60"/>
      <c r="G2" s="59"/>
      <c r="H2" s="59"/>
      <c r="I2" s="59"/>
      <c r="J2" s="62"/>
      <c r="K2" s="59"/>
      <c r="L2" s="59"/>
      <c r="M2" s="59"/>
      <c r="N2" s="56" t="str">
        <f>"FY"&amp;$C$4</f>
        <v>FY2017-18</v>
      </c>
      <c r="O2" s="19"/>
      <c r="P2" s="19"/>
      <c r="Q2" s="56"/>
      <c r="R2" s="19"/>
      <c r="S2" s="19"/>
      <c r="T2" s="56" t="str">
        <f>"FY"&amp;$C$4</f>
        <v>FY2017-18</v>
      </c>
      <c r="U2" s="19"/>
      <c r="V2" s="19"/>
      <c r="W2" s="19"/>
      <c r="X2" s="19"/>
      <c r="Y2" s="19"/>
      <c r="Z2" s="19"/>
      <c r="AA2" s="56" t="str">
        <f>"FY"&amp;$C$4</f>
        <v>FY2017-18</v>
      </c>
      <c r="AB2" s="59"/>
      <c r="AC2" s="59"/>
      <c r="AD2" s="59"/>
      <c r="AE2" s="59"/>
      <c r="AF2" s="53"/>
      <c r="AG2" s="53"/>
    </row>
    <row r="3" spans="1:33" ht="15.6" x14ac:dyDescent="0.3">
      <c r="A3" s="56" t="s">
        <v>1</v>
      </c>
      <c r="B3" s="59"/>
      <c r="C3" s="57">
        <v>7243</v>
      </c>
      <c r="D3" s="57"/>
      <c r="E3" s="57"/>
      <c r="F3" s="60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0"/>
      <c r="AG3" s="60"/>
    </row>
    <row r="4" spans="1:33" ht="15.6" x14ac:dyDescent="0.3">
      <c r="A4" s="56" t="s">
        <v>2</v>
      </c>
      <c r="B4" s="59"/>
      <c r="C4" s="57" t="s">
        <v>241</v>
      </c>
      <c r="D4" s="57"/>
      <c r="E4" s="57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60"/>
      <c r="AG4" s="60"/>
    </row>
    <row r="5" spans="1:33" ht="15.6" x14ac:dyDescent="0.3">
      <c r="A5" s="56" t="s">
        <v>18</v>
      </c>
      <c r="B5" s="59"/>
      <c r="C5" s="56" t="s">
        <v>419</v>
      </c>
      <c r="D5" s="56"/>
      <c r="E5" s="56"/>
      <c r="F5" s="58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8"/>
      <c r="AG5" s="58"/>
    </row>
    <row r="6" spans="1:33" ht="15.6" x14ac:dyDescent="0.3">
      <c r="A6" s="56" t="s">
        <v>19</v>
      </c>
      <c r="B6" s="59"/>
      <c r="C6" s="56" t="s">
        <v>429</v>
      </c>
      <c r="D6" s="56"/>
      <c r="E6" s="56"/>
      <c r="F6" s="58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8"/>
      <c r="AG6" s="58"/>
    </row>
    <row r="7" spans="1:33" ht="15" thickBot="1" x14ac:dyDescent="0.3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8"/>
      <c r="AG7" s="58"/>
    </row>
    <row r="8" spans="1:33" ht="29.4" thickBot="1" x14ac:dyDescent="0.35">
      <c r="A8" s="63" t="s">
        <v>297</v>
      </c>
      <c r="B8" s="63" t="s">
        <v>255</v>
      </c>
      <c r="C8" s="61" t="s">
        <v>15</v>
      </c>
      <c r="D8" s="61" t="s">
        <v>183</v>
      </c>
      <c r="E8" s="61" t="s">
        <v>313</v>
      </c>
      <c r="F8" s="61" t="s">
        <v>16</v>
      </c>
      <c r="G8" s="25" t="s">
        <v>17</v>
      </c>
      <c r="H8" s="26" t="s">
        <v>63</v>
      </c>
      <c r="I8" s="26" t="s">
        <v>64</v>
      </c>
      <c r="J8" s="27" t="s">
        <v>65</v>
      </c>
      <c r="K8" s="26" t="s">
        <v>66</v>
      </c>
      <c r="L8" s="27" t="s">
        <v>67</v>
      </c>
      <c r="M8" s="26" t="s">
        <v>68</v>
      </c>
      <c r="N8" s="27" t="s">
        <v>69</v>
      </c>
      <c r="O8" s="26" t="s">
        <v>70</v>
      </c>
      <c r="P8" s="27" t="s">
        <v>71</v>
      </c>
      <c r="Q8" s="26" t="s">
        <v>72</v>
      </c>
      <c r="R8" s="27" t="s">
        <v>73</v>
      </c>
      <c r="S8" s="26" t="s">
        <v>74</v>
      </c>
      <c r="T8" s="27" t="s">
        <v>242</v>
      </c>
      <c r="U8" s="27" t="s">
        <v>243</v>
      </c>
      <c r="V8" s="27" t="s">
        <v>253</v>
      </c>
      <c r="W8" s="27" t="s">
        <v>244</v>
      </c>
      <c r="X8" s="27" t="s">
        <v>245</v>
      </c>
      <c r="Y8" s="27" t="s">
        <v>246</v>
      </c>
      <c r="Z8" s="27" t="s">
        <v>247</v>
      </c>
      <c r="AA8" s="27" t="s">
        <v>248</v>
      </c>
      <c r="AB8" s="27" t="s">
        <v>249</v>
      </c>
      <c r="AC8" s="27" t="s">
        <v>250</v>
      </c>
      <c r="AD8" s="27" t="s">
        <v>251</v>
      </c>
      <c r="AE8" s="27" t="s">
        <v>252</v>
      </c>
      <c r="AF8" s="12" t="s">
        <v>377</v>
      </c>
      <c r="AG8" s="12" t="s">
        <v>378</v>
      </c>
    </row>
    <row r="9" spans="1:33" ht="15" thickBot="1" x14ac:dyDescent="0.35">
      <c r="A9" s="31" t="s">
        <v>4</v>
      </c>
      <c r="B9" s="31" t="s">
        <v>119</v>
      </c>
      <c r="C9" s="152">
        <v>391500</v>
      </c>
      <c r="D9" s="152">
        <v>0</v>
      </c>
      <c r="E9" s="152">
        <f>C9+D9</f>
        <v>391500</v>
      </c>
      <c r="F9" s="152">
        <f>SUM(H9:AY9)</f>
        <v>391500</v>
      </c>
      <c r="G9" s="152">
        <f>C9-F9</f>
        <v>0</v>
      </c>
      <c r="H9" s="92"/>
      <c r="I9" s="92"/>
      <c r="J9" s="92"/>
      <c r="K9" s="92"/>
      <c r="L9" s="92"/>
      <c r="M9" s="92"/>
      <c r="N9" s="92"/>
      <c r="O9" s="92"/>
      <c r="P9" s="92"/>
      <c r="Q9" s="92">
        <v>187652</v>
      </c>
      <c r="R9" s="92"/>
      <c r="S9" s="92"/>
      <c r="T9" s="92">
        <f>1245000-1245000</f>
        <v>0</v>
      </c>
      <c r="U9" s="92">
        <f>187652+16196</f>
        <v>203848</v>
      </c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33" ht="15" thickBot="1" x14ac:dyDescent="0.35">
      <c r="A10" s="31" t="s">
        <v>104</v>
      </c>
      <c r="B10" s="31" t="s">
        <v>189</v>
      </c>
      <c r="C10" s="152">
        <v>350000</v>
      </c>
      <c r="D10" s="152">
        <v>0</v>
      </c>
      <c r="E10" s="152">
        <f t="shared" ref="E10:E12" si="0">C10+D10</f>
        <v>350000</v>
      </c>
      <c r="F10" s="152">
        <f>SUM(H10:AY10)</f>
        <v>350000</v>
      </c>
      <c r="G10" s="152">
        <f>C10-F10</f>
        <v>0</v>
      </c>
      <c r="H10" s="92"/>
      <c r="I10" s="92">
        <v>7311</v>
      </c>
      <c r="J10" s="92">
        <v>27524</v>
      </c>
      <c r="K10" s="92">
        <v>99148</v>
      </c>
      <c r="L10" s="92">
        <v>14415</v>
      </c>
      <c r="M10" s="92">
        <v>9672</v>
      </c>
      <c r="N10" s="92">
        <v>6013</v>
      </c>
      <c r="O10" s="92">
        <v>14466</v>
      </c>
      <c r="P10" s="92">
        <v>26857</v>
      </c>
      <c r="Q10" s="92">
        <v>57822</v>
      </c>
      <c r="R10" s="92">
        <v>11720</v>
      </c>
      <c r="S10" s="92"/>
      <c r="T10" s="92">
        <v>75052</v>
      </c>
      <c r="U10" s="92"/>
      <c r="V10" s="92"/>
      <c r="W10" s="92" t="s">
        <v>424</v>
      </c>
      <c r="X10" s="92"/>
      <c r="Y10" s="92"/>
      <c r="Z10" s="92"/>
      <c r="AA10" s="92"/>
      <c r="AB10" s="92"/>
      <c r="AC10" s="92"/>
      <c r="AD10" s="92"/>
      <c r="AE10" s="92"/>
    </row>
    <row r="11" spans="1:33" ht="15" thickBot="1" x14ac:dyDescent="0.35">
      <c r="A11" s="31" t="s">
        <v>42</v>
      </c>
      <c r="B11" s="31" t="s">
        <v>44</v>
      </c>
      <c r="C11" s="152">
        <v>350000</v>
      </c>
      <c r="D11" s="152">
        <v>0</v>
      </c>
      <c r="E11" s="152">
        <f t="shared" si="0"/>
        <v>350000</v>
      </c>
      <c r="F11" s="152">
        <f>SUM(H11:AY11)</f>
        <v>346890</v>
      </c>
      <c r="G11" s="152">
        <f>C11-F11</f>
        <v>3110</v>
      </c>
      <c r="H11" s="92"/>
      <c r="I11" s="92"/>
      <c r="J11" s="92">
        <v>35541</v>
      </c>
      <c r="K11" s="92">
        <v>22496</v>
      </c>
      <c r="L11" s="92">
        <v>28241</v>
      </c>
      <c r="M11" s="92">
        <v>37449</v>
      </c>
      <c r="N11" s="92">
        <v>25379</v>
      </c>
      <c r="O11" s="92">
        <v>29103</v>
      </c>
      <c r="P11" s="92">
        <v>25863</v>
      </c>
      <c r="Q11" s="92">
        <v>75939</v>
      </c>
      <c r="R11" s="92"/>
      <c r="S11" s="92"/>
      <c r="T11" s="92"/>
      <c r="U11" s="92">
        <v>66879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</row>
    <row r="12" spans="1:33" ht="15" thickBot="1" x14ac:dyDescent="0.35">
      <c r="A12" s="31" t="s">
        <v>190</v>
      </c>
      <c r="B12" s="31" t="s">
        <v>191</v>
      </c>
      <c r="C12" s="152">
        <v>20000</v>
      </c>
      <c r="D12" s="152">
        <v>0</v>
      </c>
      <c r="E12" s="152">
        <f t="shared" si="0"/>
        <v>20000</v>
      </c>
      <c r="F12" s="152">
        <f>SUM(H12:AY12)</f>
        <v>20000</v>
      </c>
      <c r="G12" s="152">
        <f>C12-F12</f>
        <v>0</v>
      </c>
      <c r="H12" s="92"/>
      <c r="I12" s="92"/>
      <c r="J12" s="92"/>
      <c r="K12" s="92"/>
      <c r="L12" s="92"/>
      <c r="M12" s="92">
        <v>3000</v>
      </c>
      <c r="N12" s="92">
        <v>3750</v>
      </c>
      <c r="O12" s="92"/>
      <c r="P12" s="92">
        <v>6675</v>
      </c>
      <c r="Q12" s="92"/>
      <c r="R12" s="92"/>
      <c r="S12" s="92">
        <v>6575</v>
      </c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</row>
    <row r="13" spans="1:33" ht="15" thickBot="1" x14ac:dyDescent="0.35">
      <c r="A13" s="31"/>
      <c r="B13" s="31"/>
      <c r="C13" s="152"/>
      <c r="D13" s="152"/>
      <c r="E13" s="152"/>
      <c r="F13" s="152"/>
      <c r="G13" s="15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3"/>
      <c r="AG13" s="93"/>
    </row>
    <row r="14" spans="1:33" ht="15" thickBot="1" x14ac:dyDescent="0.35">
      <c r="A14" s="47" t="s">
        <v>49</v>
      </c>
      <c r="B14" s="47"/>
      <c r="C14" s="174">
        <f t="shared" ref="C14:AG14" si="1">SUM(C9:C13)</f>
        <v>1111500</v>
      </c>
      <c r="D14" s="174">
        <v>0</v>
      </c>
      <c r="E14" s="174">
        <f>C14+D14</f>
        <v>1111500</v>
      </c>
      <c r="F14" s="174">
        <f t="shared" si="1"/>
        <v>1108390</v>
      </c>
      <c r="G14" s="174">
        <f t="shared" si="1"/>
        <v>3110</v>
      </c>
      <c r="H14" s="174">
        <f t="shared" si="1"/>
        <v>0</v>
      </c>
      <c r="I14" s="174">
        <f t="shared" si="1"/>
        <v>7311</v>
      </c>
      <c r="J14" s="174">
        <f t="shared" si="1"/>
        <v>63065</v>
      </c>
      <c r="K14" s="174">
        <f t="shared" si="1"/>
        <v>121644</v>
      </c>
      <c r="L14" s="174">
        <f t="shared" si="1"/>
        <v>42656</v>
      </c>
      <c r="M14" s="174">
        <f t="shared" si="1"/>
        <v>50121</v>
      </c>
      <c r="N14" s="174">
        <f t="shared" si="1"/>
        <v>35142</v>
      </c>
      <c r="O14" s="174">
        <f t="shared" si="1"/>
        <v>43569</v>
      </c>
      <c r="P14" s="174">
        <f t="shared" si="1"/>
        <v>59395</v>
      </c>
      <c r="Q14" s="174">
        <f t="shared" si="1"/>
        <v>321413</v>
      </c>
      <c r="R14" s="174">
        <f t="shared" si="1"/>
        <v>11720</v>
      </c>
      <c r="S14" s="174">
        <f t="shared" si="1"/>
        <v>6575</v>
      </c>
      <c r="T14" s="174">
        <f t="shared" si="1"/>
        <v>75052</v>
      </c>
      <c r="U14" s="174">
        <f t="shared" si="1"/>
        <v>270727</v>
      </c>
      <c r="V14" s="174">
        <f t="shared" si="1"/>
        <v>0</v>
      </c>
      <c r="W14" s="174">
        <f t="shared" si="1"/>
        <v>0</v>
      </c>
      <c r="X14" s="174">
        <f t="shared" si="1"/>
        <v>0</v>
      </c>
      <c r="Y14" s="174">
        <f t="shared" si="1"/>
        <v>0</v>
      </c>
      <c r="Z14" s="174">
        <f t="shared" si="1"/>
        <v>0</v>
      </c>
      <c r="AA14" s="174">
        <f t="shared" si="1"/>
        <v>0</v>
      </c>
      <c r="AB14" s="174">
        <f t="shared" si="1"/>
        <v>0</v>
      </c>
      <c r="AC14" s="174">
        <f t="shared" si="1"/>
        <v>0</v>
      </c>
      <c r="AD14" s="174">
        <f t="shared" si="1"/>
        <v>0</v>
      </c>
      <c r="AE14" s="174">
        <f t="shared" si="1"/>
        <v>0</v>
      </c>
      <c r="AF14" s="174">
        <f t="shared" si="1"/>
        <v>0</v>
      </c>
      <c r="AG14" s="174">
        <f t="shared" si="1"/>
        <v>0</v>
      </c>
    </row>
    <row r="15" spans="1:33" x14ac:dyDescent="0.3"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</row>
    <row r="16" spans="1:33" x14ac:dyDescent="0.3"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8:33" x14ac:dyDescent="0.3"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</row>
    <row r="18" spans="8:33" x14ac:dyDescent="0.3"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93"/>
      <c r="AG18" s="93"/>
    </row>
    <row r="19" spans="8:33" x14ac:dyDescent="0.3"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</row>
    <row r="20" spans="8:33" x14ac:dyDescent="0.3"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</row>
    <row r="21" spans="8:33" x14ac:dyDescent="0.3"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</row>
    <row r="22" spans="8:33" x14ac:dyDescent="0.3"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93"/>
      <c r="AG22" s="93"/>
    </row>
    <row r="23" spans="8:33" x14ac:dyDescent="0.3"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93"/>
      <c r="AG23" s="93"/>
    </row>
    <row r="24" spans="8:33" x14ac:dyDescent="0.3"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</row>
    <row r="25" spans="8:33" x14ac:dyDescent="0.3"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</row>
    <row r="26" spans="8:33" x14ac:dyDescent="0.3"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</row>
    <row r="27" spans="8:33" x14ac:dyDescent="0.3"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</row>
    <row r="28" spans="8:33" x14ac:dyDescent="0.3"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</row>
    <row r="29" spans="8:33" x14ac:dyDescent="0.3"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93"/>
      <c r="AG29" s="93"/>
    </row>
    <row r="30" spans="8:33" x14ac:dyDescent="0.3"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</row>
    <row r="31" spans="8:33" x14ac:dyDescent="0.3"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</row>
    <row r="32" spans="8:33" x14ac:dyDescent="0.3">
      <c r="AF32" s="51"/>
      <c r="AG32" s="51"/>
    </row>
    <row r="33" spans="32:33" x14ac:dyDescent="0.3">
      <c r="AF33" s="30"/>
      <c r="AG33" s="30"/>
    </row>
    <row r="34" spans="32:33" x14ac:dyDescent="0.3">
      <c r="AF34" s="30"/>
      <c r="AG34" s="30"/>
    </row>
    <row r="35" spans="32:33" x14ac:dyDescent="0.3">
      <c r="AF35" s="30"/>
      <c r="AG35" s="30"/>
    </row>
    <row r="36" spans="32:33" x14ac:dyDescent="0.3">
      <c r="AF36" s="30"/>
      <c r="AG36" s="30"/>
    </row>
    <row r="37" spans="32:33" x14ac:dyDescent="0.3">
      <c r="AF37" s="30"/>
      <c r="AG37" s="30"/>
    </row>
    <row r="38" spans="32:33" x14ac:dyDescent="0.3">
      <c r="AF38" s="30"/>
      <c r="AG38" s="30"/>
    </row>
    <row r="39" spans="32:33" x14ac:dyDescent="0.3">
      <c r="AF39" s="30"/>
      <c r="AG39" s="30"/>
    </row>
    <row r="40" spans="32:33" x14ac:dyDescent="0.3">
      <c r="AF40" s="30"/>
      <c r="AG40" s="30"/>
    </row>
    <row r="41" spans="32:33" x14ac:dyDescent="0.3">
      <c r="AF41" s="30"/>
      <c r="AG41" s="30"/>
    </row>
    <row r="42" spans="32:33" x14ac:dyDescent="0.3">
      <c r="AF42" s="30"/>
      <c r="AG42" s="30"/>
    </row>
    <row r="43" spans="32:33" x14ac:dyDescent="0.3">
      <c r="AF43" s="30"/>
      <c r="AG43" s="30"/>
    </row>
    <row r="44" spans="32:33" x14ac:dyDescent="0.3">
      <c r="AF44" s="30"/>
      <c r="AG44" s="30"/>
    </row>
    <row r="45" spans="32:33" x14ac:dyDescent="0.3">
      <c r="AF45" s="30"/>
      <c r="AG45" s="30"/>
    </row>
    <row r="46" spans="32:33" x14ac:dyDescent="0.3">
      <c r="AF46" s="30"/>
      <c r="AG46" s="30"/>
    </row>
  </sheetData>
  <sheetProtection algorithmName="SHA-512" hashValue="K8W+rO36fwjNpl7e+6jt4LclBA+VXiE7Y7EhREzibI2slqv24rG1feeb92BW8gcUHYKgaxgHJQ/Sf7eql3awLg==" saltValue="DF+1JGNKyzZS7i5ouJJx/Q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CCFFCC"/>
  </sheetPr>
  <dimension ref="A1:AB46"/>
  <sheetViews>
    <sheetView workbookViewId="0">
      <pane xSplit="5" ySplit="8" topLeftCell="F9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A9" sqref="A9"/>
    </sheetView>
  </sheetViews>
  <sheetFormatPr defaultColWidth="8.88671875" defaultRowHeight="14.4" x14ac:dyDescent="0.3"/>
  <cols>
    <col min="1" max="1" width="9.5546875" style="50" customWidth="1"/>
    <col min="2" max="2" width="30.109375" style="50" customWidth="1"/>
    <col min="3" max="5" width="14.6640625" style="50" customWidth="1"/>
    <col min="6" max="26" width="12.6640625" style="50" customWidth="1"/>
    <col min="27" max="28" width="21.33203125" style="50" customWidth="1"/>
    <col min="29" max="16384" width="8.88671875" style="50"/>
  </cols>
  <sheetData>
    <row r="1" spans="1:28" ht="21" x14ac:dyDescent="0.4">
      <c r="A1" s="53" t="s">
        <v>0</v>
      </c>
      <c r="B1" s="59"/>
      <c r="C1" s="54" t="s">
        <v>396</v>
      </c>
      <c r="D1" s="53"/>
      <c r="E1" s="55"/>
      <c r="F1" s="54"/>
      <c r="G1" s="54"/>
      <c r="H1" s="54"/>
      <c r="I1" s="53"/>
      <c r="J1" s="53"/>
      <c r="K1" s="55"/>
      <c r="L1" s="53" t="str">
        <f>$C$1</f>
        <v>Deaf and Blind Centers</v>
      </c>
      <c r="M1" s="60"/>
      <c r="N1" s="60"/>
      <c r="O1" s="54"/>
      <c r="P1" s="54"/>
      <c r="Q1" s="53"/>
      <c r="R1" s="53" t="str">
        <f>$C$1</f>
        <v>Deaf and Blind Centers</v>
      </c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ht="21" x14ac:dyDescent="0.4">
      <c r="A2" s="53" t="s">
        <v>358</v>
      </c>
      <c r="B2" s="55"/>
      <c r="C2" s="53" t="s">
        <v>397</v>
      </c>
      <c r="D2" s="56"/>
      <c r="E2" s="9"/>
      <c r="F2" s="9"/>
      <c r="G2" s="9"/>
      <c r="H2" s="9"/>
      <c r="I2" s="58"/>
      <c r="J2" s="58"/>
      <c r="K2" s="58"/>
      <c r="L2" s="192" t="str">
        <f>"FY"&amp;$C$4</f>
        <v>FY2017-18</v>
      </c>
      <c r="M2" s="58"/>
      <c r="N2" s="58"/>
      <c r="O2" s="58"/>
      <c r="P2" s="58"/>
      <c r="Q2" s="58"/>
      <c r="R2" s="192" t="str">
        <f>"FY"&amp;$C$4</f>
        <v>FY2017-18</v>
      </c>
      <c r="S2" s="58"/>
      <c r="T2" s="58"/>
      <c r="U2" s="58"/>
      <c r="V2" s="58"/>
      <c r="W2" s="58"/>
      <c r="X2" s="58"/>
      <c r="Y2" s="58"/>
      <c r="Z2" s="58"/>
      <c r="AA2" s="53"/>
      <c r="AB2" s="53"/>
    </row>
    <row r="3" spans="1:28" ht="15.6" x14ac:dyDescent="0.3">
      <c r="A3" s="56" t="s">
        <v>1</v>
      </c>
      <c r="B3" s="59"/>
      <c r="C3" s="57">
        <v>5326</v>
      </c>
      <c r="D3" s="56"/>
      <c r="E3" s="19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28" ht="15.6" x14ac:dyDescent="0.3">
      <c r="A4" s="56" t="s">
        <v>2</v>
      </c>
      <c r="B4" s="59"/>
      <c r="C4" s="57" t="s">
        <v>241</v>
      </c>
      <c r="D4" s="56"/>
      <c r="E4" s="19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28" ht="15.6" x14ac:dyDescent="0.3">
      <c r="A5" s="56" t="s">
        <v>18</v>
      </c>
      <c r="B5" s="59"/>
      <c r="C5" s="56" t="s">
        <v>419</v>
      </c>
      <c r="D5" s="56"/>
      <c r="E5" s="9"/>
      <c r="F5" s="9"/>
      <c r="G5" s="9"/>
      <c r="H5" s="9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5.6" x14ac:dyDescent="0.3">
      <c r="A6" s="56" t="s">
        <v>19</v>
      </c>
      <c r="B6" s="59"/>
      <c r="C6" s="56" t="s">
        <v>48</v>
      </c>
      <c r="D6" s="56"/>
      <c r="E6" s="9"/>
      <c r="F6" s="9"/>
      <c r="G6" s="9"/>
      <c r="H6" s="9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ht="16.2" thickBot="1" x14ac:dyDescent="0.35">
      <c r="A7" s="56"/>
      <c r="B7" s="59"/>
      <c r="C7" s="56"/>
      <c r="D7" s="56"/>
      <c r="E7" s="9"/>
      <c r="F7" s="9"/>
      <c r="G7" s="9"/>
      <c r="H7" s="9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ht="29.4" thickBot="1" x14ac:dyDescent="0.35">
      <c r="A8" s="186" t="s">
        <v>297</v>
      </c>
      <c r="B8" s="12" t="s">
        <v>255</v>
      </c>
      <c r="C8" s="12" t="s">
        <v>15</v>
      </c>
      <c r="D8" s="13" t="s">
        <v>16</v>
      </c>
      <c r="E8" s="29" t="s">
        <v>17</v>
      </c>
      <c r="F8" s="26" t="s">
        <v>66</v>
      </c>
      <c r="G8" s="27" t="s">
        <v>67</v>
      </c>
      <c r="H8" s="26" t="s">
        <v>68</v>
      </c>
      <c r="I8" s="27" t="s">
        <v>69</v>
      </c>
      <c r="J8" s="26" t="s">
        <v>70</v>
      </c>
      <c r="K8" s="27" t="s">
        <v>71</v>
      </c>
      <c r="L8" s="27" t="s">
        <v>72</v>
      </c>
      <c r="M8" s="27" t="s">
        <v>73</v>
      </c>
      <c r="N8" s="27" t="s">
        <v>74</v>
      </c>
      <c r="O8" s="27" t="s">
        <v>242</v>
      </c>
      <c r="P8" s="27" t="s">
        <v>243</v>
      </c>
      <c r="Q8" s="27" t="s">
        <v>253</v>
      </c>
      <c r="R8" s="27" t="s">
        <v>244</v>
      </c>
      <c r="S8" s="27" t="s">
        <v>245</v>
      </c>
      <c r="T8" s="27" t="s">
        <v>246</v>
      </c>
      <c r="U8" s="27" t="s">
        <v>247</v>
      </c>
      <c r="V8" s="27" t="s">
        <v>248</v>
      </c>
      <c r="W8" s="27" t="s">
        <v>249</v>
      </c>
      <c r="X8" s="27" t="s">
        <v>250</v>
      </c>
      <c r="Y8" s="27" t="s">
        <v>251</v>
      </c>
      <c r="Z8" s="27" t="s">
        <v>252</v>
      </c>
      <c r="AA8" s="12" t="s">
        <v>377</v>
      </c>
      <c r="AB8" s="12" t="s">
        <v>378</v>
      </c>
    </row>
    <row r="9" spans="1:28" ht="15" thickBot="1" x14ac:dyDescent="0.35">
      <c r="A9" s="155">
        <v>9000</v>
      </c>
      <c r="B9" s="156" t="s">
        <v>400</v>
      </c>
      <c r="C9" s="157">
        <v>9000</v>
      </c>
      <c r="D9" s="157">
        <f>SUM(F9:AA9)</f>
        <v>4990</v>
      </c>
      <c r="E9" s="157">
        <f>C9-D9</f>
        <v>4010</v>
      </c>
      <c r="F9" s="158"/>
      <c r="G9" s="158"/>
      <c r="H9" s="158"/>
      <c r="I9" s="158"/>
      <c r="J9" s="158"/>
      <c r="K9" s="158">
        <v>4990</v>
      </c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8" ht="15" thickBot="1" x14ac:dyDescent="0.35">
      <c r="A10" s="84" t="s">
        <v>398</v>
      </c>
      <c r="B10" s="182" t="s">
        <v>401</v>
      </c>
      <c r="C10" s="157">
        <v>4000</v>
      </c>
      <c r="D10" s="157">
        <f>SUM(F10:AA10)</f>
        <v>4000</v>
      </c>
      <c r="E10" s="157">
        <f>C10-D10</f>
        <v>0</v>
      </c>
      <c r="F10" s="158"/>
      <c r="G10" s="158"/>
      <c r="H10" s="158"/>
      <c r="I10" s="158"/>
      <c r="J10" s="158"/>
      <c r="K10" s="158">
        <v>2900</v>
      </c>
      <c r="L10" s="158"/>
      <c r="M10" s="158">
        <v>1100</v>
      </c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8" ht="43.8" thickBot="1" x14ac:dyDescent="0.35">
      <c r="A11" s="183" t="s">
        <v>399</v>
      </c>
      <c r="B11" s="182" t="s">
        <v>402</v>
      </c>
      <c r="C11" s="157">
        <v>6000</v>
      </c>
      <c r="D11" s="157">
        <f>SUM(F11:AA11)</f>
        <v>4504</v>
      </c>
      <c r="E11" s="157">
        <f>C11-D11</f>
        <v>1496</v>
      </c>
      <c r="F11" s="158"/>
      <c r="G11" s="158"/>
      <c r="H11" s="158"/>
      <c r="I11" s="158"/>
      <c r="J11" s="158"/>
      <c r="K11" s="158">
        <v>2200</v>
      </c>
      <c r="L11" s="158"/>
      <c r="M11" s="158">
        <v>2304</v>
      </c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8" ht="15" thickBot="1" x14ac:dyDescent="0.35">
      <c r="A12" s="84"/>
      <c r="B12" s="182"/>
      <c r="C12" s="159"/>
      <c r="D12" s="157"/>
      <c r="E12" s="157"/>
      <c r="F12" s="158"/>
      <c r="G12" s="158"/>
      <c r="H12" s="158"/>
      <c r="I12" s="158"/>
      <c r="J12" s="158"/>
      <c r="K12" s="158"/>
      <c r="L12" s="158"/>
      <c r="M12" s="158"/>
      <c r="N12" s="158"/>
      <c r="O12" s="158" t="s">
        <v>34</v>
      </c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93"/>
      <c r="AB12" s="93"/>
    </row>
    <row r="13" spans="1:28" s="14" customFormat="1" ht="15" thickBot="1" x14ac:dyDescent="0.35">
      <c r="A13" s="87" t="s">
        <v>49</v>
      </c>
      <c r="B13" s="47"/>
      <c r="C13" s="88">
        <f t="shared" ref="C13:AB13" si="0">SUM(C9:C11)</f>
        <v>19000</v>
      </c>
      <c r="D13" s="88">
        <f t="shared" si="0"/>
        <v>13494</v>
      </c>
      <c r="E13" s="88">
        <f t="shared" si="0"/>
        <v>5506</v>
      </c>
      <c r="F13" s="88">
        <f t="shared" si="0"/>
        <v>0</v>
      </c>
      <c r="G13" s="88">
        <f t="shared" si="0"/>
        <v>0</v>
      </c>
      <c r="H13" s="88">
        <f t="shared" si="0"/>
        <v>0</v>
      </c>
      <c r="I13" s="88">
        <f t="shared" si="0"/>
        <v>0</v>
      </c>
      <c r="J13" s="88">
        <f t="shared" si="0"/>
        <v>0</v>
      </c>
      <c r="K13" s="88">
        <f t="shared" si="0"/>
        <v>10090</v>
      </c>
      <c r="L13" s="88">
        <f t="shared" si="0"/>
        <v>0</v>
      </c>
      <c r="M13" s="88">
        <f t="shared" si="0"/>
        <v>3404</v>
      </c>
      <c r="N13" s="88">
        <f t="shared" si="0"/>
        <v>0</v>
      </c>
      <c r="O13" s="88">
        <f t="shared" si="0"/>
        <v>0</v>
      </c>
      <c r="P13" s="88">
        <f t="shared" si="0"/>
        <v>0</v>
      </c>
      <c r="Q13" s="88">
        <f t="shared" si="0"/>
        <v>0</v>
      </c>
      <c r="R13" s="88">
        <f t="shared" si="0"/>
        <v>0</v>
      </c>
      <c r="S13" s="88">
        <f t="shared" si="0"/>
        <v>0</v>
      </c>
      <c r="T13" s="88">
        <f t="shared" si="0"/>
        <v>0</v>
      </c>
      <c r="U13" s="88">
        <f t="shared" si="0"/>
        <v>0</v>
      </c>
      <c r="V13" s="88">
        <f t="shared" si="0"/>
        <v>0</v>
      </c>
      <c r="W13" s="88">
        <f t="shared" si="0"/>
        <v>0</v>
      </c>
      <c r="X13" s="88">
        <f t="shared" si="0"/>
        <v>0</v>
      </c>
      <c r="Y13" s="88">
        <f t="shared" si="0"/>
        <v>0</v>
      </c>
      <c r="Z13" s="88">
        <f t="shared" si="0"/>
        <v>0</v>
      </c>
      <c r="AA13" s="88">
        <f t="shared" si="0"/>
        <v>0</v>
      </c>
      <c r="AB13" s="88">
        <f t="shared" si="0"/>
        <v>0</v>
      </c>
    </row>
    <row r="16" spans="1:28" x14ac:dyDescent="0.3">
      <c r="AA16" s="93"/>
      <c r="AB16" s="93"/>
    </row>
    <row r="18" spans="27:28" x14ac:dyDescent="0.3">
      <c r="AA18" s="93"/>
      <c r="AB18" s="93"/>
    </row>
    <row r="22" spans="27:28" x14ac:dyDescent="0.3">
      <c r="AA22" s="93"/>
      <c r="AB22" s="93"/>
    </row>
    <row r="23" spans="27:28" x14ac:dyDescent="0.3">
      <c r="AA23" s="93"/>
      <c r="AB23" s="93"/>
    </row>
    <row r="29" spans="27:28" x14ac:dyDescent="0.3">
      <c r="AA29" s="93"/>
      <c r="AB29" s="93"/>
    </row>
    <row r="32" spans="27:28" x14ac:dyDescent="0.3">
      <c r="AA32" s="51"/>
      <c r="AB32" s="51"/>
    </row>
    <row r="33" spans="27:28" x14ac:dyDescent="0.3">
      <c r="AA33" s="30"/>
      <c r="AB33" s="30"/>
    </row>
    <row r="34" spans="27:28" x14ac:dyDescent="0.3">
      <c r="AA34" s="30"/>
      <c r="AB34" s="30"/>
    </row>
    <row r="35" spans="27:28" x14ac:dyDescent="0.3">
      <c r="AA35" s="30"/>
      <c r="AB35" s="30"/>
    </row>
    <row r="36" spans="27:28" x14ac:dyDescent="0.3">
      <c r="AA36" s="30"/>
      <c r="AB36" s="30"/>
    </row>
    <row r="37" spans="27:28" x14ac:dyDescent="0.3">
      <c r="AA37" s="30"/>
      <c r="AB37" s="30"/>
    </row>
    <row r="38" spans="27:28" x14ac:dyDescent="0.3">
      <c r="AA38" s="30"/>
      <c r="AB38" s="30"/>
    </row>
    <row r="39" spans="27:28" x14ac:dyDescent="0.3">
      <c r="AA39" s="30"/>
      <c r="AB39" s="30"/>
    </row>
    <row r="40" spans="27:28" x14ac:dyDescent="0.3">
      <c r="AA40" s="30"/>
      <c r="AB40" s="30"/>
    </row>
    <row r="41" spans="27:28" x14ac:dyDescent="0.3">
      <c r="AA41" s="30"/>
      <c r="AB41" s="30"/>
    </row>
    <row r="42" spans="27:28" x14ac:dyDescent="0.3">
      <c r="AA42" s="30"/>
      <c r="AB42" s="30"/>
    </row>
    <row r="43" spans="27:28" x14ac:dyDescent="0.3">
      <c r="AA43" s="30"/>
      <c r="AB43" s="30"/>
    </row>
    <row r="44" spans="27:28" x14ac:dyDescent="0.3">
      <c r="AA44" s="30"/>
      <c r="AB44" s="30"/>
    </row>
    <row r="45" spans="27:28" x14ac:dyDescent="0.3">
      <c r="AA45" s="30"/>
      <c r="AB45" s="30"/>
    </row>
    <row r="46" spans="27:28" x14ac:dyDescent="0.3">
      <c r="AA46" s="30"/>
      <c r="AB46" s="30"/>
    </row>
  </sheetData>
  <sheetProtection algorithmName="SHA-512" hashValue="/6e7BTELh8Fy0FyChoS1B40Dt3Iz34D9Fj8p+cLmsDwM7NbjWjYwRGH8ZOvJJQY1lgGcNHtkMj1ImsYcJfFwZQ==" saltValue="9ZCqiV/8KYQ4gbK1jcOZHw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CFFCC"/>
  </sheetPr>
  <dimension ref="A1:AJ48"/>
  <sheetViews>
    <sheetView workbookViewId="0">
      <pane xSplit="7" ySplit="8" topLeftCell="X9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A9" sqref="A9"/>
    </sheetView>
  </sheetViews>
  <sheetFormatPr defaultColWidth="8.88671875" defaultRowHeight="14.4" x14ac:dyDescent="0.3"/>
  <cols>
    <col min="1" max="1" width="8.88671875" style="50"/>
    <col min="2" max="2" width="37.6640625" style="50" customWidth="1"/>
    <col min="3" max="5" width="13.5546875" style="50" customWidth="1"/>
    <col min="6" max="6" width="15.33203125" style="50" customWidth="1"/>
    <col min="7" max="7" width="32.33203125" style="50" customWidth="1"/>
    <col min="8" max="8" width="15" style="50" customWidth="1"/>
    <col min="9" max="9" width="14.33203125" style="50" customWidth="1"/>
    <col min="10" max="10" width="12.109375" style="50" customWidth="1"/>
    <col min="11" max="11" width="13" style="50" customWidth="1"/>
    <col min="12" max="12" width="13.5546875" style="50" customWidth="1"/>
    <col min="13" max="13" width="13.109375" style="50" customWidth="1"/>
    <col min="14" max="14" width="14.33203125" style="50" customWidth="1"/>
    <col min="15" max="15" width="13.6640625" style="50" customWidth="1"/>
    <col min="16" max="16" width="13" style="50" customWidth="1"/>
    <col min="17" max="17" width="12.33203125" style="50" customWidth="1"/>
    <col min="18" max="18" width="11.33203125" style="50" customWidth="1"/>
    <col min="19" max="19" width="10.88671875" style="50" customWidth="1"/>
    <col min="20" max="21" width="11.5546875" style="50" customWidth="1"/>
    <col min="22" max="22" width="12.33203125" style="50" customWidth="1"/>
    <col min="23" max="23" width="13" style="50" customWidth="1"/>
    <col min="24" max="24" width="13.5546875" style="50" customWidth="1"/>
    <col min="25" max="25" width="13.109375" style="50" customWidth="1"/>
    <col min="26" max="26" width="14.33203125" style="50" customWidth="1"/>
    <col min="27" max="27" width="13.6640625" style="50" customWidth="1"/>
    <col min="28" max="28" width="13" style="50" customWidth="1"/>
    <col min="29" max="29" width="12.33203125" style="50" customWidth="1"/>
    <col min="30" max="30" width="11.33203125" style="50" customWidth="1"/>
    <col min="31" max="31" width="10.88671875" style="50" customWidth="1"/>
    <col min="32" max="33" width="11.5546875" style="50" customWidth="1"/>
    <col min="34" max="34" width="13.33203125" style="50" customWidth="1"/>
    <col min="35" max="36" width="21.33203125" style="50" customWidth="1"/>
    <col min="37" max="16384" width="8.88671875" style="50"/>
  </cols>
  <sheetData>
    <row r="1" spans="1:36" ht="21" x14ac:dyDescent="0.4">
      <c r="A1" s="53" t="s">
        <v>0</v>
      </c>
      <c r="B1" s="59"/>
      <c r="C1" s="54" t="s">
        <v>116</v>
      </c>
      <c r="D1" s="54"/>
      <c r="E1" s="54"/>
      <c r="F1" s="53"/>
      <c r="G1" s="55"/>
      <c r="H1" s="60"/>
      <c r="I1" s="60"/>
      <c r="J1" s="54"/>
      <c r="K1" s="54"/>
      <c r="L1" s="54"/>
      <c r="M1" s="53"/>
      <c r="N1" s="53" t="str">
        <f>$C$1</f>
        <v>IEL CIVICS</v>
      </c>
      <c r="O1" s="55"/>
      <c r="P1" s="55"/>
      <c r="Q1" s="60"/>
      <c r="R1" s="60"/>
      <c r="S1" s="54"/>
      <c r="T1" s="53" t="str">
        <f>$C$1</f>
        <v>IEL CIVICS</v>
      </c>
      <c r="U1" s="53"/>
      <c r="V1" s="53"/>
      <c r="W1" s="54"/>
      <c r="X1" s="54"/>
      <c r="Y1" s="53"/>
      <c r="Z1" s="53"/>
      <c r="AA1" s="53" t="str">
        <f>$C$1</f>
        <v>IEL CIVICS</v>
      </c>
      <c r="AB1" s="55"/>
      <c r="AC1" s="60"/>
      <c r="AD1" s="60"/>
      <c r="AE1" s="60"/>
      <c r="AF1" s="54"/>
      <c r="AG1" s="53"/>
      <c r="AH1" s="53" t="str">
        <f>$C$1</f>
        <v>IEL CIVICS</v>
      </c>
      <c r="AI1" s="53"/>
      <c r="AJ1" s="53"/>
    </row>
    <row r="2" spans="1:36" s="191" customFormat="1" ht="21" x14ac:dyDescent="0.4">
      <c r="A2" s="53" t="s">
        <v>358</v>
      </c>
      <c r="B2" s="53"/>
      <c r="C2" s="53" t="s">
        <v>363</v>
      </c>
      <c r="D2" s="53"/>
      <c r="E2" s="53"/>
      <c r="F2" s="53"/>
      <c r="G2" s="185"/>
      <c r="H2" s="185"/>
      <c r="I2" s="185"/>
      <c r="J2" s="15"/>
      <c r="K2" s="15"/>
      <c r="L2" s="15"/>
      <c r="M2" s="15"/>
      <c r="N2" s="192" t="str">
        <f>"FY"&amp;$C$4</f>
        <v>FY2017-18</v>
      </c>
      <c r="O2" s="15"/>
      <c r="P2" s="15"/>
      <c r="Q2" s="15"/>
      <c r="R2" s="15"/>
      <c r="S2" s="15"/>
      <c r="T2" s="192" t="str">
        <f>"FY"&amp;$C$4</f>
        <v>FY2017-18</v>
      </c>
      <c r="U2" s="15"/>
      <c r="V2" s="15"/>
      <c r="W2" s="15"/>
      <c r="X2" s="15"/>
      <c r="Y2" s="15"/>
      <c r="Z2" s="15"/>
      <c r="AA2" s="192" t="str">
        <f>"FY"&amp;$C$4</f>
        <v>FY2017-18</v>
      </c>
      <c r="AB2" s="15"/>
      <c r="AC2" s="15"/>
      <c r="AD2" s="15"/>
      <c r="AE2" s="15"/>
      <c r="AF2" s="15"/>
      <c r="AG2" s="15"/>
      <c r="AH2" s="192" t="str">
        <f>"FY"&amp;$C$4</f>
        <v>FY2017-18</v>
      </c>
      <c r="AI2" s="53"/>
      <c r="AJ2" s="53"/>
    </row>
    <row r="3" spans="1:36" ht="15.6" x14ac:dyDescent="0.3">
      <c r="A3" s="56" t="s">
        <v>1</v>
      </c>
      <c r="B3" s="59"/>
      <c r="C3" s="57">
        <v>6002</v>
      </c>
      <c r="D3" s="57"/>
      <c r="E3" s="57"/>
      <c r="F3" s="56"/>
      <c r="G3" s="19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</row>
    <row r="4" spans="1:36" ht="15.6" x14ac:dyDescent="0.3">
      <c r="A4" s="56" t="s">
        <v>2</v>
      </c>
      <c r="B4" s="59"/>
      <c r="C4" s="57" t="s">
        <v>241</v>
      </c>
      <c r="D4" s="57"/>
      <c r="E4" s="57"/>
      <c r="F4" s="19"/>
      <c r="G4" s="19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</row>
    <row r="5" spans="1:36" ht="15.6" x14ac:dyDescent="0.3">
      <c r="A5" s="56" t="s">
        <v>18</v>
      </c>
      <c r="B5" s="56"/>
      <c r="C5" s="56" t="s">
        <v>427</v>
      </c>
      <c r="D5" s="56"/>
      <c r="E5" s="56"/>
      <c r="F5" s="56"/>
      <c r="G5" s="9"/>
      <c r="H5" s="9"/>
      <c r="I5" s="9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</row>
    <row r="6" spans="1:36" ht="15.6" x14ac:dyDescent="0.3">
      <c r="A6" s="56" t="s">
        <v>19</v>
      </c>
      <c r="B6" s="56"/>
      <c r="C6" s="56" t="s">
        <v>21</v>
      </c>
      <c r="D6" s="56"/>
      <c r="E6" s="56"/>
      <c r="F6" s="56"/>
      <c r="G6" s="9"/>
      <c r="H6" s="9"/>
      <c r="I6" s="9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36" ht="21.6" thickBot="1" x14ac:dyDescent="0.45">
      <c r="A7" s="53"/>
      <c r="B7" s="56"/>
      <c r="C7" s="59"/>
      <c r="D7" s="59"/>
      <c r="E7" s="59"/>
      <c r="F7" s="56"/>
      <c r="G7" s="9"/>
      <c r="H7" s="9"/>
      <c r="I7" s="9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</row>
    <row r="8" spans="1:36" ht="29.4" thickBot="1" x14ac:dyDescent="0.35">
      <c r="A8" s="11" t="s">
        <v>297</v>
      </c>
      <c r="B8" s="12" t="s">
        <v>255</v>
      </c>
      <c r="C8" s="13" t="s">
        <v>15</v>
      </c>
      <c r="D8" s="61" t="s">
        <v>183</v>
      </c>
      <c r="E8" s="61" t="s">
        <v>313</v>
      </c>
      <c r="F8" s="12" t="s">
        <v>16</v>
      </c>
      <c r="G8" s="25" t="s">
        <v>17</v>
      </c>
      <c r="H8" s="26" t="s">
        <v>60</v>
      </c>
      <c r="I8" s="27" t="s">
        <v>61</v>
      </c>
      <c r="J8" s="26" t="s">
        <v>62</v>
      </c>
      <c r="K8" s="27" t="s">
        <v>63</v>
      </c>
      <c r="L8" s="26" t="s">
        <v>64</v>
      </c>
      <c r="M8" s="27" t="s">
        <v>65</v>
      </c>
      <c r="N8" s="27" t="s">
        <v>66</v>
      </c>
      <c r="O8" s="27" t="s">
        <v>67</v>
      </c>
      <c r="P8" s="27" t="s">
        <v>68</v>
      </c>
      <c r="Q8" s="27" t="s">
        <v>69</v>
      </c>
      <c r="R8" s="27" t="s">
        <v>70</v>
      </c>
      <c r="S8" s="27" t="s">
        <v>71</v>
      </c>
      <c r="T8" s="26" t="s">
        <v>72</v>
      </c>
      <c r="U8" s="27" t="s">
        <v>73</v>
      </c>
      <c r="V8" s="27" t="s">
        <v>74</v>
      </c>
      <c r="W8" s="27" t="s">
        <v>242</v>
      </c>
      <c r="X8" s="26" t="s">
        <v>243</v>
      </c>
      <c r="Y8" s="27" t="s">
        <v>253</v>
      </c>
      <c r="Z8" s="27" t="s">
        <v>244</v>
      </c>
      <c r="AA8" s="27" t="s">
        <v>245</v>
      </c>
      <c r="AB8" s="27" t="s">
        <v>246</v>
      </c>
      <c r="AC8" s="27" t="s">
        <v>247</v>
      </c>
      <c r="AD8" s="27" t="s">
        <v>248</v>
      </c>
      <c r="AE8" s="27" t="s">
        <v>249</v>
      </c>
      <c r="AF8" s="26" t="s">
        <v>250</v>
      </c>
      <c r="AG8" s="27" t="s">
        <v>251</v>
      </c>
      <c r="AH8" s="27" t="s">
        <v>252</v>
      </c>
      <c r="AI8" s="12" t="s">
        <v>377</v>
      </c>
      <c r="AJ8" s="12" t="s">
        <v>378</v>
      </c>
    </row>
    <row r="9" spans="1:36" ht="15" thickBot="1" x14ac:dyDescent="0.35">
      <c r="A9" s="94" t="s">
        <v>83</v>
      </c>
      <c r="B9" s="89" t="s">
        <v>264</v>
      </c>
      <c r="C9" s="90">
        <v>137264</v>
      </c>
      <c r="D9" s="152">
        <v>0</v>
      </c>
      <c r="E9" s="152">
        <f>C9+D9</f>
        <v>137264</v>
      </c>
      <c r="F9" s="90">
        <f>SUM(H9:AH9)</f>
        <v>130171</v>
      </c>
      <c r="G9" s="91">
        <f t="shared" ref="G9:G16" si="0">C9-F9</f>
        <v>7093</v>
      </c>
      <c r="H9" s="92"/>
      <c r="I9" s="92"/>
      <c r="J9" s="92"/>
      <c r="K9" s="92">
        <v>23305</v>
      </c>
      <c r="L9" s="92">
        <v>15228</v>
      </c>
      <c r="M9" s="92">
        <v>10836</v>
      </c>
      <c r="N9" s="92">
        <v>8255</v>
      </c>
      <c r="O9" s="92">
        <v>11166</v>
      </c>
      <c r="P9" s="92">
        <v>10357</v>
      </c>
      <c r="Q9" s="92">
        <v>10688</v>
      </c>
      <c r="R9" s="92">
        <v>11701</v>
      </c>
      <c r="S9" s="92"/>
      <c r="T9" s="92"/>
      <c r="U9" s="93">
        <v>28635</v>
      </c>
      <c r="V9" s="93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93"/>
    </row>
    <row r="10" spans="1:36" s="21" customFormat="1" ht="15" thickBot="1" x14ac:dyDescent="0.35">
      <c r="A10" s="94" t="s">
        <v>260</v>
      </c>
      <c r="B10" s="95" t="s">
        <v>261</v>
      </c>
      <c r="C10" s="90">
        <v>100856</v>
      </c>
      <c r="D10" s="152">
        <v>0</v>
      </c>
      <c r="E10" s="152">
        <f t="shared" ref="E10:E16" si="1">C10+D10</f>
        <v>100856</v>
      </c>
      <c r="F10" s="90">
        <f t="shared" ref="F10:F16" si="2">SUM(H10:AH10)</f>
        <v>68544</v>
      </c>
      <c r="G10" s="98">
        <f t="shared" si="0"/>
        <v>32312</v>
      </c>
      <c r="H10" s="92"/>
      <c r="I10" s="92"/>
      <c r="J10" s="92"/>
      <c r="K10" s="92">
        <v>652</v>
      </c>
      <c r="L10" s="92"/>
      <c r="M10" s="92">
        <v>5457</v>
      </c>
      <c r="N10" s="92"/>
      <c r="O10" s="92"/>
      <c r="P10" s="92">
        <f>7740+8006</f>
        <v>15746</v>
      </c>
      <c r="Q10" s="92"/>
      <c r="R10" s="92"/>
      <c r="S10" s="92">
        <v>35468</v>
      </c>
      <c r="T10" s="92"/>
      <c r="U10" s="99"/>
      <c r="V10" s="99"/>
      <c r="W10" s="92"/>
      <c r="X10" s="92"/>
      <c r="Y10" s="92"/>
      <c r="Z10" s="92">
        <v>11221</v>
      </c>
      <c r="AA10" s="92"/>
      <c r="AB10" s="92"/>
      <c r="AC10" s="92"/>
      <c r="AD10" s="92"/>
      <c r="AE10" s="92"/>
      <c r="AF10" s="92"/>
      <c r="AG10" s="99"/>
      <c r="AH10" s="99"/>
      <c r="AI10" s="50"/>
      <c r="AJ10" s="50"/>
    </row>
    <row r="11" spans="1:36" ht="15" thickBot="1" x14ac:dyDescent="0.35">
      <c r="A11" s="96" t="s">
        <v>7</v>
      </c>
      <c r="B11" s="97" t="s">
        <v>8</v>
      </c>
      <c r="C11" s="90">
        <v>100000</v>
      </c>
      <c r="D11" s="152">
        <v>0</v>
      </c>
      <c r="E11" s="152">
        <f t="shared" si="1"/>
        <v>100000</v>
      </c>
      <c r="F11" s="90">
        <f t="shared" si="2"/>
        <v>100000</v>
      </c>
      <c r="G11" s="91">
        <f t="shared" si="0"/>
        <v>0</v>
      </c>
      <c r="H11" s="92"/>
      <c r="I11" s="92"/>
      <c r="J11" s="92"/>
      <c r="K11" s="92"/>
      <c r="L11" s="92">
        <v>12806</v>
      </c>
      <c r="M11" s="92"/>
      <c r="N11" s="92"/>
      <c r="O11" s="92"/>
      <c r="P11" s="92"/>
      <c r="Q11" s="92">
        <v>49188</v>
      </c>
      <c r="R11" s="92">
        <v>14287</v>
      </c>
      <c r="S11" s="92"/>
      <c r="T11" s="92"/>
      <c r="U11" s="93"/>
      <c r="V11" s="93">
        <v>23719</v>
      </c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3"/>
      <c r="AH11" s="93"/>
    </row>
    <row r="12" spans="1:36" ht="15" thickBot="1" x14ac:dyDescent="0.35">
      <c r="A12" s="96" t="s">
        <v>9</v>
      </c>
      <c r="B12" s="97" t="s">
        <v>93</v>
      </c>
      <c r="C12" s="90">
        <v>111880</v>
      </c>
      <c r="D12" s="152">
        <v>0</v>
      </c>
      <c r="E12" s="152">
        <f t="shared" si="1"/>
        <v>111880</v>
      </c>
      <c r="F12" s="90">
        <f t="shared" si="2"/>
        <v>111880</v>
      </c>
      <c r="G12" s="91">
        <f t="shared" si="0"/>
        <v>0</v>
      </c>
      <c r="H12" s="92"/>
      <c r="I12" s="92"/>
      <c r="J12" s="92"/>
      <c r="K12" s="92">
        <f>2951+7827+11012</f>
        <v>21790</v>
      </c>
      <c r="L12" s="92">
        <v>14205</v>
      </c>
      <c r="M12" s="92">
        <f>7836.22+3180.78</f>
        <v>11017</v>
      </c>
      <c r="N12" s="92">
        <v>7393</v>
      </c>
      <c r="O12" s="92">
        <v>6706</v>
      </c>
      <c r="P12" s="92">
        <v>12758</v>
      </c>
      <c r="Q12" s="92">
        <v>10401</v>
      </c>
      <c r="R12" s="92">
        <v>15186</v>
      </c>
      <c r="S12" s="92">
        <v>11829</v>
      </c>
      <c r="T12" s="92">
        <v>595</v>
      </c>
      <c r="U12" s="93"/>
      <c r="V12" s="93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3"/>
      <c r="AH12" s="93"/>
    </row>
    <row r="13" spans="1:36" ht="15" thickBot="1" x14ac:dyDescent="0.35">
      <c r="A13" s="96" t="s">
        <v>11</v>
      </c>
      <c r="B13" s="97" t="s">
        <v>12</v>
      </c>
      <c r="C13" s="90">
        <v>100000</v>
      </c>
      <c r="D13" s="152">
        <v>0</v>
      </c>
      <c r="E13" s="152">
        <f t="shared" si="1"/>
        <v>100000</v>
      </c>
      <c r="F13" s="90">
        <f t="shared" si="2"/>
        <v>76334</v>
      </c>
      <c r="G13" s="91">
        <f>E13-F13</f>
        <v>23666</v>
      </c>
      <c r="H13" s="92"/>
      <c r="I13" s="92"/>
      <c r="J13" s="92"/>
      <c r="K13" s="92"/>
      <c r="L13" s="92">
        <v>11354</v>
      </c>
      <c r="M13" s="92"/>
      <c r="N13" s="92"/>
      <c r="O13" s="92"/>
      <c r="P13" s="92"/>
      <c r="Q13" s="92"/>
      <c r="R13" s="92"/>
      <c r="S13" s="92"/>
      <c r="T13" s="92"/>
      <c r="U13" s="93"/>
      <c r="V13" s="93">
        <f>64980</f>
        <v>64980</v>
      </c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  <c r="AH13" s="93"/>
      <c r="AI13" s="93"/>
      <c r="AJ13" s="93"/>
    </row>
    <row r="14" spans="1:36" ht="15" thickBot="1" x14ac:dyDescent="0.35">
      <c r="A14" s="96" t="s">
        <v>80</v>
      </c>
      <c r="B14" s="97" t="s">
        <v>96</v>
      </c>
      <c r="C14" s="90">
        <v>100000</v>
      </c>
      <c r="D14" s="152">
        <v>0</v>
      </c>
      <c r="E14" s="152">
        <f t="shared" si="1"/>
        <v>100000</v>
      </c>
      <c r="F14" s="90">
        <f t="shared" si="2"/>
        <v>100000</v>
      </c>
      <c r="G14" s="91">
        <f t="shared" si="0"/>
        <v>0</v>
      </c>
      <c r="H14" s="92"/>
      <c r="I14" s="92">
        <v>3601</v>
      </c>
      <c r="J14" s="92"/>
      <c r="K14" s="92">
        <f>9693+11352</f>
        <v>21045</v>
      </c>
      <c r="L14" s="92">
        <v>12346</v>
      </c>
      <c r="M14" s="92">
        <v>10996</v>
      </c>
      <c r="N14" s="92">
        <v>10763</v>
      </c>
      <c r="O14" s="92">
        <v>10854</v>
      </c>
      <c r="P14" s="92">
        <v>11530</v>
      </c>
      <c r="Q14" s="92">
        <v>9575</v>
      </c>
      <c r="R14" s="92">
        <v>9290</v>
      </c>
      <c r="S14" s="92"/>
      <c r="T14" s="92"/>
      <c r="U14" s="93"/>
      <c r="V14" s="93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3"/>
      <c r="AH14" s="93"/>
      <c r="AI14" s="93"/>
      <c r="AJ14" s="93"/>
    </row>
    <row r="15" spans="1:36" ht="15" thickBot="1" x14ac:dyDescent="0.35">
      <c r="A15" s="96" t="s">
        <v>13</v>
      </c>
      <c r="B15" s="97" t="s">
        <v>98</v>
      </c>
      <c r="C15" s="90">
        <v>100000</v>
      </c>
      <c r="D15" s="152">
        <v>0</v>
      </c>
      <c r="E15" s="152">
        <f t="shared" si="1"/>
        <v>100000</v>
      </c>
      <c r="F15" s="90">
        <f t="shared" si="2"/>
        <v>63162</v>
      </c>
      <c r="G15" s="91">
        <f t="shared" si="0"/>
        <v>36838</v>
      </c>
      <c r="H15" s="92"/>
      <c r="I15" s="92"/>
      <c r="J15" s="92"/>
      <c r="K15" s="92">
        <f>6500+4800</f>
        <v>11300</v>
      </c>
      <c r="L15" s="92"/>
      <c r="M15" s="92"/>
      <c r="N15" s="92"/>
      <c r="O15" s="92">
        <v>5817</v>
      </c>
      <c r="P15" s="92">
        <v>8018</v>
      </c>
      <c r="Q15" s="92">
        <v>3985</v>
      </c>
      <c r="R15" s="92">
        <v>8018</v>
      </c>
      <c r="S15" s="92">
        <v>11624</v>
      </c>
      <c r="T15" s="92">
        <v>14400</v>
      </c>
      <c r="U15" s="93"/>
      <c r="V15" s="93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3"/>
      <c r="AH15" s="93"/>
    </row>
    <row r="16" spans="1:36" ht="15" thickBot="1" x14ac:dyDescent="0.35">
      <c r="A16" s="96" t="s">
        <v>82</v>
      </c>
      <c r="B16" s="31" t="s">
        <v>99</v>
      </c>
      <c r="C16" s="90">
        <v>100000</v>
      </c>
      <c r="D16" s="152">
        <v>0</v>
      </c>
      <c r="E16" s="152">
        <f t="shared" si="1"/>
        <v>100000</v>
      </c>
      <c r="F16" s="90">
        <f t="shared" si="2"/>
        <v>100000</v>
      </c>
      <c r="G16" s="91">
        <f t="shared" si="0"/>
        <v>0</v>
      </c>
      <c r="H16" s="92"/>
      <c r="I16" s="92">
        <v>5100</v>
      </c>
      <c r="J16" s="92"/>
      <c r="K16" s="92">
        <f>7808+10369</f>
        <v>18177</v>
      </c>
      <c r="L16" s="92">
        <f>9379</f>
        <v>9379</v>
      </c>
      <c r="M16" s="92"/>
      <c r="N16" s="92">
        <f>8736+7819</f>
        <v>16555</v>
      </c>
      <c r="O16" s="92">
        <v>16711</v>
      </c>
      <c r="P16" s="92">
        <v>8495</v>
      </c>
      <c r="Q16" s="92">
        <v>7860</v>
      </c>
      <c r="R16" s="92">
        <v>6933</v>
      </c>
      <c r="S16" s="92">
        <v>7740</v>
      </c>
      <c r="T16" s="92">
        <v>3050</v>
      </c>
      <c r="U16" s="93"/>
      <c r="V16" s="93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  <c r="AH16" s="93"/>
    </row>
    <row r="17" spans="1:36" ht="15" thickBot="1" x14ac:dyDescent="0.35">
      <c r="A17" s="96"/>
      <c r="B17" s="31"/>
      <c r="C17" s="90"/>
      <c r="D17" s="90"/>
      <c r="E17" s="90"/>
      <c r="F17" s="90"/>
      <c r="G17" s="98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3"/>
      <c r="V17" s="93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3"/>
      <c r="AH17" s="93"/>
    </row>
    <row r="18" spans="1:36" s="14" customFormat="1" ht="15" thickBot="1" x14ac:dyDescent="0.35">
      <c r="A18" s="100" t="s">
        <v>49</v>
      </c>
      <c r="B18" s="47"/>
      <c r="C18" s="101">
        <f>SUM(C9:C16)</f>
        <v>850000</v>
      </c>
      <c r="D18" s="101">
        <v>0</v>
      </c>
      <c r="E18" s="101">
        <f>C18+D18</f>
        <v>850000</v>
      </c>
      <c r="F18" s="101">
        <f>SUM(F9:F16)</f>
        <v>750091</v>
      </c>
      <c r="G18" s="101">
        <f t="shared" ref="G18:AJ18" si="3">SUM(G9:G16)</f>
        <v>99909</v>
      </c>
      <c r="H18" s="101">
        <f t="shared" si="3"/>
        <v>0</v>
      </c>
      <c r="I18" s="101">
        <f t="shared" si="3"/>
        <v>8701</v>
      </c>
      <c r="J18" s="101">
        <f t="shared" si="3"/>
        <v>0</v>
      </c>
      <c r="K18" s="101">
        <f t="shared" si="3"/>
        <v>96269</v>
      </c>
      <c r="L18" s="101">
        <f t="shared" si="3"/>
        <v>75318</v>
      </c>
      <c r="M18" s="101">
        <f t="shared" si="3"/>
        <v>38306</v>
      </c>
      <c r="N18" s="101">
        <f t="shared" si="3"/>
        <v>42966</v>
      </c>
      <c r="O18" s="101">
        <f t="shared" si="3"/>
        <v>51254</v>
      </c>
      <c r="P18" s="101">
        <f t="shared" si="3"/>
        <v>66904</v>
      </c>
      <c r="Q18" s="101">
        <f t="shared" si="3"/>
        <v>91697</v>
      </c>
      <c r="R18" s="101">
        <f t="shared" si="3"/>
        <v>65415</v>
      </c>
      <c r="S18" s="101">
        <f t="shared" si="3"/>
        <v>66661</v>
      </c>
      <c r="T18" s="101">
        <f t="shared" si="3"/>
        <v>18045</v>
      </c>
      <c r="U18" s="101">
        <f t="shared" si="3"/>
        <v>28635</v>
      </c>
      <c r="V18" s="101">
        <f t="shared" si="3"/>
        <v>88699</v>
      </c>
      <c r="W18" s="101">
        <f t="shared" si="3"/>
        <v>0</v>
      </c>
      <c r="X18" s="101">
        <f t="shared" si="3"/>
        <v>0</v>
      </c>
      <c r="Y18" s="101">
        <f t="shared" si="3"/>
        <v>0</v>
      </c>
      <c r="Z18" s="101">
        <f t="shared" si="3"/>
        <v>11221</v>
      </c>
      <c r="AA18" s="101">
        <f t="shared" si="3"/>
        <v>0</v>
      </c>
      <c r="AB18" s="101">
        <f t="shared" si="3"/>
        <v>0</v>
      </c>
      <c r="AC18" s="101">
        <f t="shared" si="3"/>
        <v>0</v>
      </c>
      <c r="AD18" s="101">
        <f t="shared" si="3"/>
        <v>0</v>
      </c>
      <c r="AE18" s="101">
        <f t="shared" si="3"/>
        <v>0</v>
      </c>
      <c r="AF18" s="101">
        <f t="shared" si="3"/>
        <v>0</v>
      </c>
      <c r="AG18" s="101">
        <f t="shared" si="3"/>
        <v>0</v>
      </c>
      <c r="AH18" s="101">
        <f t="shared" si="3"/>
        <v>0</v>
      </c>
      <c r="AI18" s="101">
        <f t="shared" si="3"/>
        <v>0</v>
      </c>
      <c r="AJ18" s="101">
        <f t="shared" si="3"/>
        <v>0</v>
      </c>
    </row>
    <row r="19" spans="1:36" x14ac:dyDescent="0.3">
      <c r="K19" s="30"/>
      <c r="M19" s="30"/>
      <c r="O19" s="30"/>
      <c r="W19" s="30"/>
      <c r="Y19" s="30"/>
      <c r="AA19" s="30"/>
    </row>
    <row r="20" spans="1:36" x14ac:dyDescent="0.3">
      <c r="K20" s="45"/>
      <c r="L20" s="45"/>
      <c r="M20" s="45"/>
      <c r="N20" s="30"/>
      <c r="O20" s="45"/>
      <c r="P20" s="30"/>
      <c r="Q20" s="30"/>
      <c r="R20" s="30"/>
      <c r="S20" s="30"/>
      <c r="W20" s="45"/>
      <c r="X20" s="45"/>
      <c r="Y20" s="45"/>
      <c r="Z20" s="30"/>
      <c r="AB20" s="30"/>
      <c r="AC20" s="30"/>
      <c r="AD20" s="30"/>
      <c r="AE20" s="30"/>
      <c r="AI20" s="93"/>
      <c r="AJ20" s="93"/>
    </row>
    <row r="21" spans="1:36" x14ac:dyDescent="0.3">
      <c r="S21" s="30"/>
      <c r="AE21" s="30"/>
    </row>
    <row r="24" spans="1:36" x14ac:dyDescent="0.3">
      <c r="AI24" s="93"/>
      <c r="AJ24" s="93"/>
    </row>
    <row r="25" spans="1:36" x14ac:dyDescent="0.3">
      <c r="AI25" s="93"/>
      <c r="AJ25" s="93"/>
    </row>
    <row r="31" spans="1:36" x14ac:dyDescent="0.3">
      <c r="AI31" s="93"/>
      <c r="AJ31" s="93"/>
    </row>
    <row r="34" spans="35:36" x14ac:dyDescent="0.3">
      <c r="AI34" s="51"/>
      <c r="AJ34" s="51"/>
    </row>
    <row r="35" spans="35:36" x14ac:dyDescent="0.3">
      <c r="AI35" s="30"/>
      <c r="AJ35" s="30"/>
    </row>
    <row r="36" spans="35:36" x14ac:dyDescent="0.3">
      <c r="AI36" s="30"/>
      <c r="AJ36" s="30"/>
    </row>
    <row r="37" spans="35:36" x14ac:dyDescent="0.3">
      <c r="AI37" s="30"/>
      <c r="AJ37" s="30"/>
    </row>
    <row r="38" spans="35:36" x14ac:dyDescent="0.3">
      <c r="AI38" s="30"/>
      <c r="AJ38" s="30"/>
    </row>
    <row r="39" spans="35:36" x14ac:dyDescent="0.3">
      <c r="AI39" s="30"/>
      <c r="AJ39" s="30"/>
    </row>
    <row r="40" spans="35:36" x14ac:dyDescent="0.3">
      <c r="AI40" s="30"/>
      <c r="AJ40" s="30"/>
    </row>
    <row r="41" spans="35:36" x14ac:dyDescent="0.3">
      <c r="AI41" s="30"/>
      <c r="AJ41" s="30"/>
    </row>
    <row r="42" spans="35:36" x14ac:dyDescent="0.3">
      <c r="AI42" s="30"/>
      <c r="AJ42" s="30"/>
    </row>
    <row r="43" spans="35:36" x14ac:dyDescent="0.3">
      <c r="AI43" s="30"/>
      <c r="AJ43" s="30"/>
    </row>
    <row r="44" spans="35:36" x14ac:dyDescent="0.3">
      <c r="AI44" s="30"/>
      <c r="AJ44" s="30"/>
    </row>
    <row r="45" spans="35:36" x14ac:dyDescent="0.3">
      <c r="AI45" s="30"/>
      <c r="AJ45" s="30"/>
    </row>
    <row r="46" spans="35:36" x14ac:dyDescent="0.3">
      <c r="AI46" s="30"/>
      <c r="AJ46" s="30"/>
    </row>
    <row r="47" spans="35:36" x14ac:dyDescent="0.3">
      <c r="AI47" s="30"/>
      <c r="AJ47" s="30"/>
    </row>
    <row r="48" spans="35:36" x14ac:dyDescent="0.3">
      <c r="AI48" s="30"/>
      <c r="AJ48" s="30"/>
    </row>
  </sheetData>
  <sheetProtection algorithmName="SHA-512" hashValue="KxSLBGw25f14hQBpHB7Xe/cfS6wM5MBzbuzU6kfU3DuYAvHRyrnKwYNgHoKdtYCCRYaXM8nEL8ysLzQrhpP8DA==" saltValue="PhB7DlrncZ8hthhzafqoOg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rgb="FFCCFFCC"/>
  </sheetPr>
  <dimension ref="A1:AD48"/>
  <sheetViews>
    <sheetView workbookViewId="0">
      <pane xSplit="7" ySplit="8" topLeftCell="H9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A9" sqref="A9"/>
    </sheetView>
  </sheetViews>
  <sheetFormatPr defaultColWidth="8.88671875" defaultRowHeight="14.4" x14ac:dyDescent="0.3"/>
  <cols>
    <col min="1" max="1" width="9.5546875" style="50" customWidth="1"/>
    <col min="2" max="2" width="30.109375" style="50" customWidth="1"/>
    <col min="3" max="7" width="14.6640625" style="50" customWidth="1"/>
    <col min="8" max="28" width="12.6640625" style="50" customWidth="1"/>
    <col min="29" max="30" width="21.33203125" style="50" customWidth="1"/>
    <col min="31" max="16384" width="8.88671875" style="50"/>
  </cols>
  <sheetData>
    <row r="1" spans="1:30" ht="21" x14ac:dyDescent="0.4">
      <c r="A1" s="53" t="s">
        <v>0</v>
      </c>
      <c r="B1" s="59"/>
      <c r="C1" s="54" t="s">
        <v>254</v>
      </c>
      <c r="D1" s="54"/>
      <c r="E1" s="54"/>
      <c r="F1" s="53"/>
      <c r="G1" s="55"/>
      <c r="H1" s="54"/>
      <c r="I1" s="54"/>
      <c r="J1" s="54"/>
      <c r="K1" s="53"/>
      <c r="L1" s="53"/>
      <c r="M1" s="55"/>
      <c r="N1" s="53" t="str">
        <f>$C$1</f>
        <v xml:space="preserve">Javits Gifted and Talented - Right 4 Rural </v>
      </c>
      <c r="O1" s="60"/>
      <c r="P1" s="60"/>
      <c r="Q1" s="54"/>
      <c r="R1" s="54"/>
      <c r="S1" s="53"/>
      <c r="T1" s="53" t="str">
        <f>$C$1</f>
        <v xml:space="preserve">Javits Gifted and Talented - Right 4 Rural </v>
      </c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21" x14ac:dyDescent="0.4">
      <c r="A2" s="53" t="s">
        <v>358</v>
      </c>
      <c r="B2" s="55"/>
      <c r="C2" s="53" t="s">
        <v>357</v>
      </c>
      <c r="D2" s="53"/>
      <c r="E2" s="53"/>
      <c r="F2" s="56"/>
      <c r="G2" s="9"/>
      <c r="H2" s="9"/>
      <c r="I2" s="9"/>
      <c r="J2" s="9"/>
      <c r="K2" s="58"/>
      <c r="L2" s="58"/>
      <c r="M2" s="58"/>
      <c r="N2" s="192" t="str">
        <f>"FY"&amp;$C$4</f>
        <v>FY2017-18</v>
      </c>
      <c r="O2" s="58"/>
      <c r="P2" s="58"/>
      <c r="Q2" s="58"/>
      <c r="R2" s="58"/>
      <c r="S2" s="58"/>
      <c r="T2" s="192" t="str">
        <f>"FY"&amp;$C$4</f>
        <v>FY2017-18</v>
      </c>
      <c r="U2" s="58"/>
      <c r="V2" s="58"/>
      <c r="W2" s="58"/>
      <c r="X2" s="58"/>
      <c r="Y2" s="58"/>
      <c r="Z2" s="58"/>
      <c r="AA2" s="58"/>
      <c r="AB2" s="58"/>
      <c r="AC2" s="53"/>
      <c r="AD2" s="53"/>
    </row>
    <row r="3" spans="1:30" ht="15.6" x14ac:dyDescent="0.3">
      <c r="A3" s="56" t="s">
        <v>1</v>
      </c>
      <c r="B3" s="59"/>
      <c r="C3" s="57">
        <v>5206</v>
      </c>
      <c r="D3" s="57"/>
      <c r="E3" s="57"/>
      <c r="F3" s="56"/>
      <c r="G3" s="19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ht="15.6" x14ac:dyDescent="0.3">
      <c r="A4" s="56" t="s">
        <v>2</v>
      </c>
      <c r="B4" s="59"/>
      <c r="C4" s="57" t="s">
        <v>241</v>
      </c>
      <c r="D4" s="57"/>
      <c r="E4" s="57"/>
      <c r="F4" s="56"/>
      <c r="G4" s="19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ht="15.6" x14ac:dyDescent="0.3">
      <c r="A5" s="56" t="s">
        <v>18</v>
      </c>
      <c r="B5" s="59"/>
      <c r="C5" s="56" t="s">
        <v>419</v>
      </c>
      <c r="D5" s="56"/>
      <c r="E5" s="56"/>
      <c r="F5" s="56"/>
      <c r="G5" s="9"/>
      <c r="H5" s="9"/>
      <c r="I5" s="9"/>
      <c r="J5" s="9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ht="15.6" x14ac:dyDescent="0.3">
      <c r="A6" s="56" t="s">
        <v>19</v>
      </c>
      <c r="B6" s="59"/>
      <c r="C6" s="56" t="s">
        <v>48</v>
      </c>
      <c r="D6" s="56"/>
      <c r="E6" s="56"/>
      <c r="F6" s="56"/>
      <c r="G6" s="9"/>
      <c r="H6" s="9"/>
      <c r="I6" s="9"/>
      <c r="J6" s="9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ht="16.2" thickBot="1" x14ac:dyDescent="0.35">
      <c r="A7" s="56"/>
      <c r="B7" s="59"/>
      <c r="C7" s="56"/>
      <c r="D7" s="56"/>
      <c r="E7" s="56"/>
      <c r="F7" s="56"/>
      <c r="G7" s="9"/>
      <c r="H7" s="9"/>
      <c r="I7" s="9"/>
      <c r="J7" s="9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30" ht="29.4" thickBot="1" x14ac:dyDescent="0.35">
      <c r="A8" s="186" t="s">
        <v>297</v>
      </c>
      <c r="B8" s="12" t="s">
        <v>255</v>
      </c>
      <c r="C8" s="12" t="s">
        <v>15</v>
      </c>
      <c r="D8" s="61" t="s">
        <v>183</v>
      </c>
      <c r="E8" s="61" t="s">
        <v>313</v>
      </c>
      <c r="F8" s="13" t="s">
        <v>16</v>
      </c>
      <c r="G8" s="29" t="s">
        <v>17</v>
      </c>
      <c r="H8" s="26" t="s">
        <v>66</v>
      </c>
      <c r="I8" s="27" t="s">
        <v>67</v>
      </c>
      <c r="J8" s="26" t="s">
        <v>68</v>
      </c>
      <c r="K8" s="27" t="s">
        <v>69</v>
      </c>
      <c r="L8" s="26" t="s">
        <v>70</v>
      </c>
      <c r="M8" s="27" t="s">
        <v>71</v>
      </c>
      <c r="N8" s="27" t="s">
        <v>72</v>
      </c>
      <c r="O8" s="27" t="s">
        <v>73</v>
      </c>
      <c r="P8" s="27" t="s">
        <v>74</v>
      </c>
      <c r="Q8" s="27" t="s">
        <v>242</v>
      </c>
      <c r="R8" s="27" t="s">
        <v>243</v>
      </c>
      <c r="S8" s="27" t="s">
        <v>253</v>
      </c>
      <c r="T8" s="27" t="s">
        <v>244</v>
      </c>
      <c r="U8" s="27" t="s">
        <v>245</v>
      </c>
      <c r="V8" s="27" t="s">
        <v>246</v>
      </c>
      <c r="W8" s="27" t="s">
        <v>247</v>
      </c>
      <c r="X8" s="27" t="s">
        <v>248</v>
      </c>
      <c r="Y8" s="27" t="s">
        <v>249</v>
      </c>
      <c r="Z8" s="27" t="s">
        <v>250</v>
      </c>
      <c r="AA8" s="27" t="s">
        <v>251</v>
      </c>
      <c r="AB8" s="27" t="s">
        <v>252</v>
      </c>
      <c r="AC8" s="12" t="s">
        <v>377</v>
      </c>
      <c r="AD8" s="12" t="s">
        <v>378</v>
      </c>
    </row>
    <row r="9" spans="1:30" ht="15" thickBot="1" x14ac:dyDescent="0.35">
      <c r="A9" s="155">
        <v>2180</v>
      </c>
      <c r="B9" s="156" t="s">
        <v>172</v>
      </c>
      <c r="C9" s="157">
        <v>36960</v>
      </c>
      <c r="D9" s="152">
        <v>0</v>
      </c>
      <c r="E9" s="152">
        <f>C9+D9</f>
        <v>36960</v>
      </c>
      <c r="F9" s="222">
        <f>SUM(H9:AC9)</f>
        <v>36728</v>
      </c>
      <c r="G9" s="157">
        <f>E9-F9</f>
        <v>232</v>
      </c>
      <c r="H9" s="158"/>
      <c r="I9" s="158"/>
      <c r="J9" s="158"/>
      <c r="K9" s="158"/>
      <c r="L9" s="158"/>
      <c r="M9" s="158">
        <v>34932</v>
      </c>
      <c r="N9" s="158"/>
      <c r="O9" s="158">
        <v>1796</v>
      </c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</row>
    <row r="10" spans="1:30" ht="15" thickBot="1" x14ac:dyDescent="0.35">
      <c r="A10" s="84" t="s">
        <v>170</v>
      </c>
      <c r="B10" s="182" t="s">
        <v>173</v>
      </c>
      <c r="C10" s="157">
        <v>39440</v>
      </c>
      <c r="D10" s="152">
        <v>2860</v>
      </c>
      <c r="E10" s="152">
        <f t="shared" ref="E10:E12" si="0">C10+D10</f>
        <v>42300</v>
      </c>
      <c r="F10" s="222">
        <f>SUM(H10:N10)</f>
        <v>29835</v>
      </c>
      <c r="G10" s="157">
        <f t="shared" ref="G10:G13" si="1">E10-F10</f>
        <v>12465</v>
      </c>
      <c r="H10" s="158"/>
      <c r="I10" s="158"/>
      <c r="J10" s="158"/>
      <c r="K10" s="158"/>
      <c r="L10" s="158">
        <v>20812</v>
      </c>
      <c r="M10" s="158">
        <v>9023</v>
      </c>
      <c r="N10" s="158"/>
      <c r="O10" s="158"/>
      <c r="P10" s="158"/>
      <c r="Q10" s="158"/>
      <c r="R10" s="158"/>
      <c r="S10" s="158"/>
      <c r="T10" s="158"/>
      <c r="U10" s="158">
        <f>5154+4451</f>
        <v>9605</v>
      </c>
      <c r="V10" s="158"/>
      <c r="W10" s="158"/>
      <c r="X10" s="158"/>
      <c r="Y10" s="158"/>
      <c r="Z10" s="158"/>
      <c r="AA10" s="158"/>
      <c r="AB10" s="158"/>
    </row>
    <row r="11" spans="1:30" ht="15" thickBot="1" x14ac:dyDescent="0.35">
      <c r="A11" s="183" t="s">
        <v>76</v>
      </c>
      <c r="B11" s="182" t="s">
        <v>174</v>
      </c>
      <c r="C11" s="157">
        <v>49980</v>
      </c>
      <c r="D11" s="152">
        <v>1332</v>
      </c>
      <c r="E11" s="152">
        <f t="shared" si="0"/>
        <v>51312</v>
      </c>
      <c r="F11" s="222">
        <f>SUM(H11:AC11)</f>
        <v>33452</v>
      </c>
      <c r="G11" s="157">
        <f t="shared" si="1"/>
        <v>17860</v>
      </c>
      <c r="H11" s="158"/>
      <c r="I11" s="158"/>
      <c r="J11" s="158"/>
      <c r="K11" s="158"/>
      <c r="L11" s="158"/>
      <c r="M11" s="158"/>
      <c r="N11" s="158"/>
      <c r="O11" s="158">
        <v>33452</v>
      </c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</row>
    <row r="12" spans="1:30" ht="15" thickBot="1" x14ac:dyDescent="0.35">
      <c r="A12" s="84" t="s">
        <v>114</v>
      </c>
      <c r="B12" s="182" t="s">
        <v>175</v>
      </c>
      <c r="C12" s="157">
        <v>46880</v>
      </c>
      <c r="D12" s="152">
        <v>4917</v>
      </c>
      <c r="E12" s="152">
        <f t="shared" si="0"/>
        <v>51797</v>
      </c>
      <c r="F12" s="222">
        <f>SUM(H12:AB12)</f>
        <v>46880</v>
      </c>
      <c r="G12" s="157">
        <f t="shared" si="1"/>
        <v>4917</v>
      </c>
      <c r="H12" s="158">
        <v>8294</v>
      </c>
      <c r="I12" s="158"/>
      <c r="J12" s="158">
        <v>3552</v>
      </c>
      <c r="K12" s="158">
        <v>2041</v>
      </c>
      <c r="L12" s="158">
        <v>2608</v>
      </c>
      <c r="M12" s="158">
        <v>2226</v>
      </c>
      <c r="N12" s="158">
        <v>614</v>
      </c>
      <c r="O12" s="158">
        <v>27545</v>
      </c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93"/>
      <c r="AD12" s="93"/>
    </row>
    <row r="13" spans="1:30" ht="15" thickBot="1" x14ac:dyDescent="0.35">
      <c r="A13" s="84" t="s">
        <v>171</v>
      </c>
      <c r="B13" s="182" t="s">
        <v>176</v>
      </c>
      <c r="C13" s="157">
        <v>47190</v>
      </c>
      <c r="D13" s="152">
        <v>0</v>
      </c>
      <c r="E13" s="152">
        <f>C13+D13</f>
        <v>47190</v>
      </c>
      <c r="F13" s="222">
        <f>SUM(H13:AC13)</f>
        <v>47190</v>
      </c>
      <c r="G13" s="157">
        <f t="shared" si="1"/>
        <v>0</v>
      </c>
      <c r="H13" s="158"/>
      <c r="I13" s="158"/>
      <c r="J13" s="158"/>
      <c r="K13" s="158"/>
      <c r="L13" s="158"/>
      <c r="M13" s="158"/>
      <c r="N13" s="158"/>
      <c r="O13" s="158">
        <v>47190</v>
      </c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</row>
    <row r="14" spans="1:30" ht="15" thickBot="1" x14ac:dyDescent="0.35">
      <c r="A14" s="84"/>
      <c r="B14" s="182"/>
      <c r="C14" s="159"/>
      <c r="D14" s="152"/>
      <c r="E14" s="152"/>
      <c r="F14" s="157"/>
      <c r="G14" s="157"/>
      <c r="H14" s="158"/>
      <c r="I14" s="158"/>
      <c r="J14" s="158"/>
      <c r="K14" s="158"/>
      <c r="L14" s="158"/>
      <c r="M14" s="158"/>
      <c r="N14" s="158"/>
      <c r="O14" s="158"/>
      <c r="P14" s="158"/>
      <c r="Q14" s="158" t="s">
        <v>34</v>
      </c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93"/>
      <c r="AD14" s="93"/>
    </row>
    <row r="15" spans="1:30" s="14" customFormat="1" ht="15" thickBot="1" x14ac:dyDescent="0.35">
      <c r="A15" s="87" t="s">
        <v>49</v>
      </c>
      <c r="B15" s="47"/>
      <c r="C15" s="88">
        <f>SUM(C9:C13)</f>
        <v>220450</v>
      </c>
      <c r="D15" s="88">
        <f t="shared" ref="D15:E15" si="2">SUM(D9:D13)</f>
        <v>9109</v>
      </c>
      <c r="E15" s="88">
        <f t="shared" si="2"/>
        <v>229559</v>
      </c>
      <c r="F15" s="88">
        <f>SUM(F9:F13)</f>
        <v>194085</v>
      </c>
      <c r="G15" s="88">
        <f>SUM(G9:G13)</f>
        <v>35474</v>
      </c>
      <c r="H15" s="88">
        <f t="shared" ref="H15:AD15" si="3">SUM(H9:H12)</f>
        <v>8294</v>
      </c>
      <c r="I15" s="88">
        <f t="shared" si="3"/>
        <v>0</v>
      </c>
      <c r="J15" s="88">
        <f t="shared" si="3"/>
        <v>3552</v>
      </c>
      <c r="K15" s="88">
        <f t="shared" si="3"/>
        <v>2041</v>
      </c>
      <c r="L15" s="88">
        <f t="shared" si="3"/>
        <v>23420</v>
      </c>
      <c r="M15" s="88">
        <f t="shared" si="3"/>
        <v>46181</v>
      </c>
      <c r="N15" s="88">
        <f t="shared" si="3"/>
        <v>614</v>
      </c>
      <c r="O15" s="88">
        <f>SUM(O9:O13)</f>
        <v>109983</v>
      </c>
      <c r="P15" s="88">
        <f t="shared" si="3"/>
        <v>0</v>
      </c>
      <c r="Q15" s="88">
        <f t="shared" si="3"/>
        <v>0</v>
      </c>
      <c r="R15" s="88">
        <f t="shared" si="3"/>
        <v>0</v>
      </c>
      <c r="S15" s="88">
        <f t="shared" si="3"/>
        <v>0</v>
      </c>
      <c r="T15" s="88">
        <f t="shared" si="3"/>
        <v>0</v>
      </c>
      <c r="U15" s="88">
        <f t="shared" si="3"/>
        <v>9605</v>
      </c>
      <c r="V15" s="88">
        <f t="shared" si="3"/>
        <v>0</v>
      </c>
      <c r="W15" s="88">
        <f t="shared" si="3"/>
        <v>0</v>
      </c>
      <c r="X15" s="88">
        <f t="shared" si="3"/>
        <v>0</v>
      </c>
      <c r="Y15" s="88">
        <f t="shared" si="3"/>
        <v>0</v>
      </c>
      <c r="Z15" s="88">
        <f t="shared" si="3"/>
        <v>0</v>
      </c>
      <c r="AA15" s="88">
        <f t="shared" si="3"/>
        <v>0</v>
      </c>
      <c r="AB15" s="88">
        <f t="shared" si="3"/>
        <v>0</v>
      </c>
      <c r="AC15" s="88">
        <f t="shared" si="3"/>
        <v>0</v>
      </c>
      <c r="AD15" s="88">
        <f t="shared" si="3"/>
        <v>0</v>
      </c>
    </row>
    <row r="18" spans="29:30" x14ac:dyDescent="0.3">
      <c r="AC18" s="93"/>
      <c r="AD18" s="93"/>
    </row>
    <row r="20" spans="29:30" x14ac:dyDescent="0.3">
      <c r="AC20" s="93"/>
      <c r="AD20" s="93"/>
    </row>
    <row r="24" spans="29:30" x14ac:dyDescent="0.3">
      <c r="AC24" s="93"/>
      <c r="AD24" s="93"/>
    </row>
    <row r="25" spans="29:30" x14ac:dyDescent="0.3">
      <c r="AC25" s="93"/>
      <c r="AD25" s="93"/>
    </row>
    <row r="31" spans="29:30" x14ac:dyDescent="0.3">
      <c r="AC31" s="93"/>
      <c r="AD31" s="93"/>
    </row>
    <row r="34" spans="29:30" x14ac:dyDescent="0.3">
      <c r="AC34" s="51"/>
      <c r="AD34" s="51"/>
    </row>
    <row r="35" spans="29:30" x14ac:dyDescent="0.3">
      <c r="AC35" s="30"/>
      <c r="AD35" s="30"/>
    </row>
    <row r="36" spans="29:30" x14ac:dyDescent="0.3">
      <c r="AC36" s="30"/>
      <c r="AD36" s="30"/>
    </row>
    <row r="37" spans="29:30" x14ac:dyDescent="0.3">
      <c r="AC37" s="30"/>
      <c r="AD37" s="30"/>
    </row>
    <row r="38" spans="29:30" x14ac:dyDescent="0.3">
      <c r="AC38" s="30"/>
      <c r="AD38" s="30"/>
    </row>
    <row r="39" spans="29:30" x14ac:dyDescent="0.3">
      <c r="AC39" s="30"/>
      <c r="AD39" s="30"/>
    </row>
    <row r="40" spans="29:30" x14ac:dyDescent="0.3">
      <c r="AC40" s="30"/>
      <c r="AD40" s="30"/>
    </row>
    <row r="41" spans="29:30" x14ac:dyDescent="0.3">
      <c r="AC41" s="30"/>
      <c r="AD41" s="30"/>
    </row>
    <row r="42" spans="29:30" x14ac:dyDescent="0.3">
      <c r="AC42" s="30"/>
      <c r="AD42" s="30"/>
    </row>
    <row r="43" spans="29:30" x14ac:dyDescent="0.3">
      <c r="AC43" s="30"/>
      <c r="AD43" s="30"/>
    </row>
    <row r="44" spans="29:30" x14ac:dyDescent="0.3">
      <c r="AC44" s="30"/>
      <c r="AD44" s="30"/>
    </row>
    <row r="45" spans="29:30" x14ac:dyDescent="0.3">
      <c r="AC45" s="30"/>
      <c r="AD45" s="30"/>
    </row>
    <row r="46" spans="29:30" x14ac:dyDescent="0.3">
      <c r="AC46" s="30"/>
      <c r="AD46" s="30"/>
    </row>
    <row r="47" spans="29:30" x14ac:dyDescent="0.3">
      <c r="AC47" s="30"/>
      <c r="AD47" s="30"/>
    </row>
    <row r="48" spans="29:30" x14ac:dyDescent="0.3">
      <c r="AC48" s="30"/>
      <c r="AD48" s="30"/>
    </row>
  </sheetData>
  <sheetProtection password="DC61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CCFFCC"/>
  </sheetPr>
  <dimension ref="A1:AJ48"/>
  <sheetViews>
    <sheetView workbookViewId="0">
      <pane xSplit="7" ySplit="8" topLeftCell="Z9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A9" sqref="A9"/>
    </sheetView>
  </sheetViews>
  <sheetFormatPr defaultColWidth="8.88671875" defaultRowHeight="14.4" x14ac:dyDescent="0.3"/>
  <cols>
    <col min="1" max="1" width="11.33203125" style="50" customWidth="1"/>
    <col min="2" max="2" width="30.44140625" style="50" customWidth="1"/>
    <col min="3" max="4" width="14.6640625" style="50" customWidth="1"/>
    <col min="5" max="5" width="11.88671875" style="50" bestFit="1" customWidth="1"/>
    <col min="6" max="7" width="14.6640625" style="50" customWidth="1"/>
    <col min="8" max="34" width="12.6640625" style="50" customWidth="1"/>
    <col min="35" max="36" width="21.33203125" style="50" customWidth="1"/>
    <col min="37" max="16384" width="8.88671875" style="50"/>
  </cols>
  <sheetData>
    <row r="1" spans="1:36" ht="21" x14ac:dyDescent="0.4">
      <c r="A1" s="53" t="s">
        <v>0</v>
      </c>
      <c r="B1" s="59"/>
      <c r="C1" s="54" t="s">
        <v>254</v>
      </c>
      <c r="D1" s="54"/>
      <c r="E1" s="54"/>
      <c r="F1" s="53"/>
      <c r="G1" s="55"/>
      <c r="H1" s="54"/>
      <c r="I1" s="54"/>
      <c r="J1" s="54"/>
      <c r="K1" s="53"/>
      <c r="L1" s="53"/>
      <c r="M1" s="55"/>
      <c r="N1" s="53" t="str">
        <f>$C$1</f>
        <v xml:space="preserve">Javits Gifted and Talented - Right 4 Rural </v>
      </c>
      <c r="O1" s="60"/>
      <c r="P1" s="60"/>
      <c r="Q1" s="54"/>
      <c r="R1" s="54"/>
      <c r="S1" s="53"/>
      <c r="T1" s="53" t="str">
        <f>$C$1</f>
        <v xml:space="preserve">Javits Gifted and Talented - Right 4 Rural </v>
      </c>
      <c r="U1" s="53"/>
      <c r="V1" s="53"/>
      <c r="W1" s="53"/>
      <c r="X1" s="53"/>
      <c r="Y1" s="53"/>
      <c r="Z1" s="53"/>
      <c r="AA1" s="53" t="str">
        <f>$C$1</f>
        <v xml:space="preserve">Javits Gifted and Talented - Right 4 Rural </v>
      </c>
      <c r="AB1" s="60"/>
      <c r="AC1" s="60"/>
      <c r="AD1" s="60"/>
      <c r="AE1" s="60"/>
      <c r="AF1" s="60"/>
      <c r="AG1" s="60"/>
      <c r="AH1" s="60"/>
      <c r="AI1" s="53"/>
      <c r="AJ1" s="53"/>
    </row>
    <row r="2" spans="1:36" ht="21" x14ac:dyDescent="0.4">
      <c r="A2" s="53" t="s">
        <v>358</v>
      </c>
      <c r="B2" s="55"/>
      <c r="C2" s="53" t="s">
        <v>357</v>
      </c>
      <c r="D2" s="53"/>
      <c r="E2" s="53"/>
      <c r="F2" s="56"/>
      <c r="G2" s="9"/>
      <c r="H2" s="9"/>
      <c r="I2" s="9"/>
      <c r="J2" s="9"/>
      <c r="K2" s="58"/>
      <c r="L2" s="58"/>
      <c r="M2" s="58"/>
      <c r="N2" s="192" t="str">
        <f>"FY"&amp;$C$4</f>
        <v>FY2017-18</v>
      </c>
      <c r="O2" s="58"/>
      <c r="P2" s="58"/>
      <c r="Q2" s="58"/>
      <c r="R2" s="58"/>
      <c r="S2" s="58"/>
      <c r="T2" s="192" t="str">
        <f>"FY"&amp;$C$4</f>
        <v>FY2017-18</v>
      </c>
      <c r="U2" s="58"/>
      <c r="V2" s="58"/>
      <c r="W2" s="58"/>
      <c r="X2" s="58"/>
      <c r="Y2" s="58"/>
      <c r="Z2" s="58"/>
      <c r="AA2" s="192" t="str">
        <f>"FY"&amp;$C$4</f>
        <v>FY2017-18</v>
      </c>
      <c r="AB2" s="60"/>
      <c r="AC2" s="60"/>
      <c r="AD2" s="60"/>
      <c r="AE2" s="60"/>
      <c r="AF2" s="60"/>
      <c r="AG2" s="60"/>
      <c r="AH2" s="60"/>
      <c r="AI2" s="53"/>
      <c r="AJ2" s="53"/>
    </row>
    <row r="3" spans="1:36" ht="15.6" x14ac:dyDescent="0.3">
      <c r="A3" s="56" t="s">
        <v>1</v>
      </c>
      <c r="B3" s="59"/>
      <c r="C3" s="57">
        <v>5206</v>
      </c>
      <c r="D3" s="57"/>
      <c r="E3" s="57"/>
      <c r="F3" s="56"/>
      <c r="G3" s="19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</row>
    <row r="4" spans="1:36" ht="15.6" x14ac:dyDescent="0.3">
      <c r="A4" s="56" t="s">
        <v>2</v>
      </c>
      <c r="B4" s="59"/>
      <c r="C4" s="57" t="s">
        <v>241</v>
      </c>
      <c r="D4" s="57"/>
      <c r="E4" s="57"/>
      <c r="F4" s="56"/>
      <c r="G4" s="19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</row>
    <row r="5" spans="1:36" ht="15.6" x14ac:dyDescent="0.3">
      <c r="A5" s="56" t="s">
        <v>18</v>
      </c>
      <c r="B5" s="59"/>
      <c r="C5" s="56" t="s">
        <v>421</v>
      </c>
      <c r="D5" s="56"/>
      <c r="E5" s="56"/>
      <c r="F5" s="56"/>
      <c r="G5" s="9"/>
      <c r="H5" s="9"/>
      <c r="I5" s="9"/>
      <c r="J5" s="9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60"/>
      <c r="AC5" s="60"/>
      <c r="AD5" s="60"/>
      <c r="AE5" s="60"/>
      <c r="AF5" s="60"/>
      <c r="AG5" s="60"/>
      <c r="AH5" s="60"/>
      <c r="AI5" s="58"/>
      <c r="AJ5" s="58"/>
    </row>
    <row r="6" spans="1:36" ht="15.6" x14ac:dyDescent="0.3">
      <c r="A6" s="56" t="s">
        <v>19</v>
      </c>
      <c r="B6" s="59"/>
      <c r="C6" s="56" t="s">
        <v>21</v>
      </c>
      <c r="D6" s="56"/>
      <c r="E6" s="56"/>
      <c r="F6" s="56"/>
      <c r="G6" s="9"/>
      <c r="H6" s="9"/>
      <c r="I6" s="9"/>
      <c r="J6" s="9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36" ht="21.6" thickBot="1" x14ac:dyDescent="0.45">
      <c r="A7" s="53"/>
      <c r="B7" s="59"/>
      <c r="C7" s="19"/>
      <c r="D7" s="19"/>
      <c r="E7" s="19"/>
      <c r="F7" s="19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</row>
    <row r="8" spans="1:36" ht="29.4" thickBot="1" x14ac:dyDescent="0.35">
      <c r="A8" s="186" t="s">
        <v>297</v>
      </c>
      <c r="B8" s="12" t="s">
        <v>255</v>
      </c>
      <c r="C8" s="12" t="s">
        <v>15</v>
      </c>
      <c r="D8" s="61" t="s">
        <v>183</v>
      </c>
      <c r="E8" s="61" t="s">
        <v>313</v>
      </c>
      <c r="F8" s="13" t="s">
        <v>16</v>
      </c>
      <c r="G8" s="29" t="s">
        <v>17</v>
      </c>
      <c r="H8" s="65" t="s">
        <v>60</v>
      </c>
      <c r="I8" s="61" t="s">
        <v>61</v>
      </c>
      <c r="J8" s="65" t="s">
        <v>62</v>
      </c>
      <c r="K8" s="61" t="s">
        <v>63</v>
      </c>
      <c r="L8" s="65" t="s">
        <v>64</v>
      </c>
      <c r="M8" s="61" t="s">
        <v>65</v>
      </c>
      <c r="N8" s="61" t="s">
        <v>66</v>
      </c>
      <c r="O8" s="61" t="s">
        <v>67</v>
      </c>
      <c r="P8" s="61" t="s">
        <v>68</v>
      </c>
      <c r="Q8" s="61" t="s">
        <v>69</v>
      </c>
      <c r="R8" s="61" t="s">
        <v>70</v>
      </c>
      <c r="S8" s="61" t="s">
        <v>71</v>
      </c>
      <c r="T8" s="65" t="s">
        <v>72</v>
      </c>
      <c r="U8" s="65" t="s">
        <v>73</v>
      </c>
      <c r="V8" s="65" t="s">
        <v>74</v>
      </c>
      <c r="W8" s="65" t="s">
        <v>242</v>
      </c>
      <c r="X8" s="65" t="s">
        <v>243</v>
      </c>
      <c r="Y8" s="65" t="s">
        <v>253</v>
      </c>
      <c r="Z8" s="65" t="s">
        <v>244</v>
      </c>
      <c r="AA8" s="65" t="s">
        <v>245</v>
      </c>
      <c r="AB8" s="65" t="s">
        <v>246</v>
      </c>
      <c r="AC8" s="65" t="s">
        <v>247</v>
      </c>
      <c r="AD8" s="65" t="s">
        <v>248</v>
      </c>
      <c r="AE8" s="65" t="s">
        <v>249</v>
      </c>
      <c r="AF8" s="65" t="s">
        <v>250</v>
      </c>
      <c r="AG8" s="65" t="s">
        <v>251</v>
      </c>
      <c r="AH8" s="65" t="s">
        <v>252</v>
      </c>
      <c r="AI8" s="12" t="s">
        <v>377</v>
      </c>
      <c r="AJ8" s="12" t="s">
        <v>378</v>
      </c>
    </row>
    <row r="9" spans="1:36" ht="15" thickBot="1" x14ac:dyDescent="0.35">
      <c r="A9" s="155" t="s">
        <v>121</v>
      </c>
      <c r="B9" s="156" t="s">
        <v>124</v>
      </c>
      <c r="C9" s="222">
        <v>174341.55</v>
      </c>
      <c r="D9" s="223">
        <v>0</v>
      </c>
      <c r="E9" s="223">
        <v>174341.55</v>
      </c>
      <c r="F9" s="222">
        <f>SUM(H9:AL9)</f>
        <v>82590.540000000008</v>
      </c>
      <c r="G9" s="224">
        <f>C9-F9</f>
        <v>91751.00999999998</v>
      </c>
      <c r="H9" s="225"/>
      <c r="I9" s="225"/>
      <c r="J9" s="225">
        <v>2592</v>
      </c>
      <c r="K9" s="225">
        <v>9848</v>
      </c>
      <c r="L9" s="225">
        <v>2844</v>
      </c>
      <c r="M9" s="225">
        <v>2632</v>
      </c>
      <c r="N9" s="225"/>
      <c r="O9" s="225">
        <f>659+2096</f>
        <v>2755</v>
      </c>
      <c r="P9" s="225"/>
      <c r="Q9" s="225">
        <v>1637</v>
      </c>
      <c r="R9" s="225">
        <v>1856</v>
      </c>
      <c r="S9" s="225"/>
      <c r="T9" s="225">
        <v>3531.96</v>
      </c>
      <c r="U9" s="225">
        <v>34631</v>
      </c>
      <c r="V9" s="225">
        <v>7673.04</v>
      </c>
      <c r="W9" s="225"/>
      <c r="X9" s="225">
        <v>12590.54</v>
      </c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74"/>
      <c r="AJ9" s="74"/>
    </row>
    <row r="10" spans="1:36" ht="15" thickBot="1" x14ac:dyDescent="0.35">
      <c r="A10" s="84"/>
      <c r="B10" s="97"/>
      <c r="C10" s="226"/>
      <c r="D10" s="226"/>
      <c r="E10" s="226"/>
      <c r="F10" s="226"/>
      <c r="G10" s="226"/>
      <c r="H10" s="225"/>
      <c r="I10" s="225"/>
      <c r="J10" s="225"/>
      <c r="K10" s="225"/>
      <c r="L10" s="225"/>
      <c r="M10" s="225"/>
      <c r="N10" s="225"/>
      <c r="O10" s="225"/>
      <c r="P10" s="225"/>
      <c r="Q10" s="225" t="s">
        <v>34</v>
      </c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74"/>
      <c r="AJ10" s="74"/>
    </row>
    <row r="11" spans="1:36" s="14" customFormat="1" ht="15" thickBot="1" x14ac:dyDescent="0.35">
      <c r="A11" s="87" t="s">
        <v>49</v>
      </c>
      <c r="B11" s="47"/>
      <c r="C11" s="227">
        <f t="shared" ref="C11:AJ11" si="0">SUM(C9:C10)</f>
        <v>174341.55</v>
      </c>
      <c r="D11" s="227">
        <v>0</v>
      </c>
      <c r="E11" s="227">
        <f>C11+D11</f>
        <v>174341.55</v>
      </c>
      <c r="F11" s="227">
        <f t="shared" si="0"/>
        <v>82590.540000000008</v>
      </c>
      <c r="G11" s="227">
        <f t="shared" si="0"/>
        <v>91751.00999999998</v>
      </c>
      <c r="H11" s="227">
        <f t="shared" si="0"/>
        <v>0</v>
      </c>
      <c r="I11" s="227">
        <f t="shared" si="0"/>
        <v>0</v>
      </c>
      <c r="J11" s="227">
        <f t="shared" si="0"/>
        <v>2592</v>
      </c>
      <c r="K11" s="227">
        <f t="shared" si="0"/>
        <v>9848</v>
      </c>
      <c r="L11" s="227">
        <f t="shared" si="0"/>
        <v>2844</v>
      </c>
      <c r="M11" s="227">
        <f t="shared" si="0"/>
        <v>2632</v>
      </c>
      <c r="N11" s="227">
        <f t="shared" si="0"/>
        <v>0</v>
      </c>
      <c r="O11" s="227">
        <f t="shared" si="0"/>
        <v>2755</v>
      </c>
      <c r="P11" s="227">
        <f t="shared" si="0"/>
        <v>0</v>
      </c>
      <c r="Q11" s="227">
        <f t="shared" si="0"/>
        <v>1637</v>
      </c>
      <c r="R11" s="227">
        <f t="shared" si="0"/>
        <v>1856</v>
      </c>
      <c r="S11" s="227">
        <f t="shared" si="0"/>
        <v>0</v>
      </c>
      <c r="T11" s="227">
        <f t="shared" si="0"/>
        <v>3531.96</v>
      </c>
      <c r="U11" s="227">
        <f t="shared" si="0"/>
        <v>34631</v>
      </c>
      <c r="V11" s="227">
        <f t="shared" si="0"/>
        <v>7673.04</v>
      </c>
      <c r="W11" s="227">
        <f t="shared" si="0"/>
        <v>0</v>
      </c>
      <c r="X11" s="227">
        <f t="shared" si="0"/>
        <v>12590.54</v>
      </c>
      <c r="Y11" s="227">
        <f t="shared" si="0"/>
        <v>0</v>
      </c>
      <c r="Z11" s="227">
        <f t="shared" si="0"/>
        <v>0</v>
      </c>
      <c r="AA11" s="227">
        <f t="shared" si="0"/>
        <v>0</v>
      </c>
      <c r="AB11" s="227">
        <f t="shared" si="0"/>
        <v>0</v>
      </c>
      <c r="AC11" s="227">
        <f t="shared" si="0"/>
        <v>0</v>
      </c>
      <c r="AD11" s="227">
        <f t="shared" si="0"/>
        <v>0</v>
      </c>
      <c r="AE11" s="227">
        <f t="shared" si="0"/>
        <v>0</v>
      </c>
      <c r="AF11" s="227">
        <f t="shared" si="0"/>
        <v>0</v>
      </c>
      <c r="AG11" s="227">
        <f t="shared" si="0"/>
        <v>0</v>
      </c>
      <c r="AH11" s="227">
        <f t="shared" si="0"/>
        <v>0</v>
      </c>
      <c r="AI11" s="227">
        <f t="shared" si="0"/>
        <v>0</v>
      </c>
      <c r="AJ11" s="227">
        <f t="shared" si="0"/>
        <v>0</v>
      </c>
    </row>
    <row r="13" spans="1:36" x14ac:dyDescent="0.3">
      <c r="AI13" s="93"/>
      <c r="AJ13" s="93"/>
    </row>
    <row r="14" spans="1:36" x14ac:dyDescent="0.3">
      <c r="AI14" s="93"/>
      <c r="AJ14" s="93"/>
    </row>
    <row r="18" spans="35:36" x14ac:dyDescent="0.3">
      <c r="AI18" s="93"/>
      <c r="AJ18" s="93"/>
    </row>
    <row r="20" spans="35:36" x14ac:dyDescent="0.3">
      <c r="AI20" s="93"/>
      <c r="AJ20" s="93"/>
    </row>
    <row r="24" spans="35:36" x14ac:dyDescent="0.3">
      <c r="AI24" s="93"/>
      <c r="AJ24" s="93"/>
    </row>
    <row r="25" spans="35:36" x14ac:dyDescent="0.3">
      <c r="AI25" s="93"/>
      <c r="AJ25" s="93"/>
    </row>
    <row r="31" spans="35:36" x14ac:dyDescent="0.3">
      <c r="AI31" s="93"/>
      <c r="AJ31" s="93"/>
    </row>
    <row r="34" spans="35:36" x14ac:dyDescent="0.3">
      <c r="AI34" s="51"/>
      <c r="AJ34" s="51"/>
    </row>
    <row r="35" spans="35:36" x14ac:dyDescent="0.3">
      <c r="AI35" s="30"/>
      <c r="AJ35" s="30"/>
    </row>
    <row r="36" spans="35:36" x14ac:dyDescent="0.3">
      <c r="AI36" s="30"/>
      <c r="AJ36" s="30"/>
    </row>
    <row r="37" spans="35:36" x14ac:dyDescent="0.3">
      <c r="AI37" s="30"/>
      <c r="AJ37" s="30"/>
    </row>
    <row r="38" spans="35:36" x14ac:dyDescent="0.3">
      <c r="AI38" s="30"/>
      <c r="AJ38" s="30"/>
    </row>
    <row r="39" spans="35:36" x14ac:dyDescent="0.3">
      <c r="AI39" s="30"/>
      <c r="AJ39" s="30"/>
    </row>
    <row r="40" spans="35:36" x14ac:dyDescent="0.3">
      <c r="AI40" s="30"/>
      <c r="AJ40" s="30"/>
    </row>
    <row r="41" spans="35:36" x14ac:dyDescent="0.3">
      <c r="AI41" s="30"/>
      <c r="AJ41" s="30"/>
    </row>
    <row r="42" spans="35:36" x14ac:dyDescent="0.3">
      <c r="AI42" s="30"/>
      <c r="AJ42" s="30"/>
    </row>
    <row r="43" spans="35:36" x14ac:dyDescent="0.3">
      <c r="AI43" s="30"/>
      <c r="AJ43" s="30"/>
    </row>
    <row r="44" spans="35:36" x14ac:dyDescent="0.3">
      <c r="AI44" s="30"/>
      <c r="AJ44" s="30"/>
    </row>
    <row r="45" spans="35:36" x14ac:dyDescent="0.3">
      <c r="AI45" s="30"/>
      <c r="AJ45" s="30"/>
    </row>
    <row r="46" spans="35:36" x14ac:dyDescent="0.3">
      <c r="AI46" s="30"/>
      <c r="AJ46" s="30"/>
    </row>
    <row r="47" spans="35:36" x14ac:dyDescent="0.3">
      <c r="AI47" s="30"/>
      <c r="AJ47" s="30"/>
    </row>
    <row r="48" spans="35:36" x14ac:dyDescent="0.3">
      <c r="AI48" s="30"/>
      <c r="AJ48" s="30"/>
    </row>
  </sheetData>
  <sheetProtection algorithmName="SHA-512" hashValue="LUpfF8V17821Nz6etAoASmSqklEOhua9FYLOFU/EEjqngTzwUfY79QRKrvrQ43/+E/dY43IvET+v8PAYNVicvw==" saltValue="i0EgbPb/IhmdfG7gSiTEtg==" spinCount="100000" sheet="1" objects="1" scenario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2">
    <tabColor rgb="FFCCFFCC"/>
  </sheetPr>
  <dimension ref="A1:AJ66"/>
  <sheetViews>
    <sheetView workbookViewId="0">
      <pane xSplit="7" ySplit="8" topLeftCell="W9" activePane="bottomRight" state="frozen"/>
      <selection activeCell="B23" sqref="B23"/>
      <selection pane="topRight" activeCell="B23" sqref="B23"/>
      <selection pane="bottomLeft" activeCell="B23" sqref="B23"/>
      <selection pane="bottomRight" activeCell="A9" sqref="A9"/>
    </sheetView>
  </sheetViews>
  <sheetFormatPr defaultColWidth="9.109375" defaultRowHeight="14.4" x14ac:dyDescent="0.3"/>
  <cols>
    <col min="1" max="1" width="9.109375" style="51"/>
    <col min="2" max="2" width="45.109375" style="51" customWidth="1"/>
    <col min="3" max="3" width="13.5546875" style="51" customWidth="1"/>
    <col min="4" max="4" width="13.6640625" style="51" customWidth="1"/>
    <col min="5" max="5" width="13.5546875" style="51" customWidth="1"/>
    <col min="6" max="6" width="11.44140625" style="51" customWidth="1"/>
    <col min="7" max="7" width="16" style="51" customWidth="1"/>
    <col min="8" max="34" width="15.6640625" style="51" customWidth="1"/>
    <col min="35" max="36" width="21.33203125" style="50" customWidth="1"/>
    <col min="37" max="16384" width="9.109375" style="51"/>
  </cols>
  <sheetData>
    <row r="1" spans="1:36" ht="21" x14ac:dyDescent="0.4">
      <c r="A1" s="53" t="s">
        <v>0</v>
      </c>
      <c r="B1" s="59"/>
      <c r="C1" s="54" t="s">
        <v>25</v>
      </c>
      <c r="D1" s="54"/>
      <c r="E1" s="54"/>
      <c r="F1" s="53"/>
      <c r="G1" s="55"/>
      <c r="H1" s="60"/>
      <c r="I1" s="59"/>
      <c r="J1" s="54" t="str">
        <f>C1</f>
        <v>McKinney-Vento Homeless</v>
      </c>
      <c r="K1" s="59"/>
      <c r="L1" s="54"/>
      <c r="M1" s="59"/>
      <c r="N1" s="54" t="str">
        <f>$C$1</f>
        <v>McKinney-Vento Homeless</v>
      </c>
      <c r="O1" s="59"/>
      <c r="P1" s="54"/>
      <c r="Q1" s="59"/>
      <c r="R1" s="59"/>
      <c r="S1" s="59"/>
      <c r="T1" s="54" t="str">
        <f>$C$1</f>
        <v>McKinney-Vento Homeless</v>
      </c>
      <c r="U1" s="59"/>
      <c r="V1" s="54"/>
      <c r="W1" s="59"/>
      <c r="X1" s="54"/>
      <c r="Y1" s="59"/>
      <c r="Z1" s="59"/>
      <c r="AA1" s="54" t="str">
        <f>$C$1</f>
        <v>McKinney-Vento Homeless</v>
      </c>
      <c r="AB1" s="59"/>
      <c r="AC1" s="59"/>
      <c r="AD1" s="54"/>
      <c r="AE1" s="59"/>
      <c r="AF1" s="59"/>
      <c r="AG1" s="59"/>
      <c r="AH1" s="59"/>
      <c r="AI1" s="53"/>
      <c r="AJ1" s="53"/>
    </row>
    <row r="2" spans="1:36" ht="21" x14ac:dyDescent="0.4">
      <c r="A2" s="53" t="s">
        <v>358</v>
      </c>
      <c r="B2" s="55"/>
      <c r="C2" s="54" t="s">
        <v>359</v>
      </c>
      <c r="D2" s="54"/>
      <c r="E2" s="54"/>
      <c r="F2" s="55"/>
      <c r="G2" s="55"/>
      <c r="H2" s="60"/>
      <c r="I2" s="59"/>
      <c r="J2" s="57" t="str">
        <f>"FY"&amp;C4</f>
        <v>FY2017-18</v>
      </c>
      <c r="K2" s="59"/>
      <c r="L2" s="62"/>
      <c r="M2" s="59"/>
      <c r="N2" s="57" t="str">
        <f>"FY"&amp;$C$4</f>
        <v>FY2017-18</v>
      </c>
      <c r="O2" s="59"/>
      <c r="P2" s="57"/>
      <c r="Q2" s="59"/>
      <c r="R2" s="59"/>
      <c r="S2" s="59"/>
      <c r="T2" s="57" t="str">
        <f>"FY"&amp;$C$4</f>
        <v>FY2017-18</v>
      </c>
      <c r="U2" s="59"/>
      <c r="V2" s="57"/>
      <c r="W2" s="59"/>
      <c r="X2" s="62"/>
      <c r="Y2" s="59"/>
      <c r="Z2" s="59"/>
      <c r="AA2" s="57" t="str">
        <f>"FY"&amp;$C$4</f>
        <v>FY2017-18</v>
      </c>
      <c r="AB2" s="59"/>
      <c r="AC2" s="59"/>
      <c r="AD2" s="57"/>
      <c r="AE2" s="59"/>
      <c r="AF2" s="59"/>
      <c r="AG2" s="59"/>
      <c r="AH2" s="59"/>
      <c r="AI2" s="53"/>
      <c r="AJ2" s="53"/>
    </row>
    <row r="3" spans="1:36" ht="15.6" x14ac:dyDescent="0.3">
      <c r="A3" s="56" t="s">
        <v>1</v>
      </c>
      <c r="B3" s="59"/>
      <c r="C3" s="57">
        <v>5196</v>
      </c>
      <c r="D3" s="57"/>
      <c r="E3" s="57"/>
      <c r="F3" s="56"/>
      <c r="G3" s="19"/>
      <c r="H3" s="60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0"/>
      <c r="AJ3" s="60"/>
    </row>
    <row r="4" spans="1:36" ht="15.6" x14ac:dyDescent="0.3">
      <c r="A4" s="56" t="s">
        <v>2</v>
      </c>
      <c r="B4" s="59"/>
      <c r="C4" s="57" t="s">
        <v>241</v>
      </c>
      <c r="D4" s="57"/>
      <c r="E4" s="57"/>
      <c r="F4" s="19"/>
      <c r="G4" s="19"/>
      <c r="H4" s="60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60"/>
      <c r="AJ4" s="60"/>
    </row>
    <row r="5" spans="1:36" ht="15.6" x14ac:dyDescent="0.3">
      <c r="A5" s="56" t="s">
        <v>18</v>
      </c>
      <c r="B5" s="59"/>
      <c r="C5" s="56" t="s">
        <v>427</v>
      </c>
      <c r="D5" s="56"/>
      <c r="E5" s="56"/>
      <c r="F5" s="19"/>
      <c r="G5" s="19"/>
      <c r="H5" s="58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8"/>
      <c r="AJ5" s="58"/>
    </row>
    <row r="6" spans="1:36" ht="15.6" x14ac:dyDescent="0.3">
      <c r="A6" s="56" t="s">
        <v>19</v>
      </c>
      <c r="B6" s="59"/>
      <c r="C6" s="57" t="s">
        <v>429</v>
      </c>
      <c r="D6" s="57"/>
      <c r="E6" s="57"/>
      <c r="F6" s="19"/>
      <c r="G6" s="19"/>
      <c r="H6" s="5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8"/>
      <c r="AJ6" s="58"/>
    </row>
    <row r="7" spans="1:36" ht="15" thickBot="1" x14ac:dyDescent="0.35">
      <c r="A7" s="1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8"/>
      <c r="AJ7" s="58"/>
    </row>
    <row r="8" spans="1:36" ht="29.4" thickBot="1" x14ac:dyDescent="0.35">
      <c r="A8" s="11" t="s">
        <v>297</v>
      </c>
      <c r="B8" s="12" t="s">
        <v>296</v>
      </c>
      <c r="C8" s="12" t="s">
        <v>15</v>
      </c>
      <c r="D8" s="61" t="s">
        <v>183</v>
      </c>
      <c r="E8" s="61" t="s">
        <v>313</v>
      </c>
      <c r="F8" s="12" t="s">
        <v>16</v>
      </c>
      <c r="G8" s="25" t="s">
        <v>17</v>
      </c>
      <c r="H8" s="26" t="s">
        <v>60</v>
      </c>
      <c r="I8" s="27" t="s">
        <v>61</v>
      </c>
      <c r="J8" s="26" t="s">
        <v>62</v>
      </c>
      <c r="K8" s="27" t="s">
        <v>63</v>
      </c>
      <c r="L8" s="26" t="s">
        <v>64</v>
      </c>
      <c r="M8" s="27" t="s">
        <v>65</v>
      </c>
      <c r="N8" s="27" t="s">
        <v>66</v>
      </c>
      <c r="O8" s="27" t="s">
        <v>67</v>
      </c>
      <c r="P8" s="27" t="s">
        <v>68</v>
      </c>
      <c r="Q8" s="27" t="s">
        <v>69</v>
      </c>
      <c r="R8" s="27" t="s">
        <v>70</v>
      </c>
      <c r="S8" s="27" t="s">
        <v>71</v>
      </c>
      <c r="T8" s="26" t="s">
        <v>72</v>
      </c>
      <c r="U8" s="27" t="s">
        <v>73</v>
      </c>
      <c r="V8" s="27" t="s">
        <v>74</v>
      </c>
      <c r="W8" s="27" t="s">
        <v>242</v>
      </c>
      <c r="X8" s="26" t="s">
        <v>243</v>
      </c>
      <c r="Y8" s="27" t="s">
        <v>253</v>
      </c>
      <c r="Z8" s="27" t="s">
        <v>244</v>
      </c>
      <c r="AA8" s="27" t="s">
        <v>245</v>
      </c>
      <c r="AB8" s="27" t="s">
        <v>246</v>
      </c>
      <c r="AC8" s="27" t="s">
        <v>247</v>
      </c>
      <c r="AD8" s="27" t="s">
        <v>248</v>
      </c>
      <c r="AE8" s="27" t="s">
        <v>249</v>
      </c>
      <c r="AF8" s="26" t="s">
        <v>250</v>
      </c>
      <c r="AG8" s="27" t="s">
        <v>251</v>
      </c>
      <c r="AH8" s="27" t="s">
        <v>252</v>
      </c>
      <c r="AI8" s="12" t="s">
        <v>377</v>
      </c>
      <c r="AJ8" s="12" t="s">
        <v>378</v>
      </c>
    </row>
    <row r="9" spans="1:36" ht="15" thickBot="1" x14ac:dyDescent="0.35">
      <c r="A9" s="206">
        <v>20</v>
      </c>
      <c r="B9" s="168" t="s">
        <v>100</v>
      </c>
      <c r="C9" s="167">
        <v>37000</v>
      </c>
      <c r="D9" s="152">
        <v>0</v>
      </c>
      <c r="E9" s="152">
        <f>C9+D9</f>
        <v>37000</v>
      </c>
      <c r="F9" s="162">
        <f t="shared" ref="F9:F24" si="0">SUM(H9:AH9)</f>
        <v>37000</v>
      </c>
      <c r="G9" s="162">
        <f t="shared" ref="G9:G25" si="1">C9-F9</f>
        <v>0</v>
      </c>
      <c r="H9" s="92"/>
      <c r="I9" s="92"/>
      <c r="J9" s="92"/>
      <c r="K9" s="92">
        <v>244</v>
      </c>
      <c r="L9" s="92">
        <v>5835</v>
      </c>
      <c r="M9" s="92"/>
      <c r="N9" s="92">
        <v>2697</v>
      </c>
      <c r="O9" s="92"/>
      <c r="P9" s="92"/>
      <c r="Q9" s="92"/>
      <c r="R9" s="92">
        <f>3898+3449</f>
        <v>7347</v>
      </c>
      <c r="S9" s="92">
        <v>7051</v>
      </c>
      <c r="T9" s="92">
        <v>8388</v>
      </c>
      <c r="U9" s="92"/>
      <c r="V9" s="92">
        <v>643</v>
      </c>
      <c r="W9" s="92">
        <v>4795</v>
      </c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</row>
    <row r="10" spans="1:36" ht="15" thickBot="1" x14ac:dyDescent="0.35">
      <c r="A10" s="206">
        <v>30</v>
      </c>
      <c r="B10" s="166" t="s">
        <v>101</v>
      </c>
      <c r="C10" s="91">
        <v>26375</v>
      </c>
      <c r="D10" s="152">
        <v>0</v>
      </c>
      <c r="E10" s="152">
        <f t="shared" ref="E10:E26" si="2">C10+D10</f>
        <v>26375</v>
      </c>
      <c r="F10" s="162">
        <f t="shared" si="0"/>
        <v>26375</v>
      </c>
      <c r="G10" s="162">
        <f t="shared" si="1"/>
        <v>0</v>
      </c>
      <c r="H10" s="92"/>
      <c r="I10" s="92"/>
      <c r="J10" s="92"/>
      <c r="K10" s="92"/>
      <c r="L10" s="92"/>
      <c r="M10" s="92">
        <v>1200</v>
      </c>
      <c r="N10" s="92">
        <v>2010</v>
      </c>
      <c r="O10" s="92">
        <v>722</v>
      </c>
      <c r="P10" s="92">
        <f>704+3206+6474</f>
        <v>10384</v>
      </c>
      <c r="Q10" s="92">
        <v>2389</v>
      </c>
      <c r="R10" s="92">
        <v>2182</v>
      </c>
      <c r="S10" s="92"/>
      <c r="T10" s="92">
        <v>5077</v>
      </c>
      <c r="U10" s="92"/>
      <c r="V10" s="92">
        <v>675</v>
      </c>
      <c r="W10" s="92">
        <v>1736</v>
      </c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</row>
    <row r="11" spans="1:36" ht="15" thickBot="1" x14ac:dyDescent="0.35">
      <c r="A11" s="206">
        <v>70</v>
      </c>
      <c r="B11" s="166" t="s">
        <v>102</v>
      </c>
      <c r="C11" s="91">
        <v>37000</v>
      </c>
      <c r="D11" s="152">
        <v>0</v>
      </c>
      <c r="E11" s="152">
        <f t="shared" si="2"/>
        <v>37000</v>
      </c>
      <c r="F11" s="162">
        <f t="shared" si="0"/>
        <v>31098</v>
      </c>
      <c r="G11" s="162">
        <f t="shared" si="1"/>
        <v>5902</v>
      </c>
      <c r="H11" s="92"/>
      <c r="I11" s="92"/>
      <c r="J11" s="92"/>
      <c r="K11" s="92"/>
      <c r="L11" s="92">
        <v>1805</v>
      </c>
      <c r="M11" s="92"/>
      <c r="N11" s="92"/>
      <c r="O11" s="92">
        <f>2727+2237</f>
        <v>4964</v>
      </c>
      <c r="P11" s="92">
        <v>2480</v>
      </c>
      <c r="Q11" s="92">
        <v>3724</v>
      </c>
      <c r="R11" s="92">
        <v>3629</v>
      </c>
      <c r="S11" s="92"/>
      <c r="T11" s="92">
        <v>8414</v>
      </c>
      <c r="U11" s="92">
        <f>2480+3602</f>
        <v>6082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</row>
    <row r="12" spans="1:36" ht="15" thickBot="1" x14ac:dyDescent="0.35">
      <c r="A12" s="206">
        <v>123</v>
      </c>
      <c r="B12" s="166" t="s">
        <v>55</v>
      </c>
      <c r="C12" s="91">
        <v>37000</v>
      </c>
      <c r="D12" s="152">
        <v>0</v>
      </c>
      <c r="E12" s="152">
        <f t="shared" si="2"/>
        <v>37000</v>
      </c>
      <c r="F12" s="162">
        <f t="shared" si="0"/>
        <v>37000</v>
      </c>
      <c r="G12" s="162">
        <f t="shared" si="1"/>
        <v>0</v>
      </c>
      <c r="H12" s="92"/>
      <c r="I12" s="92"/>
      <c r="J12" s="92"/>
      <c r="K12" s="92"/>
      <c r="L12" s="92"/>
      <c r="M12" s="92"/>
      <c r="N12" s="92">
        <f>9725+8062</f>
        <v>17787</v>
      </c>
      <c r="O12" s="92"/>
      <c r="P12" s="92">
        <v>3870</v>
      </c>
      <c r="Q12" s="92"/>
      <c r="R12" s="92">
        <v>6953</v>
      </c>
      <c r="S12" s="92">
        <v>6390</v>
      </c>
      <c r="T12" s="92"/>
      <c r="U12" s="92">
        <v>2000</v>
      </c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</row>
    <row r="13" spans="1:36" ht="15" thickBot="1" x14ac:dyDescent="0.35">
      <c r="A13" s="206">
        <v>470</v>
      </c>
      <c r="B13" s="166" t="s">
        <v>103</v>
      </c>
      <c r="C13" s="91">
        <v>37000</v>
      </c>
      <c r="D13" s="152">
        <v>0</v>
      </c>
      <c r="E13" s="152">
        <f t="shared" si="2"/>
        <v>37000</v>
      </c>
      <c r="F13" s="162">
        <f t="shared" si="0"/>
        <v>37000</v>
      </c>
      <c r="G13" s="162">
        <f t="shared" si="1"/>
        <v>0</v>
      </c>
      <c r="H13" s="92"/>
      <c r="I13" s="92"/>
      <c r="J13" s="92"/>
      <c r="K13" s="92"/>
      <c r="L13" s="92"/>
      <c r="M13" s="92"/>
      <c r="N13" s="92">
        <v>5732</v>
      </c>
      <c r="O13" s="92"/>
      <c r="P13" s="92">
        <v>4799</v>
      </c>
      <c r="Q13" s="92"/>
      <c r="R13" s="92">
        <v>5579</v>
      </c>
      <c r="S13" s="92">
        <v>2748</v>
      </c>
      <c r="T13" s="92">
        <v>13761</v>
      </c>
      <c r="U13" s="92"/>
      <c r="V13" s="92">
        <v>2871</v>
      </c>
      <c r="W13" s="92">
        <v>1510</v>
      </c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51"/>
      <c r="AJ13" s="51"/>
    </row>
    <row r="14" spans="1:36" ht="15" thickBot="1" x14ac:dyDescent="0.35">
      <c r="A14" s="206">
        <v>880</v>
      </c>
      <c r="B14" s="166" t="s">
        <v>27</v>
      </c>
      <c r="C14" s="91">
        <v>37000</v>
      </c>
      <c r="D14" s="152">
        <v>0</v>
      </c>
      <c r="E14" s="152">
        <f t="shared" si="2"/>
        <v>37000</v>
      </c>
      <c r="F14" s="162">
        <f t="shared" si="0"/>
        <v>35000</v>
      </c>
      <c r="G14" s="162">
        <f t="shared" si="1"/>
        <v>2000</v>
      </c>
      <c r="H14" s="92"/>
      <c r="I14" s="92"/>
      <c r="J14" s="92"/>
      <c r="K14" s="92"/>
      <c r="L14" s="92"/>
      <c r="M14" s="92"/>
      <c r="N14" s="92"/>
      <c r="O14" s="92">
        <v>11309</v>
      </c>
      <c r="P14" s="92"/>
      <c r="Q14" s="92"/>
      <c r="R14" s="92"/>
      <c r="S14" s="92"/>
      <c r="T14" s="92"/>
      <c r="U14" s="92">
        <v>23691</v>
      </c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3"/>
      <c r="AJ14" s="93"/>
    </row>
    <row r="15" spans="1:36" ht="15" thickBot="1" x14ac:dyDescent="0.35">
      <c r="A15" s="206">
        <v>1000</v>
      </c>
      <c r="B15" s="166" t="s">
        <v>105</v>
      </c>
      <c r="C15" s="91">
        <v>37000</v>
      </c>
      <c r="D15" s="152">
        <v>0</v>
      </c>
      <c r="E15" s="152">
        <f t="shared" si="2"/>
        <v>37000</v>
      </c>
      <c r="F15" s="162">
        <f t="shared" si="0"/>
        <v>37000</v>
      </c>
      <c r="G15" s="162">
        <f t="shared" si="1"/>
        <v>0</v>
      </c>
      <c r="H15" s="92"/>
      <c r="I15" s="92"/>
      <c r="J15" s="92"/>
      <c r="K15" s="92">
        <v>7734</v>
      </c>
      <c r="L15" s="92">
        <v>2647</v>
      </c>
      <c r="M15" s="92">
        <v>2648</v>
      </c>
      <c r="N15" s="92">
        <v>2647</v>
      </c>
      <c r="O15" s="92">
        <v>2658</v>
      </c>
      <c r="P15" s="92">
        <v>2657</v>
      </c>
      <c r="Q15" s="92">
        <v>2657</v>
      </c>
      <c r="R15" s="92">
        <v>2658</v>
      </c>
      <c r="S15" s="92">
        <v>10627</v>
      </c>
      <c r="T15" s="92"/>
      <c r="U15" s="92"/>
      <c r="V15" s="92"/>
      <c r="W15" s="92">
        <v>67</v>
      </c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3"/>
      <c r="AJ15" s="93"/>
    </row>
    <row r="16" spans="1:36" ht="15" thickBot="1" x14ac:dyDescent="0.35">
      <c r="A16" s="206">
        <v>1420</v>
      </c>
      <c r="B16" s="166" t="s">
        <v>106</v>
      </c>
      <c r="C16" s="91">
        <v>37000</v>
      </c>
      <c r="D16" s="152">
        <v>0</v>
      </c>
      <c r="E16" s="152">
        <f t="shared" si="2"/>
        <v>37000</v>
      </c>
      <c r="F16" s="162">
        <f t="shared" si="0"/>
        <v>34794</v>
      </c>
      <c r="G16" s="162">
        <f t="shared" si="1"/>
        <v>2206</v>
      </c>
      <c r="H16" s="92"/>
      <c r="I16" s="92"/>
      <c r="J16" s="92"/>
      <c r="K16" s="92">
        <v>4455</v>
      </c>
      <c r="L16" s="92">
        <v>2559</v>
      </c>
      <c r="M16" s="92">
        <v>2984</v>
      </c>
      <c r="N16" s="92">
        <v>2001</v>
      </c>
      <c r="O16" s="92">
        <v>1490</v>
      </c>
      <c r="P16" s="92">
        <v>1026</v>
      </c>
      <c r="Q16" s="92">
        <v>900</v>
      </c>
      <c r="R16" s="92">
        <v>2989</v>
      </c>
      <c r="S16" s="92">
        <v>9059</v>
      </c>
      <c r="T16" s="92"/>
      <c r="U16" s="92">
        <v>4637</v>
      </c>
      <c r="V16" s="92">
        <v>2694</v>
      </c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</row>
    <row r="17" spans="1:36" ht="15" thickBot="1" x14ac:dyDescent="0.35">
      <c r="A17" s="206">
        <v>1550</v>
      </c>
      <c r="B17" s="166" t="s">
        <v>57</v>
      </c>
      <c r="C17" s="91">
        <v>32000</v>
      </c>
      <c r="D17" s="152">
        <v>0</v>
      </c>
      <c r="E17" s="152">
        <f t="shared" si="2"/>
        <v>32000</v>
      </c>
      <c r="F17" s="162">
        <f t="shared" si="0"/>
        <v>7319</v>
      </c>
      <c r="G17" s="162">
        <f t="shared" si="1"/>
        <v>24681</v>
      </c>
      <c r="H17" s="92"/>
      <c r="I17" s="92"/>
      <c r="J17" s="92"/>
      <c r="K17" s="92"/>
      <c r="L17" s="92">
        <v>542</v>
      </c>
      <c r="M17" s="92"/>
      <c r="N17" s="92">
        <v>5140</v>
      </c>
      <c r="O17" s="92"/>
      <c r="P17" s="92"/>
      <c r="Q17" s="92">
        <v>877</v>
      </c>
      <c r="R17" s="92"/>
      <c r="S17" s="92"/>
      <c r="T17" s="92">
        <v>475</v>
      </c>
      <c r="U17" s="92"/>
      <c r="V17" s="92"/>
      <c r="W17" s="92">
        <v>285</v>
      </c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</row>
    <row r="18" spans="1:36" ht="15" thickBot="1" x14ac:dyDescent="0.35">
      <c r="A18" s="206">
        <v>1560</v>
      </c>
      <c r="B18" s="166" t="s">
        <v>107</v>
      </c>
      <c r="C18" s="91">
        <v>30116</v>
      </c>
      <c r="D18" s="152">
        <v>0</v>
      </c>
      <c r="E18" s="152">
        <f t="shared" si="2"/>
        <v>30116</v>
      </c>
      <c r="F18" s="162">
        <f t="shared" si="0"/>
        <v>24436</v>
      </c>
      <c r="G18" s="162">
        <f t="shared" si="1"/>
        <v>5680</v>
      </c>
      <c r="H18" s="92"/>
      <c r="I18" s="92"/>
      <c r="J18" s="92"/>
      <c r="K18" s="92"/>
      <c r="L18" s="92"/>
      <c r="M18" s="92">
        <v>1789</v>
      </c>
      <c r="N18" s="92">
        <v>1874</v>
      </c>
      <c r="O18" s="92">
        <v>2608</v>
      </c>
      <c r="P18" s="92">
        <v>1533</v>
      </c>
      <c r="Q18" s="92">
        <v>1558</v>
      </c>
      <c r="R18" s="92">
        <v>1819</v>
      </c>
      <c r="S18" s="92">
        <v>1646</v>
      </c>
      <c r="T18" s="92">
        <v>11097</v>
      </c>
      <c r="U18" s="92"/>
      <c r="V18" s="92">
        <v>1669</v>
      </c>
      <c r="W18" s="92">
        <v>-1157</v>
      </c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</row>
    <row r="19" spans="1:36" ht="15" thickBot="1" x14ac:dyDescent="0.35">
      <c r="A19" s="206">
        <v>2000</v>
      </c>
      <c r="B19" s="166" t="s">
        <v>109</v>
      </c>
      <c r="C19" s="91">
        <v>37000</v>
      </c>
      <c r="D19" s="152">
        <v>0</v>
      </c>
      <c r="E19" s="152">
        <f t="shared" si="2"/>
        <v>37000</v>
      </c>
      <c r="F19" s="162">
        <f t="shared" si="0"/>
        <v>37000</v>
      </c>
      <c r="G19" s="162">
        <f t="shared" si="1"/>
        <v>0</v>
      </c>
      <c r="H19" s="92"/>
      <c r="I19" s="92"/>
      <c r="J19" s="92"/>
      <c r="K19" s="92">
        <v>4790</v>
      </c>
      <c r="L19" s="92">
        <v>4529</v>
      </c>
      <c r="M19" s="92">
        <v>2405</v>
      </c>
      <c r="N19" s="92">
        <v>4545</v>
      </c>
      <c r="O19" s="92">
        <v>2773</v>
      </c>
      <c r="P19" s="92">
        <v>2648</v>
      </c>
      <c r="Q19" s="92">
        <v>2579</v>
      </c>
      <c r="R19" s="92">
        <v>5652</v>
      </c>
      <c r="S19" s="92">
        <v>2410</v>
      </c>
      <c r="T19" s="92"/>
      <c r="U19" s="92">
        <v>2411</v>
      </c>
      <c r="V19" s="248">
        <v>2258</v>
      </c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3"/>
      <c r="AJ19" s="93"/>
    </row>
    <row r="20" spans="1:36" ht="15" thickBot="1" x14ac:dyDescent="0.35">
      <c r="A20" s="206">
        <v>2690</v>
      </c>
      <c r="B20" s="166" t="s">
        <v>110</v>
      </c>
      <c r="C20" s="91">
        <v>37000</v>
      </c>
      <c r="D20" s="152">
        <v>0</v>
      </c>
      <c r="E20" s="152">
        <f t="shared" si="2"/>
        <v>37000</v>
      </c>
      <c r="F20" s="162">
        <f t="shared" si="0"/>
        <v>36238</v>
      </c>
      <c r="G20" s="162">
        <f t="shared" si="1"/>
        <v>762</v>
      </c>
      <c r="H20" s="92"/>
      <c r="I20" s="92"/>
      <c r="J20" s="92"/>
      <c r="K20" s="92"/>
      <c r="L20" s="92">
        <v>3930</v>
      </c>
      <c r="M20" s="92"/>
      <c r="N20" s="92">
        <v>5387</v>
      </c>
      <c r="O20" s="92">
        <v>6292</v>
      </c>
      <c r="P20" s="92"/>
      <c r="Q20" s="92">
        <v>3171</v>
      </c>
      <c r="R20" s="92"/>
      <c r="S20" s="92">
        <v>17458</v>
      </c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</row>
    <row r="21" spans="1:36" ht="15" thickBot="1" x14ac:dyDescent="0.35">
      <c r="A21" s="206">
        <v>2790</v>
      </c>
      <c r="B21" s="166" t="s">
        <v>111</v>
      </c>
      <c r="C21" s="91">
        <v>12000</v>
      </c>
      <c r="D21" s="152">
        <v>0</v>
      </c>
      <c r="E21" s="152">
        <f t="shared" si="2"/>
        <v>12000</v>
      </c>
      <c r="F21" s="162">
        <f t="shared" si="0"/>
        <v>12000</v>
      </c>
      <c r="G21" s="162">
        <f t="shared" si="1"/>
        <v>0</v>
      </c>
      <c r="H21" s="92"/>
      <c r="I21" s="92"/>
      <c r="J21" s="92"/>
      <c r="K21" s="92"/>
      <c r="L21" s="92">
        <v>5000</v>
      </c>
      <c r="M21" s="92"/>
      <c r="N21" s="92"/>
      <c r="O21" s="92"/>
      <c r="P21" s="92"/>
      <c r="Q21" s="92">
        <v>7000</v>
      </c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3"/>
      <c r="AJ21" s="93"/>
    </row>
    <row r="22" spans="1:36" ht="15" thickBot="1" x14ac:dyDescent="0.35">
      <c r="A22" s="206">
        <v>3120</v>
      </c>
      <c r="B22" s="165" t="s">
        <v>112</v>
      </c>
      <c r="C22" s="163">
        <v>37000</v>
      </c>
      <c r="D22" s="152">
        <v>0</v>
      </c>
      <c r="E22" s="152">
        <f t="shared" si="2"/>
        <v>37000</v>
      </c>
      <c r="F22" s="162">
        <f t="shared" si="0"/>
        <v>37000</v>
      </c>
      <c r="G22" s="162">
        <f t="shared" si="1"/>
        <v>0</v>
      </c>
      <c r="H22" s="92"/>
      <c r="I22" s="92"/>
      <c r="J22" s="92"/>
      <c r="K22" s="92">
        <v>5680</v>
      </c>
      <c r="L22" s="92">
        <v>3867</v>
      </c>
      <c r="M22" s="92">
        <v>3935</v>
      </c>
      <c r="N22" s="92">
        <v>4620</v>
      </c>
      <c r="O22" s="92">
        <v>1849</v>
      </c>
      <c r="P22" s="92">
        <v>2660</v>
      </c>
      <c r="Q22" s="92">
        <v>3827</v>
      </c>
      <c r="R22" s="92">
        <v>3144</v>
      </c>
      <c r="S22" s="92">
        <v>3624</v>
      </c>
      <c r="T22" s="92"/>
      <c r="U22" s="92"/>
      <c r="V22" s="92">
        <v>3143</v>
      </c>
      <c r="W22" s="92">
        <v>651</v>
      </c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</row>
    <row r="23" spans="1:36" ht="29.4" thickBot="1" x14ac:dyDescent="0.35">
      <c r="A23" s="206">
        <v>9035</v>
      </c>
      <c r="B23" s="165" t="s">
        <v>113</v>
      </c>
      <c r="C23" s="163">
        <v>42000</v>
      </c>
      <c r="D23" s="152">
        <v>0</v>
      </c>
      <c r="E23" s="152">
        <f t="shared" si="2"/>
        <v>42000</v>
      </c>
      <c r="F23" s="162">
        <f t="shared" si="0"/>
        <v>42000</v>
      </c>
      <c r="G23" s="162">
        <f t="shared" si="1"/>
        <v>0</v>
      </c>
      <c r="H23" s="92"/>
      <c r="I23" s="92"/>
      <c r="J23" s="92">
        <v>5915</v>
      </c>
      <c r="K23" s="92">
        <v>2958</v>
      </c>
      <c r="L23" s="92">
        <v>5043</v>
      </c>
      <c r="M23" s="92">
        <v>3363</v>
      </c>
      <c r="N23" s="92">
        <v>3206</v>
      </c>
      <c r="O23" s="92">
        <v>3484</v>
      </c>
      <c r="P23" s="92">
        <v>4008</v>
      </c>
      <c r="Q23" s="92">
        <v>3682</v>
      </c>
      <c r="R23" s="92">
        <v>3191</v>
      </c>
      <c r="S23" s="92">
        <v>3011</v>
      </c>
      <c r="T23" s="92">
        <v>3334</v>
      </c>
      <c r="U23" s="92">
        <v>805</v>
      </c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</row>
    <row r="24" spans="1:36" ht="15" thickBot="1" x14ac:dyDescent="0.35">
      <c r="A24" s="206">
        <v>9055</v>
      </c>
      <c r="B24" s="40" t="s">
        <v>115</v>
      </c>
      <c r="C24" s="163">
        <v>42000</v>
      </c>
      <c r="D24" s="152">
        <v>0</v>
      </c>
      <c r="E24" s="152">
        <f t="shared" si="2"/>
        <v>42000</v>
      </c>
      <c r="F24" s="162">
        <f t="shared" si="0"/>
        <v>40000</v>
      </c>
      <c r="G24" s="162">
        <f t="shared" si="1"/>
        <v>2000</v>
      </c>
      <c r="H24" s="92"/>
      <c r="I24" s="92"/>
      <c r="J24" s="92">
        <v>4329</v>
      </c>
      <c r="K24" s="92">
        <v>3062</v>
      </c>
      <c r="L24" s="92">
        <v>2722</v>
      </c>
      <c r="M24" s="92">
        <v>2164</v>
      </c>
      <c r="N24" s="92">
        <v>2843</v>
      </c>
      <c r="O24" s="92">
        <v>2636</v>
      </c>
      <c r="P24" s="92">
        <v>2413</v>
      </c>
      <c r="Q24" s="92">
        <v>3420</v>
      </c>
      <c r="R24" s="92">
        <v>2824</v>
      </c>
      <c r="S24" s="92">
        <v>2495</v>
      </c>
      <c r="T24" s="92">
        <v>7155</v>
      </c>
      <c r="U24" s="92"/>
      <c r="V24" s="92"/>
      <c r="W24" s="92">
        <v>3937</v>
      </c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</row>
    <row r="25" spans="1:36" ht="15" thickBot="1" x14ac:dyDescent="0.35">
      <c r="A25" s="164"/>
      <c r="B25" s="33"/>
      <c r="C25" s="163"/>
      <c r="D25" s="152"/>
      <c r="E25" s="152"/>
      <c r="F25" s="162"/>
      <c r="G25" s="162">
        <f t="shared" si="1"/>
        <v>0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3"/>
      <c r="AJ25" s="93"/>
    </row>
    <row r="26" spans="1:36" s="24" customFormat="1" ht="15" thickBot="1" x14ac:dyDescent="0.35">
      <c r="A26" s="161" t="s">
        <v>49</v>
      </c>
      <c r="B26" s="20"/>
      <c r="C26" s="160">
        <f t="shared" ref="C26:AJ26" si="3">SUM(C9:C25)</f>
        <v>554491</v>
      </c>
      <c r="D26" s="160">
        <v>0</v>
      </c>
      <c r="E26" s="174">
        <f t="shared" si="2"/>
        <v>554491</v>
      </c>
      <c r="F26" s="160">
        <f>SUM(F9:F24)</f>
        <v>511260</v>
      </c>
      <c r="G26" s="160">
        <f t="shared" si="3"/>
        <v>43231</v>
      </c>
      <c r="H26" s="160">
        <f t="shared" si="3"/>
        <v>0</v>
      </c>
      <c r="I26" s="160">
        <f t="shared" si="3"/>
        <v>0</v>
      </c>
      <c r="J26" s="160">
        <f t="shared" si="3"/>
        <v>10244</v>
      </c>
      <c r="K26" s="160">
        <f t="shared" si="3"/>
        <v>28923</v>
      </c>
      <c r="L26" s="160">
        <f t="shared" si="3"/>
        <v>38479</v>
      </c>
      <c r="M26" s="160">
        <f t="shared" si="3"/>
        <v>20488</v>
      </c>
      <c r="N26" s="160">
        <f t="shared" si="3"/>
        <v>60489</v>
      </c>
      <c r="O26" s="160">
        <f t="shared" si="3"/>
        <v>40785</v>
      </c>
      <c r="P26" s="160">
        <f t="shared" si="3"/>
        <v>38478</v>
      </c>
      <c r="Q26" s="160">
        <f t="shared" si="3"/>
        <v>35784</v>
      </c>
      <c r="R26" s="160">
        <f t="shared" si="3"/>
        <v>47967</v>
      </c>
      <c r="S26" s="160">
        <f t="shared" si="3"/>
        <v>66519</v>
      </c>
      <c r="T26" s="160">
        <f t="shared" si="3"/>
        <v>57701</v>
      </c>
      <c r="U26" s="160">
        <f t="shared" si="3"/>
        <v>39626</v>
      </c>
      <c r="V26" s="160">
        <f t="shared" si="3"/>
        <v>13953</v>
      </c>
      <c r="W26" s="160">
        <f t="shared" si="3"/>
        <v>11824</v>
      </c>
      <c r="X26" s="160">
        <f t="shared" si="3"/>
        <v>0</v>
      </c>
      <c r="Y26" s="160">
        <f t="shared" si="3"/>
        <v>0</v>
      </c>
      <c r="Z26" s="160">
        <f t="shared" si="3"/>
        <v>0</v>
      </c>
      <c r="AA26" s="160">
        <f t="shared" si="3"/>
        <v>0</v>
      </c>
      <c r="AB26" s="160">
        <f t="shared" si="3"/>
        <v>0</v>
      </c>
      <c r="AC26" s="160">
        <f t="shared" si="3"/>
        <v>0</v>
      </c>
      <c r="AD26" s="160">
        <f t="shared" si="3"/>
        <v>0</v>
      </c>
      <c r="AE26" s="160">
        <f t="shared" si="3"/>
        <v>0</v>
      </c>
      <c r="AF26" s="160">
        <f t="shared" si="3"/>
        <v>0</v>
      </c>
      <c r="AG26" s="160">
        <f t="shared" si="3"/>
        <v>0</v>
      </c>
      <c r="AH26" s="160">
        <f t="shared" si="3"/>
        <v>0</v>
      </c>
      <c r="AI26" s="160">
        <f t="shared" si="3"/>
        <v>0</v>
      </c>
      <c r="AJ26" s="160">
        <f t="shared" si="3"/>
        <v>0</v>
      </c>
    </row>
    <row r="27" spans="1:36" x14ac:dyDescent="0.3">
      <c r="A27" s="8"/>
      <c r="B27" s="1"/>
      <c r="C27" s="52"/>
      <c r="D27" s="52"/>
      <c r="E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6" x14ac:dyDescent="0.3">
      <c r="A28" s="8"/>
      <c r="B28" s="1"/>
      <c r="C28" s="52"/>
      <c r="D28" s="52"/>
      <c r="E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6" x14ac:dyDescent="0.3">
      <c r="A29" s="8"/>
      <c r="B29" s="1"/>
      <c r="C29" s="52"/>
      <c r="D29" s="52"/>
      <c r="E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E29" s="52"/>
      <c r="AF29" s="52"/>
      <c r="AG29" s="52"/>
      <c r="AH29" s="52"/>
    </row>
    <row r="30" spans="1:36" x14ac:dyDescent="0.3">
      <c r="C30" s="52"/>
      <c r="D30" s="52"/>
      <c r="E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6" x14ac:dyDescent="0.3">
      <c r="C31" s="52"/>
      <c r="D31" s="52"/>
      <c r="E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36" x14ac:dyDescent="0.3">
      <c r="C32" s="52"/>
      <c r="D32" s="52"/>
      <c r="E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93"/>
      <c r="AJ32" s="93"/>
    </row>
    <row r="33" spans="3:36" x14ac:dyDescent="0.3">
      <c r="C33" s="52"/>
      <c r="D33" s="52"/>
      <c r="E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3:36" x14ac:dyDescent="0.3">
      <c r="C34" s="52"/>
      <c r="D34" s="52"/>
      <c r="E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3:36" x14ac:dyDescent="0.3">
      <c r="C35" s="52"/>
      <c r="D35" s="52"/>
      <c r="E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1"/>
      <c r="AJ35" s="51"/>
    </row>
    <row r="36" spans="3:36" x14ac:dyDescent="0.3">
      <c r="C36" s="52"/>
      <c r="D36" s="52"/>
      <c r="E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30"/>
      <c r="AJ36" s="30"/>
    </row>
    <row r="37" spans="3:36" x14ac:dyDescent="0.3">
      <c r="C37" s="52"/>
      <c r="D37" s="52"/>
      <c r="E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30"/>
      <c r="AJ37" s="30"/>
    </row>
    <row r="38" spans="3:36" x14ac:dyDescent="0.3">
      <c r="C38" s="52"/>
      <c r="D38" s="52"/>
      <c r="E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30"/>
      <c r="AJ38" s="30"/>
    </row>
    <row r="39" spans="3:36" x14ac:dyDescent="0.3">
      <c r="C39" s="52"/>
      <c r="D39" s="52"/>
      <c r="E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30"/>
      <c r="AJ39" s="30"/>
    </row>
    <row r="40" spans="3:36" x14ac:dyDescent="0.3">
      <c r="C40" s="52"/>
      <c r="D40" s="52"/>
      <c r="E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30"/>
      <c r="AJ40" s="30"/>
    </row>
    <row r="41" spans="3:36" x14ac:dyDescent="0.3">
      <c r="C41" s="52"/>
      <c r="D41" s="52"/>
      <c r="E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30"/>
      <c r="AJ41" s="30"/>
    </row>
    <row r="42" spans="3:36" x14ac:dyDescent="0.3">
      <c r="C42" s="52"/>
      <c r="D42" s="52"/>
      <c r="E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30"/>
      <c r="AJ42" s="30"/>
    </row>
    <row r="43" spans="3:36" x14ac:dyDescent="0.3">
      <c r="C43" s="52"/>
      <c r="D43" s="52"/>
      <c r="E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30"/>
      <c r="AJ43" s="30"/>
    </row>
    <row r="44" spans="3:36" x14ac:dyDescent="0.3">
      <c r="C44" s="52"/>
      <c r="D44" s="52"/>
      <c r="E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30"/>
      <c r="AJ44" s="30"/>
    </row>
    <row r="45" spans="3:36" x14ac:dyDescent="0.3">
      <c r="C45" s="52"/>
      <c r="D45" s="52"/>
      <c r="E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30"/>
      <c r="AJ45" s="30"/>
    </row>
    <row r="46" spans="3:36" x14ac:dyDescent="0.3">
      <c r="C46" s="52"/>
      <c r="D46" s="52"/>
      <c r="E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30"/>
      <c r="AJ46" s="30"/>
    </row>
    <row r="47" spans="3:36" x14ac:dyDescent="0.3">
      <c r="C47" s="52"/>
      <c r="D47" s="52"/>
      <c r="E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30"/>
      <c r="AJ47" s="30"/>
    </row>
    <row r="48" spans="3:36" x14ac:dyDescent="0.3">
      <c r="C48" s="52"/>
      <c r="D48" s="52"/>
      <c r="E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30"/>
      <c r="AJ48" s="30"/>
    </row>
    <row r="49" spans="8:36" x14ac:dyDescent="0.3"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30"/>
      <c r="AJ49" s="30"/>
    </row>
    <row r="50" spans="8:36" x14ac:dyDescent="0.3"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8:36" x14ac:dyDescent="0.3"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8:36" x14ac:dyDescent="0.3"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8:36" x14ac:dyDescent="0.3"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8:36" x14ac:dyDescent="0.3"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8:36" x14ac:dyDescent="0.3"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8:36" x14ac:dyDescent="0.3"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8:36" x14ac:dyDescent="0.3"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8:36" x14ac:dyDescent="0.3"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8:36" x14ac:dyDescent="0.3"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8:36" x14ac:dyDescent="0.3"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8:36" x14ac:dyDescent="0.3"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8:36" x14ac:dyDescent="0.3"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8:36" x14ac:dyDescent="0.3"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8:36" x14ac:dyDescent="0.3"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8:34" x14ac:dyDescent="0.3"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</row>
    <row r="66" spans="8:34" x14ac:dyDescent="0.3"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</row>
  </sheetData>
  <sheetProtection algorithmName="SHA-512" hashValue="jWvVcnQA7bNv8XstN7KrPs+YIGr2qSsQ6Rk14mWklqA8HHOT5KxVnb+f5zP6LttidisgWpbGo/dvMHRU36PZdw==" saltValue="6MKDX5+SEpy/QYWlmSKLFg==" spinCount="100000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21ST C7</vt:lpstr>
      <vt:lpstr>ABSTINENCE</vt:lpstr>
      <vt:lpstr>AEFLA </vt:lpstr>
      <vt:lpstr> AWARE</vt:lpstr>
      <vt:lpstr>DB CENTERS</vt:lpstr>
      <vt:lpstr>IEL-CIVICS </vt:lpstr>
      <vt:lpstr> JAVITS R4R</vt:lpstr>
      <vt:lpstr> JAVITS R4R Y042</vt:lpstr>
      <vt:lpstr>MCKINNEY VENTO</vt:lpstr>
      <vt:lpstr>MSIX</vt:lpstr>
      <vt:lpstr>MTSS </vt:lpstr>
      <vt:lpstr>RTTT EARLY LEARNING</vt:lpstr>
      <vt:lpstr>TITLE IC MIGRANT</vt:lpstr>
      <vt:lpstr>TITLE II B MSP</vt:lpstr>
      <vt:lpstr>TITLE V CHARTER 44xC </vt:lpstr>
      <vt:lpstr>TITLE V CHARTER 58xC</vt:lpstr>
      <vt:lpstr>TITLE VI R ED</vt:lpstr>
      <vt:lpstr>'RTTT EARLY LEARNING'!Print_Area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Mueller, Pam</cp:lastModifiedBy>
  <cp:lastPrinted>2016-12-08T23:20:31Z</cp:lastPrinted>
  <dcterms:created xsi:type="dcterms:W3CDTF">2011-11-11T22:30:43Z</dcterms:created>
  <dcterms:modified xsi:type="dcterms:W3CDTF">2019-06-27T15:26:54Z</dcterms:modified>
</cp:coreProperties>
</file>