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cdecolorado-my.sharepoint.com/personal/kahle_t_cde_state_co_us/Documents/Desktop/"/>
    </mc:Choice>
  </mc:AlternateContent>
  <xr:revisionPtr revIDLastSave="1203" documentId="8_{F8831008-C6DC-493B-834B-0282375D1201}" xr6:coauthVersionLast="47" xr6:coauthVersionMax="47" xr10:uidLastSave="{B6B6D818-E38F-400E-8455-ADD69FE8EDE4}"/>
  <bookViews>
    <workbookView xWindow="-120" yWindow="-120" windowWidth="19440" windowHeight="10440" xr2:uid="{00000000-000D-0000-FFFF-FFFF00000000}"/>
  </bookViews>
  <sheets>
    <sheet name="Mill Levy Certification Form" sheetId="2" r:id="rId1"/>
    <sheet name="Data" sheetId="1" r:id="rId2"/>
    <sheet name="Final Mill Levy Summary" sheetId="4" state="hidden" r:id="rId3"/>
    <sheet name="TABOR Historical" sheetId="3" state="hidden" r:id="rId4"/>
  </sheets>
  <definedNames>
    <definedName name="_xlnm._FilterDatabase" localSheetId="0" hidden="1">'Mill Levy Certification Form'!$A$6:$F$68</definedName>
    <definedName name="GMONEY">#REF!</definedName>
    <definedName name="MONEY" localSheetId="2">#REF!</definedName>
    <definedName name="_xlnm.Print_Area" localSheetId="2">'Final Mill Levy Summary'!$B$7:$AE$634</definedName>
    <definedName name="_xlnm.Print_Area" localSheetId="0">'Mill Levy Certification Form'!$A$1:$F$69</definedName>
    <definedName name="_xlnm.Print_Area" localSheetId="3">'TABOR Historical'!$A$1:$R$184</definedName>
    <definedName name="_xlnm.Print_Titles" localSheetId="2">'Final Mill Levy Summary'!$1:$6</definedName>
    <definedName name="_xlnm.Print_Titles" localSheetId="3">'TABOR Historical'!$1:$3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4" i="1" l="1"/>
  <c r="R48" i="1"/>
  <c r="D120" i="1"/>
  <c r="D166" i="1"/>
  <c r="R17" i="1"/>
  <c r="D17" i="1"/>
  <c r="R16" i="1"/>
  <c r="E16" i="1"/>
  <c r="D16" i="1"/>
  <c r="E5" i="1"/>
  <c r="D5" i="1"/>
  <c r="D15" i="1"/>
  <c r="R7" i="1"/>
  <c r="D7" i="1"/>
  <c r="R91" i="1" l="1"/>
  <c r="D131" i="1"/>
  <c r="D43" i="1"/>
  <c r="R43" i="1"/>
  <c r="R115" i="1"/>
  <c r="D115" i="1"/>
  <c r="R138" i="1" l="1"/>
  <c r="R71" i="1"/>
  <c r="D27" i="1"/>
  <c r="R27" i="1"/>
  <c r="R45" i="1"/>
  <c r="R44" i="1" l="1"/>
  <c r="D44" i="1"/>
  <c r="R88" i="1"/>
  <c r="D179" i="1"/>
  <c r="R72" i="1"/>
  <c r="R98" i="1"/>
  <c r="F344" i="4"/>
  <c r="R146" i="1"/>
  <c r="F511" i="4"/>
  <c r="R145" i="1"/>
  <c r="R42" i="1" l="1"/>
  <c r="D42" i="1"/>
  <c r="D153" i="1"/>
  <c r="R106" i="1"/>
  <c r="D105" i="1"/>
  <c r="D117" i="1"/>
  <c r="D132" i="1"/>
  <c r="R132" i="1"/>
  <c r="R47" i="1"/>
  <c r="D47" i="1"/>
  <c r="R131" i="1"/>
  <c r="R92" i="1"/>
  <c r="D92" i="1"/>
  <c r="E92" i="1"/>
  <c r="F57" i="2"/>
  <c r="D57" i="2"/>
  <c r="F55" i="2"/>
  <c r="D154" i="1" l="1"/>
  <c r="R3" i="1"/>
  <c r="E3" i="1"/>
  <c r="D3" i="1"/>
  <c r="D55" i="2"/>
  <c r="D17" i="2"/>
  <c r="D24" i="2"/>
  <c r="D26" i="2"/>
  <c r="D22" i="2"/>
  <c r="D37" i="2"/>
  <c r="D34" i="2"/>
  <c r="D82" i="1" l="1"/>
  <c r="R85" i="1"/>
  <c r="D178" i="1"/>
  <c r="R179" i="1"/>
  <c r="R137" i="1"/>
  <c r="R136" i="1"/>
  <c r="D174" i="1"/>
  <c r="R105" i="1"/>
  <c r="R103" i="1"/>
  <c r="R127" i="1"/>
  <c r="R64" i="1"/>
  <c r="D64" i="1"/>
  <c r="D63" i="1"/>
  <c r="R62" i="1"/>
  <c r="D66" i="1"/>
  <c r="R59" i="1"/>
  <c r="D59" i="1"/>
  <c r="R58" i="1"/>
  <c r="R55" i="1"/>
  <c r="R52" i="1"/>
  <c r="R50" i="1"/>
  <c r="D50" i="1"/>
  <c r="R67" i="1"/>
  <c r="R133" i="1"/>
  <c r="R90" i="1"/>
  <c r="D90" i="1"/>
  <c r="R89" i="1"/>
  <c r="D89" i="1"/>
  <c r="R40" i="1"/>
  <c r="D40" i="1"/>
  <c r="R28" i="1"/>
  <c r="R36" i="1"/>
  <c r="D39" i="1"/>
  <c r="R107" i="1"/>
  <c r="D107" i="1"/>
  <c r="R70" i="1"/>
  <c r="R69" i="1"/>
  <c r="R68" i="1"/>
  <c r="D68" i="1"/>
  <c r="D171" i="1"/>
  <c r="R26" i="1"/>
  <c r="E26" i="1"/>
  <c r="D26" i="1"/>
  <c r="R79" i="1"/>
  <c r="E79" i="1"/>
  <c r="D79" i="1"/>
  <c r="D51" i="2"/>
  <c r="R120" i="1"/>
  <c r="R119" i="1"/>
  <c r="D119" i="1"/>
  <c r="D173" i="1"/>
  <c r="R118" i="1"/>
  <c r="R117" i="1"/>
  <c r="R101" i="1"/>
  <c r="D101" i="1"/>
  <c r="D124" i="1"/>
  <c r="R111" i="1"/>
  <c r="D150" i="1"/>
  <c r="R9" i="1"/>
  <c r="R114" i="1"/>
  <c r="R112" i="1"/>
  <c r="R113" i="1"/>
  <c r="R76" i="1"/>
  <c r="R109" i="1"/>
  <c r="R108" i="1"/>
  <c r="F108" i="1"/>
  <c r="F106" i="1"/>
  <c r="R139" i="1"/>
  <c r="R24" i="1"/>
  <c r="AC620" i="4"/>
  <c r="AC616" i="4"/>
  <c r="AC612" i="4"/>
  <c r="AC609" i="4"/>
  <c r="AC606" i="4"/>
  <c r="AC603" i="4"/>
  <c r="AC599" i="4"/>
  <c r="AC595" i="4"/>
  <c r="AC592" i="4"/>
  <c r="AC588" i="4"/>
  <c r="AC585" i="4"/>
  <c r="AC582" i="4"/>
  <c r="AC578" i="4"/>
  <c r="AC575" i="4"/>
  <c r="AC571" i="4"/>
  <c r="AC568" i="4"/>
  <c r="AC565" i="4"/>
  <c r="AC562" i="4"/>
  <c r="AC559" i="4"/>
  <c r="AC556" i="4"/>
  <c r="AC553" i="4"/>
  <c r="AC550" i="4"/>
  <c r="AC547" i="4"/>
  <c r="AC541" i="4"/>
  <c r="AC538" i="4"/>
  <c r="AC534" i="4"/>
  <c r="AC530" i="4"/>
  <c r="AC527" i="4"/>
  <c r="AC524" i="4"/>
  <c r="AC519" i="4"/>
  <c r="AC516" i="4"/>
  <c r="AC513" i="4"/>
  <c r="AC509" i="4"/>
  <c r="AC506" i="4"/>
  <c r="AC503" i="4"/>
  <c r="AC499" i="4"/>
  <c r="AC496" i="4"/>
  <c r="AC493" i="4"/>
  <c r="AC490" i="4"/>
  <c r="AC487" i="4"/>
  <c r="AC484" i="4"/>
  <c r="AC481" i="4"/>
  <c r="AC477" i="4"/>
  <c r="AC474" i="4"/>
  <c r="AC471" i="4"/>
  <c r="AC468" i="4"/>
  <c r="AC465" i="4"/>
  <c r="AC459" i="4"/>
  <c r="AC454" i="4"/>
  <c r="AC451" i="4"/>
  <c r="AC448" i="4"/>
  <c r="AC445" i="4"/>
  <c r="AC442" i="4"/>
  <c r="AC439" i="4"/>
  <c r="AC436" i="4"/>
  <c r="AC431" i="4"/>
  <c r="AC427" i="4"/>
  <c r="AC424" i="4"/>
  <c r="AC421" i="4"/>
  <c r="AC416" i="4"/>
  <c r="AC412" i="4"/>
  <c r="AC409" i="4"/>
  <c r="AC405" i="4"/>
  <c r="AC402" i="4"/>
  <c r="AC397" i="4"/>
  <c r="AC394" i="4"/>
  <c r="AC391" i="4"/>
  <c r="AC388" i="4"/>
  <c r="AC385" i="4"/>
  <c r="AC382" i="4"/>
  <c r="AC379" i="4"/>
  <c r="AC376" i="4"/>
  <c r="AC372" i="4"/>
  <c r="AC369" i="4"/>
  <c r="AC364" i="4"/>
  <c r="AC361" i="4"/>
  <c r="AC358" i="4"/>
  <c r="AC355" i="4"/>
  <c r="AC351" i="4"/>
  <c r="AC348" i="4"/>
  <c r="AC345" i="4"/>
  <c r="AC342" i="4"/>
  <c r="AC339" i="4"/>
  <c r="AC336" i="4"/>
  <c r="AC333" i="4"/>
  <c r="AC330" i="4"/>
  <c r="AC326" i="4"/>
  <c r="AC321" i="4"/>
  <c r="AC318" i="4"/>
  <c r="AC314" i="4"/>
  <c r="AC310" i="4"/>
  <c r="AC307" i="4"/>
  <c r="AC304" i="4"/>
  <c r="AC300" i="4"/>
  <c r="AC297" i="4"/>
  <c r="AC294" i="4"/>
  <c r="AC291" i="4"/>
  <c r="AC287" i="4"/>
  <c r="AC284" i="4"/>
  <c r="AC281" i="4"/>
  <c r="AC277" i="4"/>
  <c r="AC274" i="4"/>
  <c r="AC271" i="4"/>
  <c r="AC268" i="4"/>
  <c r="AC265" i="4"/>
  <c r="AC261" i="4"/>
  <c r="AC258" i="4"/>
  <c r="AC253" i="4"/>
  <c r="AC250" i="4"/>
  <c r="AC247" i="4"/>
  <c r="AC244" i="4"/>
  <c r="AC239" i="4"/>
  <c r="AC236" i="4"/>
  <c r="AC231" i="4"/>
  <c r="AC228" i="4"/>
  <c r="AC223" i="4"/>
  <c r="AC218" i="4"/>
  <c r="AC215" i="4"/>
  <c r="AC212" i="4"/>
  <c r="AC209" i="4"/>
  <c r="AC205" i="4"/>
  <c r="AC202" i="4"/>
  <c r="AC199" i="4"/>
  <c r="AC196" i="4"/>
  <c r="AC193" i="4"/>
  <c r="AC190" i="4"/>
  <c r="AC187" i="4"/>
  <c r="AC184" i="4"/>
  <c r="AC181" i="4"/>
  <c r="AC177" i="4"/>
  <c r="AC174" i="4"/>
  <c r="AC171" i="4"/>
  <c r="AC167" i="4"/>
  <c r="AC164" i="4"/>
  <c r="AC161" i="4"/>
  <c r="AC156" i="4"/>
  <c r="AC152" i="4"/>
  <c r="AC148" i="4"/>
  <c r="AC145" i="4"/>
  <c r="AC139" i="4"/>
  <c r="AC136" i="4"/>
  <c r="AC132" i="4"/>
  <c r="AC129" i="4"/>
  <c r="AC126" i="4"/>
  <c r="AC123" i="4"/>
  <c r="AC119" i="4"/>
  <c r="AC115" i="4"/>
  <c r="AC112" i="4"/>
  <c r="AC109" i="4"/>
  <c r="AC106" i="4"/>
  <c r="AC102" i="4"/>
  <c r="AC94" i="4"/>
  <c r="AC88" i="4"/>
  <c r="AC85" i="4"/>
  <c r="AC82" i="4"/>
  <c r="AC79" i="4"/>
  <c r="AC76" i="4"/>
  <c r="AC73" i="4"/>
  <c r="AC70" i="4"/>
  <c r="AC67" i="4"/>
  <c r="AC63" i="4"/>
  <c r="AC59" i="4"/>
  <c r="AC55" i="4"/>
  <c r="AC51" i="4"/>
  <c r="AC48" i="4"/>
  <c r="AC45" i="4"/>
  <c r="AC42" i="4"/>
  <c r="AC39" i="4"/>
  <c r="AC35" i="4"/>
  <c r="AC31" i="4"/>
  <c r="AC28" i="4"/>
  <c r="AC24" i="4"/>
  <c r="AC20" i="4"/>
  <c r="AC15" i="4"/>
  <c r="AC12" i="4"/>
  <c r="AC8" i="4"/>
  <c r="AA620" i="4"/>
  <c r="AA616" i="4"/>
  <c r="AA612" i="4"/>
  <c r="AA609" i="4"/>
  <c r="AA606" i="4"/>
  <c r="AA603" i="4"/>
  <c r="AA599" i="4"/>
  <c r="AA595" i="4"/>
  <c r="AA592" i="4"/>
  <c r="AA588" i="4"/>
  <c r="AA585" i="4"/>
  <c r="AA582" i="4"/>
  <c r="AA578" i="4"/>
  <c r="AA575" i="4"/>
  <c r="AA571" i="4"/>
  <c r="AA568" i="4"/>
  <c r="AA565" i="4"/>
  <c r="AA562" i="4"/>
  <c r="AA559" i="4"/>
  <c r="AA556" i="4"/>
  <c r="AA553" i="4"/>
  <c r="AA550" i="4"/>
  <c r="AA547" i="4"/>
  <c r="AA544" i="4"/>
  <c r="AA541" i="4"/>
  <c r="AA538" i="4"/>
  <c r="AA534" i="4"/>
  <c r="AA530" i="4"/>
  <c r="AA527" i="4"/>
  <c r="AA524" i="4"/>
  <c r="AA519" i="4"/>
  <c r="AA516" i="4"/>
  <c r="AA513" i="4"/>
  <c r="AA509" i="4"/>
  <c r="AA506" i="4"/>
  <c r="AA503" i="4"/>
  <c r="AA499" i="4"/>
  <c r="AA496" i="4"/>
  <c r="AA493" i="4"/>
  <c r="AA490" i="4"/>
  <c r="AA487" i="4"/>
  <c r="AA484" i="4"/>
  <c r="AA481" i="4"/>
  <c r="AA477" i="4"/>
  <c r="AA474" i="4"/>
  <c r="AA471" i="4"/>
  <c r="AA468" i="4"/>
  <c r="AA465" i="4"/>
  <c r="AA459" i="4"/>
  <c r="AA454" i="4"/>
  <c r="AA451" i="4"/>
  <c r="AA448" i="4"/>
  <c r="AA445" i="4"/>
  <c r="AA442" i="4"/>
  <c r="AA439" i="4"/>
  <c r="AA436" i="4"/>
  <c r="AA431" i="4"/>
  <c r="AA427" i="4"/>
  <c r="AA424" i="4"/>
  <c r="AA421" i="4"/>
  <c r="AA416" i="4"/>
  <c r="AA412" i="4"/>
  <c r="AA409" i="4"/>
  <c r="AA405" i="4"/>
  <c r="AA402" i="4"/>
  <c r="AA397" i="4"/>
  <c r="AA394" i="4"/>
  <c r="AA391" i="4"/>
  <c r="AA388" i="4"/>
  <c r="AA385" i="4"/>
  <c r="AA382" i="4"/>
  <c r="AA379" i="4"/>
  <c r="AA376" i="4"/>
  <c r="AA372" i="4"/>
  <c r="AA369" i="4"/>
  <c r="AA364" i="4"/>
  <c r="AA361" i="4"/>
  <c r="AA358" i="4"/>
  <c r="AA355" i="4"/>
  <c r="AA351" i="4"/>
  <c r="AA348" i="4"/>
  <c r="AA345" i="4"/>
  <c r="AA342" i="4"/>
  <c r="AA339" i="4"/>
  <c r="AA336" i="4"/>
  <c r="AA333" i="4"/>
  <c r="AA330" i="4"/>
  <c r="AA326" i="4"/>
  <c r="AA321" i="4"/>
  <c r="AA318" i="4"/>
  <c r="AA314" i="4"/>
  <c r="AA310" i="4"/>
  <c r="AA307" i="4"/>
  <c r="AA304" i="4"/>
  <c r="AA300" i="4"/>
  <c r="AA297" i="4"/>
  <c r="AA294" i="4"/>
  <c r="AA291" i="4"/>
  <c r="AA287" i="4"/>
  <c r="AA284" i="4"/>
  <c r="AA281" i="4"/>
  <c r="AA277" i="4"/>
  <c r="AA274" i="4"/>
  <c r="AA271" i="4"/>
  <c r="AA268" i="4"/>
  <c r="AA265" i="4"/>
  <c r="AA261" i="4"/>
  <c r="AA258" i="4"/>
  <c r="AA253" i="4"/>
  <c r="AA250" i="4"/>
  <c r="AA247" i="4"/>
  <c r="AA244" i="4"/>
  <c r="AA239" i="4"/>
  <c r="AA236" i="4"/>
  <c r="AA231" i="4"/>
  <c r="AA228" i="4"/>
  <c r="AA223" i="4"/>
  <c r="AA218" i="4"/>
  <c r="AA215" i="4"/>
  <c r="AA212" i="4"/>
  <c r="AA209" i="4"/>
  <c r="AA205" i="4"/>
  <c r="AA202" i="4"/>
  <c r="AA199" i="4"/>
  <c r="AA196" i="4"/>
  <c r="AA193" i="4"/>
  <c r="AA190" i="4"/>
  <c r="AA187" i="4"/>
  <c r="AA184" i="4"/>
  <c r="AA181" i="4"/>
  <c r="AA177" i="4"/>
  <c r="AA174" i="4"/>
  <c r="AA171" i="4"/>
  <c r="AA167" i="4"/>
  <c r="AA164" i="4"/>
  <c r="AA161" i="4"/>
  <c r="AA156" i="4"/>
  <c r="AA152" i="4"/>
  <c r="AA148" i="4"/>
  <c r="AA145" i="4"/>
  <c r="AA139" i="4"/>
  <c r="AA136" i="4"/>
  <c r="AA132" i="4"/>
  <c r="AA129" i="4"/>
  <c r="AA126" i="4"/>
  <c r="AA123" i="4"/>
  <c r="AA119" i="4"/>
  <c r="AA115" i="4"/>
  <c r="AA112" i="4"/>
  <c r="AA109" i="4"/>
  <c r="AA106" i="4"/>
  <c r="AA102" i="4"/>
  <c r="AA99" i="4"/>
  <c r="AA94" i="4"/>
  <c r="AA88" i="4"/>
  <c r="AA85" i="4"/>
  <c r="AA82" i="4"/>
  <c r="AA79" i="4"/>
  <c r="AA76" i="4"/>
  <c r="AA73" i="4"/>
  <c r="AA70" i="4"/>
  <c r="AA67" i="4"/>
  <c r="AA63" i="4"/>
  <c r="AA59" i="4"/>
  <c r="AA55" i="4"/>
  <c r="AA51" i="4"/>
  <c r="AA48" i="4"/>
  <c r="AA45" i="4"/>
  <c r="AA42" i="4"/>
  <c r="AA39" i="4"/>
  <c r="AA35" i="4"/>
  <c r="AA31" i="4"/>
  <c r="AA28" i="4"/>
  <c r="AA24" i="4"/>
  <c r="AA20" i="4"/>
  <c r="AA15" i="4"/>
  <c r="AA12" i="4"/>
  <c r="AA8" i="4"/>
  <c r="Y620" i="4"/>
  <c r="Y616" i="4"/>
  <c r="Y612" i="4"/>
  <c r="Y609" i="4"/>
  <c r="Y606" i="4"/>
  <c r="Y603" i="4"/>
  <c r="Y599" i="4"/>
  <c r="Y595" i="4"/>
  <c r="Y592" i="4"/>
  <c r="Y588" i="4"/>
  <c r="Y585" i="4"/>
  <c r="Y582" i="4"/>
  <c r="Y578" i="4"/>
  <c r="Y575" i="4"/>
  <c r="Y571" i="4"/>
  <c r="Y568" i="4"/>
  <c r="Y565" i="4"/>
  <c r="Y562" i="4"/>
  <c r="Y559" i="4"/>
  <c r="Y556" i="4"/>
  <c r="Y553" i="4"/>
  <c r="Y550" i="4"/>
  <c r="Y547" i="4"/>
  <c r="Y544" i="4"/>
  <c r="Y541" i="4"/>
  <c r="Y538" i="4"/>
  <c r="Y534" i="4"/>
  <c r="Y530" i="4"/>
  <c r="Y527" i="4"/>
  <c r="Y524" i="4"/>
  <c r="Y519" i="4"/>
  <c r="Y516" i="4"/>
  <c r="Y513" i="4"/>
  <c r="Y509" i="4"/>
  <c r="Y506" i="4"/>
  <c r="Y503" i="4"/>
  <c r="Y499" i="4"/>
  <c r="Y496" i="4"/>
  <c r="Y493" i="4"/>
  <c r="Y490" i="4"/>
  <c r="Y487" i="4"/>
  <c r="Y484" i="4"/>
  <c r="Y481" i="4"/>
  <c r="Y477" i="4"/>
  <c r="Y474" i="4"/>
  <c r="Y471" i="4"/>
  <c r="Y468" i="4"/>
  <c r="Y465" i="4"/>
  <c r="Y459" i="4"/>
  <c r="Y454" i="4"/>
  <c r="Y451" i="4"/>
  <c r="Y448" i="4"/>
  <c r="Y445" i="4"/>
  <c r="Y442" i="4"/>
  <c r="Y439" i="4"/>
  <c r="Y436" i="4"/>
  <c r="Y431" i="4"/>
  <c r="Y427" i="4"/>
  <c r="Y424" i="4"/>
  <c r="Y421" i="4"/>
  <c r="Y416" i="4"/>
  <c r="Y412" i="4"/>
  <c r="Y409" i="4"/>
  <c r="Y405" i="4"/>
  <c r="Y402" i="4"/>
  <c r="Y397" i="4"/>
  <c r="Y394" i="4"/>
  <c r="Y391" i="4"/>
  <c r="Y388" i="4"/>
  <c r="Y385" i="4"/>
  <c r="Y382" i="4"/>
  <c r="Y379" i="4"/>
  <c r="Y376" i="4"/>
  <c r="Y372" i="4"/>
  <c r="Y369" i="4"/>
  <c r="Y364" i="4"/>
  <c r="Y361" i="4"/>
  <c r="Y358" i="4"/>
  <c r="Y355" i="4"/>
  <c r="Y351" i="4"/>
  <c r="Y348" i="4"/>
  <c r="Y345" i="4"/>
  <c r="Y342" i="4"/>
  <c r="Y339" i="4"/>
  <c r="Y336" i="4"/>
  <c r="Y333" i="4"/>
  <c r="Y330" i="4"/>
  <c r="Y326" i="4"/>
  <c r="Y321" i="4"/>
  <c r="Y318" i="4"/>
  <c r="Y314" i="4"/>
  <c r="Y310" i="4"/>
  <c r="Y307" i="4"/>
  <c r="Y304" i="4"/>
  <c r="Y300" i="4"/>
  <c r="Y297" i="4"/>
  <c r="Y294" i="4"/>
  <c r="Y291" i="4"/>
  <c r="Y287" i="4"/>
  <c r="Y284" i="4"/>
  <c r="Y281" i="4"/>
  <c r="Y277" i="4"/>
  <c r="Y274" i="4"/>
  <c r="Y271" i="4"/>
  <c r="Y268" i="4"/>
  <c r="Y265" i="4"/>
  <c r="Y261" i="4"/>
  <c r="Y258" i="4"/>
  <c r="Y253" i="4"/>
  <c r="Y250" i="4"/>
  <c r="Y247" i="4"/>
  <c r="Y244" i="4"/>
  <c r="Y239" i="4"/>
  <c r="Y236" i="4"/>
  <c r="Y231" i="4"/>
  <c r="Y228" i="4"/>
  <c r="Y223" i="4"/>
  <c r="Y218" i="4"/>
  <c r="Y215" i="4"/>
  <c r="Y212" i="4"/>
  <c r="Y209" i="4"/>
  <c r="Y205" i="4"/>
  <c r="Y202" i="4"/>
  <c r="Y199" i="4"/>
  <c r="Y196" i="4"/>
  <c r="Y193" i="4"/>
  <c r="Y190" i="4"/>
  <c r="Y187" i="4"/>
  <c r="Y184" i="4"/>
  <c r="Y181" i="4"/>
  <c r="Y177" i="4"/>
  <c r="Y174" i="4"/>
  <c r="Y171" i="4"/>
  <c r="Y167" i="4"/>
  <c r="Y164" i="4"/>
  <c r="Y161" i="4"/>
  <c r="Y156" i="4"/>
  <c r="Y152" i="4"/>
  <c r="Y148" i="4"/>
  <c r="Y145" i="4"/>
  <c r="Y139" i="4"/>
  <c r="Y136" i="4"/>
  <c r="Y132" i="4"/>
  <c r="Y129" i="4"/>
  <c r="Y126" i="4"/>
  <c r="Y123" i="4"/>
  <c r="Y119" i="4"/>
  <c r="Y115" i="4"/>
  <c r="Y112" i="4"/>
  <c r="Y109" i="4"/>
  <c r="Y106" i="4"/>
  <c r="Y102" i="4"/>
  <c r="Y99" i="4"/>
  <c r="Y94" i="4"/>
  <c r="Y88" i="4"/>
  <c r="Y85" i="4"/>
  <c r="Y82" i="4"/>
  <c r="Y79" i="4"/>
  <c r="Y76" i="4"/>
  <c r="Y73" i="4"/>
  <c r="Y70" i="4"/>
  <c r="Y67" i="4"/>
  <c r="Y63" i="4"/>
  <c r="Y59" i="4"/>
  <c r="Y55" i="4"/>
  <c r="Y51" i="4"/>
  <c r="Y48" i="4"/>
  <c r="Y45" i="4"/>
  <c r="Y42" i="4"/>
  <c r="Y39" i="4"/>
  <c r="Y35" i="4"/>
  <c r="Y31" i="4"/>
  <c r="Y28" i="4"/>
  <c r="Y24" i="4"/>
  <c r="Y20" i="4"/>
  <c r="Y15" i="4"/>
  <c r="Y12" i="4"/>
  <c r="Y8" i="4"/>
  <c r="H277" i="4"/>
  <c r="H620" i="4"/>
  <c r="H616" i="4"/>
  <c r="H612" i="4"/>
  <c r="H609" i="4"/>
  <c r="H606" i="4"/>
  <c r="H603" i="4"/>
  <c r="H599" i="4"/>
  <c r="H595" i="4"/>
  <c r="H592" i="4"/>
  <c r="H588" i="4"/>
  <c r="H585" i="4"/>
  <c r="H582" i="4"/>
  <c r="H578" i="4"/>
  <c r="H575" i="4"/>
  <c r="H571" i="4"/>
  <c r="H568" i="4"/>
  <c r="H565" i="4"/>
  <c r="H562" i="4"/>
  <c r="H559" i="4"/>
  <c r="H556" i="4"/>
  <c r="H553" i="4"/>
  <c r="H550" i="4"/>
  <c r="H547" i="4"/>
  <c r="H544" i="4"/>
  <c r="H541" i="4"/>
  <c r="H538" i="4"/>
  <c r="H534" i="4"/>
  <c r="H530" i="4"/>
  <c r="H527" i="4"/>
  <c r="H524" i="4"/>
  <c r="H519" i="4"/>
  <c r="H516" i="4"/>
  <c r="H513" i="4"/>
  <c r="H509" i="4"/>
  <c r="H506" i="4"/>
  <c r="H503" i="4"/>
  <c r="H499" i="4"/>
  <c r="H496" i="4"/>
  <c r="H493" i="4"/>
  <c r="H490" i="4"/>
  <c r="H487" i="4"/>
  <c r="H484" i="4"/>
  <c r="H481" i="4"/>
  <c r="H477" i="4"/>
  <c r="H474" i="4"/>
  <c r="H471" i="4"/>
  <c r="H468" i="4"/>
  <c r="H465" i="4"/>
  <c r="H459" i="4"/>
  <c r="H454" i="4"/>
  <c r="H451" i="4"/>
  <c r="H448" i="4"/>
  <c r="H445" i="4"/>
  <c r="H442" i="4"/>
  <c r="H439" i="4"/>
  <c r="H436" i="4"/>
  <c r="H431" i="4"/>
  <c r="H427" i="4"/>
  <c r="H424" i="4"/>
  <c r="H421" i="4"/>
  <c r="H416" i="4"/>
  <c r="H412" i="4"/>
  <c r="H409" i="4"/>
  <c r="H405" i="4"/>
  <c r="H402" i="4"/>
  <c r="H397" i="4"/>
  <c r="H394" i="4"/>
  <c r="H391" i="4"/>
  <c r="H388" i="4"/>
  <c r="H385" i="4"/>
  <c r="H382" i="4"/>
  <c r="H379" i="4"/>
  <c r="H376" i="4"/>
  <c r="H372" i="4"/>
  <c r="H369" i="4"/>
  <c r="H364" i="4"/>
  <c r="H361" i="4"/>
  <c r="H358" i="4"/>
  <c r="H355" i="4"/>
  <c r="H351" i="4"/>
  <c r="H348" i="4"/>
  <c r="H345" i="4"/>
  <c r="H342" i="4"/>
  <c r="H339" i="4"/>
  <c r="H336" i="4"/>
  <c r="H333" i="4"/>
  <c r="H330" i="4"/>
  <c r="H326" i="4"/>
  <c r="H321" i="4"/>
  <c r="H318" i="4"/>
  <c r="H314" i="4"/>
  <c r="H310" i="4"/>
  <c r="H307" i="4"/>
  <c r="H304" i="4"/>
  <c r="H300" i="4"/>
  <c r="H297" i="4"/>
  <c r="H294" i="4"/>
  <c r="H291" i="4"/>
  <c r="H287" i="4"/>
  <c r="H284" i="4"/>
  <c r="H281" i="4"/>
  <c r="H274" i="4"/>
  <c r="H271" i="4"/>
  <c r="H268" i="4"/>
  <c r="H265" i="4"/>
  <c r="H261" i="4"/>
  <c r="H258" i="4"/>
  <c r="H253" i="4"/>
  <c r="H250" i="4"/>
  <c r="H247" i="4"/>
  <c r="H244" i="4"/>
  <c r="H239" i="4"/>
  <c r="H236" i="4"/>
  <c r="H231" i="4"/>
  <c r="H228" i="4"/>
  <c r="H223" i="4"/>
  <c r="H218" i="4"/>
  <c r="H215" i="4"/>
  <c r="H212" i="4"/>
  <c r="H209" i="4"/>
  <c r="H205" i="4"/>
  <c r="H202" i="4"/>
  <c r="H199" i="4"/>
  <c r="H196" i="4"/>
  <c r="H193" i="4"/>
  <c r="H190" i="4"/>
  <c r="H187" i="4"/>
  <c r="H184" i="4"/>
  <c r="H181" i="4"/>
  <c r="H177" i="4"/>
  <c r="H174" i="4"/>
  <c r="H171" i="4"/>
  <c r="H167" i="4"/>
  <c r="H164" i="4"/>
  <c r="H161" i="4"/>
  <c r="H156" i="4"/>
  <c r="H152" i="4"/>
  <c r="H148" i="4"/>
  <c r="H145" i="4"/>
  <c r="H139" i="4"/>
  <c r="H136" i="4"/>
  <c r="H132" i="4"/>
  <c r="H129" i="4"/>
  <c r="H126" i="4"/>
  <c r="H123" i="4"/>
  <c r="H119" i="4"/>
  <c r="H115" i="4"/>
  <c r="H112" i="4"/>
  <c r="H109" i="4"/>
  <c r="H106" i="4"/>
  <c r="H102" i="4"/>
  <c r="H99" i="4"/>
  <c r="H94" i="4"/>
  <c r="H88" i="4"/>
  <c r="H85" i="4"/>
  <c r="H82" i="4"/>
  <c r="H79" i="4"/>
  <c r="H76" i="4"/>
  <c r="H73" i="4"/>
  <c r="H70" i="4"/>
  <c r="H67" i="4"/>
  <c r="H63" i="4"/>
  <c r="H59" i="4"/>
  <c r="H55" i="4"/>
  <c r="H51" i="4"/>
  <c r="H48" i="4"/>
  <c r="H45" i="4"/>
  <c r="H42" i="4"/>
  <c r="H39" i="4"/>
  <c r="H35" i="4"/>
  <c r="H31" i="4"/>
  <c r="H28" i="4"/>
  <c r="H24" i="4"/>
  <c r="H20" i="4"/>
  <c r="H15" i="4"/>
  <c r="H12" i="4"/>
  <c r="H8" i="4"/>
  <c r="I620" i="4"/>
  <c r="I616" i="4"/>
  <c r="I612" i="4"/>
  <c r="I609" i="4"/>
  <c r="I606" i="4"/>
  <c r="I603" i="4"/>
  <c r="I599" i="4"/>
  <c r="I595" i="4"/>
  <c r="I592" i="4"/>
  <c r="I588" i="4"/>
  <c r="I585" i="4"/>
  <c r="I582" i="4"/>
  <c r="I578" i="4"/>
  <c r="I575" i="4"/>
  <c r="I571" i="4"/>
  <c r="I568" i="4"/>
  <c r="I565" i="4"/>
  <c r="I562" i="4"/>
  <c r="I559" i="4"/>
  <c r="I556" i="4"/>
  <c r="I553" i="4"/>
  <c r="I550" i="4"/>
  <c r="I547" i="4"/>
  <c r="I544" i="4"/>
  <c r="I541" i="4"/>
  <c r="I538" i="4"/>
  <c r="I534" i="4"/>
  <c r="I530" i="4"/>
  <c r="I527" i="4"/>
  <c r="I524" i="4"/>
  <c r="I519" i="4"/>
  <c r="I516" i="4"/>
  <c r="I513" i="4"/>
  <c r="I509" i="4"/>
  <c r="I506" i="4"/>
  <c r="I503" i="4"/>
  <c r="I499" i="4"/>
  <c r="I496" i="4"/>
  <c r="I493" i="4"/>
  <c r="I490" i="4"/>
  <c r="I487" i="4"/>
  <c r="I484" i="4"/>
  <c r="I481" i="4"/>
  <c r="I477" i="4"/>
  <c r="I474" i="4"/>
  <c r="I471" i="4"/>
  <c r="I468" i="4"/>
  <c r="I465" i="4"/>
  <c r="I459" i="4"/>
  <c r="I454" i="4"/>
  <c r="I451" i="4"/>
  <c r="I448" i="4"/>
  <c r="I445" i="4"/>
  <c r="I442" i="4"/>
  <c r="I439" i="4"/>
  <c r="I436" i="4"/>
  <c r="I431" i="4"/>
  <c r="I427" i="4"/>
  <c r="I424" i="4"/>
  <c r="I421" i="4"/>
  <c r="I416" i="4"/>
  <c r="I412" i="4"/>
  <c r="I409" i="4"/>
  <c r="I405" i="4"/>
  <c r="I402" i="4"/>
  <c r="I397" i="4"/>
  <c r="I394" i="4"/>
  <c r="I391" i="4"/>
  <c r="I388" i="4"/>
  <c r="I385" i="4"/>
  <c r="I382" i="4"/>
  <c r="I379" i="4"/>
  <c r="I376" i="4"/>
  <c r="I372" i="4"/>
  <c r="I369" i="4"/>
  <c r="I364" i="4"/>
  <c r="I361" i="4"/>
  <c r="I358" i="4"/>
  <c r="I355" i="4"/>
  <c r="I351" i="4"/>
  <c r="I348" i="4"/>
  <c r="I345" i="4"/>
  <c r="I342" i="4"/>
  <c r="I339" i="4"/>
  <c r="I336" i="4"/>
  <c r="I333" i="4"/>
  <c r="I330" i="4"/>
  <c r="I326" i="4"/>
  <c r="I321" i="4"/>
  <c r="I318" i="4"/>
  <c r="I314" i="4"/>
  <c r="I310" i="4"/>
  <c r="I307" i="4"/>
  <c r="I304" i="4"/>
  <c r="I300" i="4"/>
  <c r="I297" i="4"/>
  <c r="I294" i="4"/>
  <c r="I291" i="4"/>
  <c r="I287" i="4"/>
  <c r="I284" i="4"/>
  <c r="I281" i="4"/>
  <c r="I277" i="4"/>
  <c r="I274" i="4"/>
  <c r="I271" i="4"/>
  <c r="I268" i="4"/>
  <c r="I265" i="4"/>
  <c r="I261" i="4"/>
  <c r="I258" i="4"/>
  <c r="I253" i="4"/>
  <c r="I250" i="4"/>
  <c r="I247" i="4"/>
  <c r="I244" i="4"/>
  <c r="I239" i="4"/>
  <c r="I236" i="4"/>
  <c r="I231" i="4"/>
  <c r="I228" i="4"/>
  <c r="I223" i="4"/>
  <c r="I218" i="4"/>
  <c r="I215" i="4"/>
  <c r="I212" i="4"/>
  <c r="I209" i="4"/>
  <c r="I205" i="4"/>
  <c r="I202" i="4"/>
  <c r="I199" i="4"/>
  <c r="I196" i="4"/>
  <c r="I193" i="4"/>
  <c r="I190" i="4"/>
  <c r="I187" i="4"/>
  <c r="I184" i="4"/>
  <c r="I181" i="4"/>
  <c r="I177" i="4"/>
  <c r="I174" i="4"/>
  <c r="I171" i="4"/>
  <c r="I167" i="4"/>
  <c r="I164" i="4"/>
  <c r="I161" i="4"/>
  <c r="I156" i="4"/>
  <c r="I152" i="4"/>
  <c r="I148" i="4"/>
  <c r="I145" i="4"/>
  <c r="I139" i="4"/>
  <c r="I136" i="4"/>
  <c r="I132" i="4"/>
  <c r="I129" i="4"/>
  <c r="I126" i="4"/>
  <c r="I123" i="4"/>
  <c r="I119" i="4"/>
  <c r="I115" i="4"/>
  <c r="I112" i="4"/>
  <c r="I109" i="4"/>
  <c r="I106" i="4"/>
  <c r="I102" i="4"/>
  <c r="I99" i="4"/>
  <c r="I94" i="4"/>
  <c r="I88" i="4"/>
  <c r="I85" i="4"/>
  <c r="I82" i="4"/>
  <c r="I79" i="4"/>
  <c r="I76" i="4"/>
  <c r="I73" i="4"/>
  <c r="I70" i="4"/>
  <c r="I67" i="4"/>
  <c r="I63" i="4"/>
  <c r="I59" i="4"/>
  <c r="I55" i="4"/>
  <c r="I51" i="4"/>
  <c r="I48" i="4"/>
  <c r="I45" i="4"/>
  <c r="I42" i="4"/>
  <c r="I39" i="4"/>
  <c r="I35" i="4"/>
  <c r="I31" i="4"/>
  <c r="I28" i="4"/>
  <c r="I24" i="4"/>
  <c r="I20" i="4"/>
  <c r="I15" i="4"/>
  <c r="I12" i="4"/>
  <c r="I8" i="4"/>
  <c r="J620" i="4"/>
  <c r="J616" i="4"/>
  <c r="J612" i="4"/>
  <c r="J609" i="4"/>
  <c r="J606" i="4"/>
  <c r="J603" i="4"/>
  <c r="J599" i="4"/>
  <c r="J595" i="4"/>
  <c r="J592" i="4"/>
  <c r="J588" i="4"/>
  <c r="J585" i="4"/>
  <c r="J582" i="4"/>
  <c r="J578" i="4"/>
  <c r="J575" i="4"/>
  <c r="J571" i="4"/>
  <c r="J568" i="4"/>
  <c r="J565" i="4"/>
  <c r="J562" i="4"/>
  <c r="J559" i="4"/>
  <c r="J556" i="4"/>
  <c r="J553" i="4"/>
  <c r="J550" i="4"/>
  <c r="J547" i="4"/>
  <c r="J544" i="4"/>
  <c r="J541" i="4"/>
  <c r="J538" i="4"/>
  <c r="J534" i="4"/>
  <c r="J530" i="4"/>
  <c r="J527" i="4"/>
  <c r="J524" i="4"/>
  <c r="J519" i="4"/>
  <c r="J516" i="4"/>
  <c r="J513" i="4"/>
  <c r="J509" i="4"/>
  <c r="J506" i="4"/>
  <c r="J503" i="4"/>
  <c r="J499" i="4"/>
  <c r="J496" i="4"/>
  <c r="J493" i="4"/>
  <c r="J490" i="4"/>
  <c r="J487" i="4"/>
  <c r="J484" i="4"/>
  <c r="J481" i="4"/>
  <c r="J477" i="4"/>
  <c r="J474" i="4"/>
  <c r="J471" i="4"/>
  <c r="J468" i="4"/>
  <c r="J465" i="4"/>
  <c r="J459" i="4"/>
  <c r="J454" i="4"/>
  <c r="J451" i="4"/>
  <c r="J448" i="4"/>
  <c r="J445" i="4"/>
  <c r="J442" i="4"/>
  <c r="J439" i="4"/>
  <c r="J436" i="4"/>
  <c r="J431" i="4"/>
  <c r="J427" i="4"/>
  <c r="J424" i="4"/>
  <c r="J421" i="4"/>
  <c r="J416" i="4"/>
  <c r="J412" i="4"/>
  <c r="J409" i="4"/>
  <c r="J405" i="4"/>
  <c r="J402" i="4"/>
  <c r="J397" i="4"/>
  <c r="J394" i="4"/>
  <c r="J391" i="4"/>
  <c r="J388" i="4"/>
  <c r="J385" i="4"/>
  <c r="J382" i="4"/>
  <c r="J379" i="4"/>
  <c r="J376" i="4"/>
  <c r="J372" i="4"/>
  <c r="J369" i="4"/>
  <c r="J364" i="4"/>
  <c r="J361" i="4"/>
  <c r="J358" i="4"/>
  <c r="J355" i="4"/>
  <c r="J351" i="4"/>
  <c r="J348" i="4"/>
  <c r="J345" i="4"/>
  <c r="J342" i="4"/>
  <c r="J339" i="4"/>
  <c r="J336" i="4"/>
  <c r="J333" i="4"/>
  <c r="J330" i="4"/>
  <c r="J326" i="4"/>
  <c r="J321" i="4"/>
  <c r="J318" i="4"/>
  <c r="J314" i="4"/>
  <c r="J310" i="4"/>
  <c r="J307" i="4"/>
  <c r="J304" i="4"/>
  <c r="J300" i="4"/>
  <c r="J297" i="4"/>
  <c r="J294" i="4"/>
  <c r="J291" i="4"/>
  <c r="J287" i="4"/>
  <c r="J284" i="4"/>
  <c r="J281" i="4"/>
  <c r="J277" i="4"/>
  <c r="J274" i="4"/>
  <c r="J271" i="4"/>
  <c r="J268" i="4"/>
  <c r="J265" i="4"/>
  <c r="J261" i="4"/>
  <c r="J258" i="4"/>
  <c r="J253" i="4"/>
  <c r="J250" i="4"/>
  <c r="J247" i="4"/>
  <c r="J244" i="4"/>
  <c r="J239" i="4"/>
  <c r="J236" i="4"/>
  <c r="J231" i="4"/>
  <c r="J228" i="4"/>
  <c r="J223" i="4"/>
  <c r="J218" i="4"/>
  <c r="J215" i="4"/>
  <c r="J212" i="4"/>
  <c r="J209" i="4"/>
  <c r="J205" i="4"/>
  <c r="J202" i="4"/>
  <c r="J199" i="4"/>
  <c r="J196" i="4"/>
  <c r="J193" i="4"/>
  <c r="J190" i="4"/>
  <c r="J187" i="4"/>
  <c r="J184" i="4"/>
  <c r="J181" i="4"/>
  <c r="J177" i="4"/>
  <c r="J174" i="4"/>
  <c r="J171" i="4"/>
  <c r="J167" i="4"/>
  <c r="J164" i="4"/>
  <c r="J161" i="4"/>
  <c r="J156" i="4"/>
  <c r="J152" i="4"/>
  <c r="J148" i="4"/>
  <c r="J145" i="4"/>
  <c r="J139" i="4"/>
  <c r="J136" i="4"/>
  <c r="J132" i="4"/>
  <c r="J129" i="4"/>
  <c r="J126" i="4"/>
  <c r="J123" i="4"/>
  <c r="J119" i="4"/>
  <c r="J115" i="4"/>
  <c r="J112" i="4"/>
  <c r="J109" i="4"/>
  <c r="J106" i="4"/>
  <c r="J102" i="4"/>
  <c r="J99" i="4"/>
  <c r="J94" i="4"/>
  <c r="J88" i="4"/>
  <c r="J85" i="4"/>
  <c r="J82" i="4"/>
  <c r="J79" i="4"/>
  <c r="J76" i="4"/>
  <c r="J73" i="4"/>
  <c r="J70" i="4"/>
  <c r="J67" i="4"/>
  <c r="J63" i="4"/>
  <c r="J59" i="4"/>
  <c r="J55" i="4"/>
  <c r="J51" i="4"/>
  <c r="J48" i="4"/>
  <c r="J45" i="4"/>
  <c r="J42" i="4"/>
  <c r="J39" i="4"/>
  <c r="J35" i="4"/>
  <c r="J31" i="4"/>
  <c r="J28" i="4"/>
  <c r="J24" i="4"/>
  <c r="J20" i="4"/>
  <c r="J15" i="4"/>
  <c r="J12" i="4"/>
  <c r="J8" i="4"/>
  <c r="L620" i="4"/>
  <c r="L616" i="4"/>
  <c r="L612" i="4"/>
  <c r="L609" i="4"/>
  <c r="L606" i="4"/>
  <c r="L603" i="4"/>
  <c r="L599" i="4"/>
  <c r="L595" i="4"/>
  <c r="L592" i="4"/>
  <c r="L588" i="4"/>
  <c r="L585" i="4"/>
  <c r="L582" i="4"/>
  <c r="L578" i="4"/>
  <c r="L575" i="4"/>
  <c r="L571" i="4"/>
  <c r="L568" i="4"/>
  <c r="L565" i="4"/>
  <c r="L562" i="4"/>
  <c r="L559" i="4"/>
  <c r="L556" i="4"/>
  <c r="L553" i="4"/>
  <c r="L550" i="4"/>
  <c r="L547" i="4"/>
  <c r="L544" i="4"/>
  <c r="L541" i="4"/>
  <c r="L538" i="4"/>
  <c r="L534" i="4"/>
  <c r="L530" i="4"/>
  <c r="L527" i="4"/>
  <c r="L524" i="4"/>
  <c r="L519" i="4"/>
  <c r="L516" i="4"/>
  <c r="L513" i="4"/>
  <c r="L509" i="4"/>
  <c r="L506" i="4"/>
  <c r="L503" i="4"/>
  <c r="L499" i="4"/>
  <c r="L496" i="4"/>
  <c r="L493" i="4"/>
  <c r="L490" i="4"/>
  <c r="L487" i="4"/>
  <c r="L484" i="4"/>
  <c r="L481" i="4"/>
  <c r="L477" i="4"/>
  <c r="L474" i="4"/>
  <c r="L471" i="4"/>
  <c r="L468" i="4"/>
  <c r="L465" i="4"/>
  <c r="L459" i="4"/>
  <c r="L454" i="4"/>
  <c r="L451" i="4"/>
  <c r="L448" i="4"/>
  <c r="L445" i="4"/>
  <c r="L442" i="4"/>
  <c r="L439" i="4"/>
  <c r="L436" i="4"/>
  <c r="L431" i="4"/>
  <c r="L427" i="4"/>
  <c r="L424" i="4"/>
  <c r="L421" i="4"/>
  <c r="L416" i="4"/>
  <c r="L412" i="4"/>
  <c r="L409" i="4"/>
  <c r="L405" i="4"/>
  <c r="L402" i="4"/>
  <c r="L397" i="4"/>
  <c r="L394" i="4"/>
  <c r="L391" i="4"/>
  <c r="L388" i="4"/>
  <c r="L385" i="4"/>
  <c r="L382" i="4"/>
  <c r="L379" i="4"/>
  <c r="L376" i="4"/>
  <c r="L372" i="4"/>
  <c r="L369" i="4"/>
  <c r="L364" i="4"/>
  <c r="L361" i="4"/>
  <c r="L358" i="4"/>
  <c r="L355" i="4"/>
  <c r="L351" i="4"/>
  <c r="L348" i="4"/>
  <c r="L345" i="4"/>
  <c r="L342" i="4"/>
  <c r="L339" i="4"/>
  <c r="L336" i="4"/>
  <c r="L333" i="4"/>
  <c r="L330" i="4"/>
  <c r="L326" i="4"/>
  <c r="L321" i="4"/>
  <c r="L318" i="4"/>
  <c r="L314" i="4"/>
  <c r="L310" i="4"/>
  <c r="L307" i="4"/>
  <c r="L304" i="4"/>
  <c r="L300" i="4"/>
  <c r="L297" i="4"/>
  <c r="L294" i="4"/>
  <c r="L291" i="4"/>
  <c r="L287" i="4"/>
  <c r="L284" i="4"/>
  <c r="L281" i="4"/>
  <c r="L277" i="4"/>
  <c r="L274" i="4"/>
  <c r="L271" i="4"/>
  <c r="L268" i="4"/>
  <c r="L265" i="4"/>
  <c r="L261" i="4"/>
  <c r="L258" i="4"/>
  <c r="L253" i="4"/>
  <c r="L250" i="4"/>
  <c r="L247" i="4"/>
  <c r="L244" i="4"/>
  <c r="L239" i="4"/>
  <c r="L236" i="4"/>
  <c r="L231" i="4"/>
  <c r="L228" i="4"/>
  <c r="L223" i="4"/>
  <c r="L218" i="4"/>
  <c r="L215" i="4"/>
  <c r="L212" i="4"/>
  <c r="L209" i="4"/>
  <c r="L205" i="4"/>
  <c r="L202" i="4"/>
  <c r="L199" i="4"/>
  <c r="L196" i="4"/>
  <c r="L193" i="4"/>
  <c r="L190" i="4"/>
  <c r="L187" i="4"/>
  <c r="L184" i="4"/>
  <c r="L181" i="4"/>
  <c r="L177" i="4"/>
  <c r="L174" i="4"/>
  <c r="L171" i="4"/>
  <c r="L167" i="4"/>
  <c r="L164" i="4"/>
  <c r="L161" i="4"/>
  <c r="L156" i="4"/>
  <c r="L152" i="4"/>
  <c r="L148" i="4"/>
  <c r="L145" i="4"/>
  <c r="L139" i="4"/>
  <c r="L136" i="4"/>
  <c r="L132" i="4"/>
  <c r="L129" i="4"/>
  <c r="L126" i="4"/>
  <c r="L123" i="4"/>
  <c r="L119" i="4"/>
  <c r="L115" i="4"/>
  <c r="L112" i="4"/>
  <c r="L109" i="4"/>
  <c r="L106" i="4"/>
  <c r="L102" i="4"/>
  <c r="L99" i="4"/>
  <c r="L94" i="4"/>
  <c r="L88" i="4"/>
  <c r="L85" i="4"/>
  <c r="L82" i="4"/>
  <c r="L79" i="4"/>
  <c r="L76" i="4"/>
  <c r="L73" i="4"/>
  <c r="L70" i="4"/>
  <c r="L67" i="4"/>
  <c r="L63" i="4"/>
  <c r="L59" i="4"/>
  <c r="L55" i="4"/>
  <c r="L51" i="4"/>
  <c r="L48" i="4"/>
  <c r="L45" i="4"/>
  <c r="L42" i="4"/>
  <c r="L39" i="4"/>
  <c r="L35" i="4"/>
  <c r="L31" i="4"/>
  <c r="L28" i="4"/>
  <c r="L24" i="4"/>
  <c r="L20" i="4"/>
  <c r="L15" i="4"/>
  <c r="L12" i="4"/>
  <c r="L8" i="4"/>
  <c r="N620" i="4"/>
  <c r="N616" i="4"/>
  <c r="N612" i="4"/>
  <c r="N609" i="4"/>
  <c r="N606" i="4"/>
  <c r="N603" i="4"/>
  <c r="N599" i="4"/>
  <c r="N595" i="4"/>
  <c r="N592" i="4"/>
  <c r="N588" i="4"/>
  <c r="N585" i="4"/>
  <c r="N582" i="4"/>
  <c r="N578" i="4"/>
  <c r="N575" i="4"/>
  <c r="N571" i="4"/>
  <c r="N568" i="4"/>
  <c r="N565" i="4"/>
  <c r="N562" i="4"/>
  <c r="N559" i="4"/>
  <c r="N556" i="4"/>
  <c r="N553" i="4"/>
  <c r="N550" i="4"/>
  <c r="N547" i="4"/>
  <c r="N544" i="4"/>
  <c r="N541" i="4"/>
  <c r="N538" i="4"/>
  <c r="N534" i="4"/>
  <c r="N530" i="4"/>
  <c r="N527" i="4"/>
  <c r="N524" i="4"/>
  <c r="N519" i="4"/>
  <c r="N516" i="4"/>
  <c r="N513" i="4"/>
  <c r="N509" i="4"/>
  <c r="N506" i="4"/>
  <c r="N503" i="4"/>
  <c r="N499" i="4"/>
  <c r="N496" i="4"/>
  <c r="N493" i="4"/>
  <c r="N490" i="4"/>
  <c r="N487" i="4"/>
  <c r="N484" i="4"/>
  <c r="N481" i="4"/>
  <c r="N477" i="4"/>
  <c r="N474" i="4"/>
  <c r="N471" i="4"/>
  <c r="N468" i="4"/>
  <c r="N465" i="4"/>
  <c r="N459" i="4"/>
  <c r="N454" i="4"/>
  <c r="N451" i="4"/>
  <c r="N448" i="4"/>
  <c r="N445" i="4"/>
  <c r="N442" i="4"/>
  <c r="N439" i="4"/>
  <c r="N436" i="4"/>
  <c r="N431" i="4"/>
  <c r="N427" i="4"/>
  <c r="N424" i="4"/>
  <c r="N421" i="4"/>
  <c r="N416" i="4"/>
  <c r="N412" i="4"/>
  <c r="N409" i="4"/>
  <c r="N405" i="4"/>
  <c r="N402" i="4"/>
  <c r="N397" i="4"/>
  <c r="N394" i="4"/>
  <c r="N391" i="4"/>
  <c r="N388" i="4"/>
  <c r="N385" i="4"/>
  <c r="N382" i="4"/>
  <c r="N379" i="4"/>
  <c r="N376" i="4"/>
  <c r="N372" i="4"/>
  <c r="N369" i="4"/>
  <c r="N364" i="4"/>
  <c r="N361" i="4"/>
  <c r="N358" i="4"/>
  <c r="N355" i="4"/>
  <c r="N351" i="4"/>
  <c r="N348" i="4"/>
  <c r="N345" i="4"/>
  <c r="N342" i="4"/>
  <c r="N339" i="4"/>
  <c r="N336" i="4"/>
  <c r="N333" i="4"/>
  <c r="N330" i="4"/>
  <c r="N326" i="4"/>
  <c r="N321" i="4"/>
  <c r="N318" i="4"/>
  <c r="N314" i="4"/>
  <c r="N310" i="4"/>
  <c r="N307" i="4"/>
  <c r="N304" i="4"/>
  <c r="N300" i="4"/>
  <c r="N297" i="4"/>
  <c r="N294" i="4"/>
  <c r="N291" i="4"/>
  <c r="N287" i="4"/>
  <c r="N284" i="4"/>
  <c r="N281" i="4"/>
  <c r="N277" i="4"/>
  <c r="N274" i="4"/>
  <c r="N271" i="4"/>
  <c r="N268" i="4"/>
  <c r="N265" i="4"/>
  <c r="N261" i="4"/>
  <c r="N258" i="4"/>
  <c r="N253" i="4"/>
  <c r="N250" i="4"/>
  <c r="N247" i="4"/>
  <c r="N244" i="4"/>
  <c r="N239" i="4"/>
  <c r="N236" i="4"/>
  <c r="N231" i="4"/>
  <c r="N228" i="4"/>
  <c r="N223" i="4"/>
  <c r="N218" i="4"/>
  <c r="N215" i="4"/>
  <c r="N212" i="4"/>
  <c r="N209" i="4"/>
  <c r="N205" i="4"/>
  <c r="N202" i="4"/>
  <c r="N199" i="4"/>
  <c r="N196" i="4"/>
  <c r="N193" i="4"/>
  <c r="N190" i="4"/>
  <c r="N187" i="4"/>
  <c r="N184" i="4"/>
  <c r="N181" i="4"/>
  <c r="N177" i="4"/>
  <c r="N174" i="4"/>
  <c r="N171" i="4"/>
  <c r="N167" i="4"/>
  <c r="N164" i="4"/>
  <c r="N161" i="4"/>
  <c r="N156" i="4"/>
  <c r="N152" i="4"/>
  <c r="N148" i="4"/>
  <c r="N145" i="4"/>
  <c r="N139" i="4"/>
  <c r="N136" i="4"/>
  <c r="N132" i="4"/>
  <c r="N129" i="4"/>
  <c r="N126" i="4"/>
  <c r="N123" i="4"/>
  <c r="N119" i="4"/>
  <c r="N115" i="4"/>
  <c r="N112" i="4"/>
  <c r="N109" i="4"/>
  <c r="N106" i="4"/>
  <c r="N102" i="4"/>
  <c r="N99" i="4"/>
  <c r="N94" i="4"/>
  <c r="N88" i="4"/>
  <c r="N85" i="4"/>
  <c r="N82" i="4"/>
  <c r="N79" i="4"/>
  <c r="N76" i="4"/>
  <c r="N73" i="4"/>
  <c r="N70" i="4"/>
  <c r="N67" i="4"/>
  <c r="N63" i="4"/>
  <c r="N59" i="4"/>
  <c r="N55" i="4"/>
  <c r="N51" i="4"/>
  <c r="N48" i="4"/>
  <c r="N45" i="4"/>
  <c r="N42" i="4"/>
  <c r="N39" i="4"/>
  <c r="N35" i="4"/>
  <c r="N31" i="4"/>
  <c r="N28" i="4"/>
  <c r="N24" i="4"/>
  <c r="N20" i="4"/>
  <c r="N15" i="4"/>
  <c r="N12" i="4"/>
  <c r="N8" i="4"/>
  <c r="O620" i="4"/>
  <c r="O616" i="4"/>
  <c r="O612" i="4"/>
  <c r="O609" i="4"/>
  <c r="O606" i="4"/>
  <c r="O603" i="4"/>
  <c r="O599" i="4"/>
  <c r="O595" i="4"/>
  <c r="O592" i="4"/>
  <c r="O588" i="4"/>
  <c r="O585" i="4"/>
  <c r="O582" i="4"/>
  <c r="O578" i="4"/>
  <c r="O575" i="4"/>
  <c r="O571" i="4"/>
  <c r="O568" i="4"/>
  <c r="O565" i="4"/>
  <c r="O562" i="4"/>
  <c r="O559" i="4"/>
  <c r="O556" i="4"/>
  <c r="O553" i="4"/>
  <c r="O550" i="4"/>
  <c r="O547" i="4"/>
  <c r="O544" i="4"/>
  <c r="O541" i="4"/>
  <c r="O538" i="4"/>
  <c r="O534" i="4"/>
  <c r="O530" i="4"/>
  <c r="O527" i="4"/>
  <c r="O524" i="4"/>
  <c r="O519" i="4"/>
  <c r="O516" i="4"/>
  <c r="O513" i="4"/>
  <c r="O506" i="4"/>
  <c r="O503" i="4"/>
  <c r="O499" i="4"/>
  <c r="O496" i="4"/>
  <c r="O493" i="4"/>
  <c r="O490" i="4"/>
  <c r="O487" i="4"/>
  <c r="O484" i="4"/>
  <c r="O481" i="4"/>
  <c r="O477" i="4"/>
  <c r="O474" i="4"/>
  <c r="O471" i="4"/>
  <c r="O468" i="4"/>
  <c r="O465" i="4"/>
  <c r="O459" i="4"/>
  <c r="O454" i="4"/>
  <c r="O451" i="4"/>
  <c r="O448" i="4"/>
  <c r="O445" i="4"/>
  <c r="O442" i="4"/>
  <c r="O439" i="4"/>
  <c r="O436" i="4"/>
  <c r="O431" i="4"/>
  <c r="O427" i="4"/>
  <c r="O424" i="4"/>
  <c r="O421" i="4"/>
  <c r="O416" i="4"/>
  <c r="O412" i="4"/>
  <c r="O409" i="4"/>
  <c r="O405" i="4"/>
  <c r="O402" i="4"/>
  <c r="O397" i="4"/>
  <c r="O394" i="4"/>
  <c r="O391" i="4"/>
  <c r="O388" i="4"/>
  <c r="O385" i="4"/>
  <c r="O382" i="4"/>
  <c r="O379" i="4"/>
  <c r="O376" i="4"/>
  <c r="O372" i="4"/>
  <c r="O369" i="4"/>
  <c r="O364" i="4"/>
  <c r="O361" i="4"/>
  <c r="O358" i="4"/>
  <c r="O355" i="4"/>
  <c r="O351" i="4"/>
  <c r="O348" i="4"/>
  <c r="O345" i="4"/>
  <c r="O342" i="4"/>
  <c r="O339" i="4"/>
  <c r="O336" i="4"/>
  <c r="O333" i="4"/>
  <c r="O330" i="4"/>
  <c r="O326" i="4"/>
  <c r="O321" i="4"/>
  <c r="O318" i="4"/>
  <c r="O314" i="4"/>
  <c r="O310" i="4"/>
  <c r="O307" i="4"/>
  <c r="O304" i="4"/>
  <c r="O300" i="4"/>
  <c r="O297" i="4"/>
  <c r="O294" i="4"/>
  <c r="O291" i="4"/>
  <c r="O287" i="4"/>
  <c r="O284" i="4"/>
  <c r="O281" i="4"/>
  <c r="O277" i="4"/>
  <c r="O274" i="4"/>
  <c r="O271" i="4"/>
  <c r="O268" i="4"/>
  <c r="O265" i="4"/>
  <c r="O261" i="4"/>
  <c r="O258" i="4"/>
  <c r="O253" i="4"/>
  <c r="O250" i="4"/>
  <c r="O247" i="4"/>
  <c r="O244" i="4"/>
  <c r="O239" i="4"/>
  <c r="O236" i="4"/>
  <c r="O231" i="4"/>
  <c r="O228" i="4"/>
  <c r="O223" i="4"/>
  <c r="O218" i="4"/>
  <c r="O215" i="4"/>
  <c r="O212" i="4"/>
  <c r="O209" i="4"/>
  <c r="O205" i="4"/>
  <c r="O202" i="4"/>
  <c r="O199" i="4"/>
  <c r="O196" i="4"/>
  <c r="O193" i="4"/>
  <c r="O190" i="4"/>
  <c r="O187" i="4"/>
  <c r="O184" i="4"/>
  <c r="O181" i="4"/>
  <c r="O177" i="4"/>
  <c r="O174" i="4"/>
  <c r="O171" i="4"/>
  <c r="O167" i="4"/>
  <c r="O164" i="4"/>
  <c r="O161" i="4"/>
  <c r="O156" i="4"/>
  <c r="O152" i="4"/>
  <c r="O148" i="4"/>
  <c r="O145" i="4"/>
  <c r="O139" i="4"/>
  <c r="O136" i="4"/>
  <c r="O132" i="4"/>
  <c r="O129" i="4"/>
  <c r="O126" i="4"/>
  <c r="O123" i="4"/>
  <c r="O119" i="4"/>
  <c r="O115" i="4"/>
  <c r="O112" i="4"/>
  <c r="O109" i="4"/>
  <c r="O106" i="4"/>
  <c r="O102" i="4"/>
  <c r="O99" i="4"/>
  <c r="O94" i="4"/>
  <c r="O88" i="4"/>
  <c r="O85" i="4"/>
  <c r="O82" i="4"/>
  <c r="O79" i="4"/>
  <c r="O76" i="4"/>
  <c r="O73" i="4"/>
  <c r="O70" i="4"/>
  <c r="O67" i="4"/>
  <c r="O63" i="4"/>
  <c r="O59" i="4"/>
  <c r="O55" i="4"/>
  <c r="O51" i="4"/>
  <c r="O48" i="4"/>
  <c r="O45" i="4"/>
  <c r="O42" i="4"/>
  <c r="O39" i="4"/>
  <c r="O35" i="4"/>
  <c r="O31" i="4"/>
  <c r="O28" i="4"/>
  <c r="O24" i="4"/>
  <c r="O20" i="4"/>
  <c r="O15" i="4"/>
  <c r="O12" i="4"/>
  <c r="O8" i="4"/>
  <c r="Q620" i="4"/>
  <c r="Q616" i="4"/>
  <c r="Q612" i="4"/>
  <c r="Q609" i="4"/>
  <c r="Q606" i="4"/>
  <c r="Q603" i="4"/>
  <c r="Q599" i="4"/>
  <c r="Q595" i="4"/>
  <c r="Q592" i="4"/>
  <c r="Q588" i="4"/>
  <c r="Q585" i="4"/>
  <c r="Q582" i="4"/>
  <c r="Q578" i="4"/>
  <c r="Q575" i="4"/>
  <c r="Q571" i="4"/>
  <c r="Q568" i="4"/>
  <c r="Q565" i="4"/>
  <c r="Q562" i="4"/>
  <c r="Q559" i="4"/>
  <c r="Q556" i="4"/>
  <c r="Q553" i="4"/>
  <c r="Q550" i="4"/>
  <c r="Q547" i="4"/>
  <c r="Q544" i="4"/>
  <c r="Q541" i="4"/>
  <c r="Q538" i="4"/>
  <c r="Q534" i="4"/>
  <c r="Q530" i="4"/>
  <c r="Q527" i="4"/>
  <c r="Q524" i="4"/>
  <c r="Q519" i="4"/>
  <c r="Q516" i="4"/>
  <c r="Q513" i="4"/>
  <c r="Q509" i="4"/>
  <c r="AL509" i="4" s="1"/>
  <c r="Q506" i="4"/>
  <c r="Q503" i="4"/>
  <c r="Q499" i="4"/>
  <c r="Q496" i="4"/>
  <c r="Q493" i="4"/>
  <c r="Q490" i="4"/>
  <c r="Q487" i="4"/>
  <c r="Q484" i="4"/>
  <c r="Q481" i="4"/>
  <c r="Q477" i="4"/>
  <c r="Q474" i="4"/>
  <c r="Q471" i="4"/>
  <c r="Q468" i="4"/>
  <c r="Q465" i="4"/>
  <c r="Q459" i="4"/>
  <c r="Q454" i="4"/>
  <c r="Q451" i="4"/>
  <c r="Q448" i="4"/>
  <c r="Q445" i="4"/>
  <c r="Q442" i="4"/>
  <c r="Q439" i="4"/>
  <c r="Q436" i="4"/>
  <c r="Q431" i="4"/>
  <c r="Q427" i="4"/>
  <c r="Q424" i="4"/>
  <c r="Q421" i="4"/>
  <c r="Q416" i="4"/>
  <c r="Q412" i="4"/>
  <c r="Q409" i="4"/>
  <c r="Q405" i="4"/>
  <c r="Q402" i="4"/>
  <c r="Q397" i="4"/>
  <c r="Q394" i="4"/>
  <c r="Q391" i="4"/>
  <c r="Q388" i="4"/>
  <c r="Q385" i="4"/>
  <c r="Q382" i="4"/>
  <c r="Q379" i="4"/>
  <c r="Q376" i="4"/>
  <c r="Q372" i="4"/>
  <c r="Q369" i="4"/>
  <c r="Q364" i="4"/>
  <c r="Q361" i="4"/>
  <c r="Q358" i="4"/>
  <c r="Q355" i="4"/>
  <c r="Q351" i="4"/>
  <c r="Q348" i="4"/>
  <c r="Q345" i="4"/>
  <c r="Q342" i="4"/>
  <c r="Q339" i="4"/>
  <c r="Q336" i="4"/>
  <c r="Q333" i="4"/>
  <c r="Q330" i="4"/>
  <c r="Q326" i="4"/>
  <c r="Q321" i="4"/>
  <c r="Q318" i="4"/>
  <c r="Q314" i="4"/>
  <c r="Q310" i="4"/>
  <c r="Q307" i="4"/>
  <c r="Q304" i="4"/>
  <c r="Q300" i="4"/>
  <c r="Q297" i="4"/>
  <c r="Q294" i="4"/>
  <c r="Q291" i="4"/>
  <c r="Q287" i="4"/>
  <c r="Q284" i="4"/>
  <c r="Q281" i="4"/>
  <c r="Q277" i="4"/>
  <c r="Q274" i="4"/>
  <c r="Q271" i="4"/>
  <c r="Q268" i="4"/>
  <c r="Q265" i="4"/>
  <c r="Q261" i="4"/>
  <c r="Q258" i="4"/>
  <c r="Q253" i="4"/>
  <c r="Q250" i="4"/>
  <c r="Q247" i="4"/>
  <c r="Q244" i="4"/>
  <c r="Q239" i="4"/>
  <c r="Q236" i="4"/>
  <c r="Q231" i="4"/>
  <c r="Q228" i="4"/>
  <c r="Q223" i="4"/>
  <c r="Q218" i="4"/>
  <c r="Q215" i="4"/>
  <c r="Q212" i="4"/>
  <c r="Q209" i="4"/>
  <c r="Q205" i="4"/>
  <c r="Q202" i="4"/>
  <c r="Q199" i="4"/>
  <c r="Q196" i="4"/>
  <c r="Q193" i="4"/>
  <c r="Q190" i="4"/>
  <c r="Q187" i="4"/>
  <c r="Q184" i="4"/>
  <c r="Q181" i="4"/>
  <c r="Q177" i="4"/>
  <c r="Q174" i="4"/>
  <c r="Q171" i="4"/>
  <c r="Q167" i="4"/>
  <c r="Q164" i="4"/>
  <c r="Q161" i="4"/>
  <c r="Q156" i="4"/>
  <c r="Q152" i="4"/>
  <c r="Q148" i="4"/>
  <c r="Q145" i="4"/>
  <c r="Q139" i="4"/>
  <c r="Q136" i="4"/>
  <c r="Q132" i="4"/>
  <c r="Q129" i="4"/>
  <c r="Q126" i="4"/>
  <c r="Q123" i="4"/>
  <c r="Q119" i="4"/>
  <c r="Q115" i="4"/>
  <c r="Q112" i="4"/>
  <c r="Q109" i="4"/>
  <c r="Q106" i="4"/>
  <c r="Q102" i="4"/>
  <c r="Q99" i="4"/>
  <c r="Q94" i="4"/>
  <c r="Q88" i="4"/>
  <c r="Q85" i="4"/>
  <c r="Q82" i="4"/>
  <c r="Q79" i="4"/>
  <c r="Q76" i="4"/>
  <c r="Q73" i="4"/>
  <c r="Q70" i="4"/>
  <c r="Q67" i="4"/>
  <c r="Q63" i="4"/>
  <c r="Q59" i="4"/>
  <c r="Q55" i="4"/>
  <c r="Q51" i="4"/>
  <c r="Q48" i="4"/>
  <c r="Q45" i="4"/>
  <c r="Q42" i="4"/>
  <c r="Q39" i="4"/>
  <c r="Q35" i="4"/>
  <c r="Q31" i="4"/>
  <c r="Q28" i="4"/>
  <c r="Q24" i="4"/>
  <c r="Q20" i="4"/>
  <c r="Q15" i="4"/>
  <c r="Q12" i="4"/>
  <c r="Q8" i="4"/>
  <c r="S620" i="4"/>
  <c r="S616" i="4"/>
  <c r="S612" i="4"/>
  <c r="S609" i="4"/>
  <c r="S606" i="4"/>
  <c r="S603" i="4"/>
  <c r="S599" i="4"/>
  <c r="S595" i="4"/>
  <c r="S592" i="4"/>
  <c r="S588" i="4"/>
  <c r="S585" i="4"/>
  <c r="S582" i="4"/>
  <c r="S578" i="4"/>
  <c r="S575" i="4"/>
  <c r="S571" i="4"/>
  <c r="S568" i="4"/>
  <c r="S565" i="4"/>
  <c r="S562" i="4"/>
  <c r="S559" i="4"/>
  <c r="S556" i="4"/>
  <c r="S553" i="4"/>
  <c r="S550" i="4"/>
  <c r="S547" i="4"/>
  <c r="S541" i="4"/>
  <c r="S538" i="4"/>
  <c r="S534" i="4"/>
  <c r="S530" i="4"/>
  <c r="S527" i="4"/>
  <c r="S524" i="4"/>
  <c r="S519" i="4"/>
  <c r="S516" i="4"/>
  <c r="S513" i="4"/>
  <c r="S506" i="4"/>
  <c r="S503" i="4"/>
  <c r="S499" i="4"/>
  <c r="S493" i="4"/>
  <c r="S490" i="4"/>
  <c r="S487" i="4"/>
  <c r="S484" i="4"/>
  <c r="S481" i="4"/>
  <c r="S477" i="4"/>
  <c r="S474" i="4"/>
  <c r="S471" i="4"/>
  <c r="S468" i="4"/>
  <c r="S465" i="4"/>
  <c r="S459" i="4"/>
  <c r="S454" i="4"/>
  <c r="S451" i="4"/>
  <c r="S448" i="4"/>
  <c r="S445" i="4"/>
  <c r="S442" i="4"/>
  <c r="S439" i="4"/>
  <c r="S436" i="4"/>
  <c r="S431" i="4"/>
  <c r="S427" i="4"/>
  <c r="S424" i="4"/>
  <c r="S421" i="4"/>
  <c r="S416" i="4"/>
  <c r="S412" i="4"/>
  <c r="S409" i="4"/>
  <c r="S405" i="4"/>
  <c r="S402" i="4"/>
  <c r="S397" i="4"/>
  <c r="S394" i="4"/>
  <c r="S391" i="4"/>
  <c r="S388" i="4"/>
  <c r="S385" i="4"/>
  <c r="S382" i="4"/>
  <c r="S379" i="4"/>
  <c r="S376" i="4"/>
  <c r="S372" i="4"/>
  <c r="S369" i="4"/>
  <c r="S364" i="4"/>
  <c r="S361" i="4"/>
  <c r="S358" i="4"/>
  <c r="S355" i="4"/>
  <c r="S351" i="4"/>
  <c r="S348" i="4"/>
  <c r="S345" i="4"/>
  <c r="S342" i="4"/>
  <c r="S339" i="4"/>
  <c r="S336" i="4"/>
  <c r="S333" i="4"/>
  <c r="S330" i="4"/>
  <c r="S326" i="4"/>
  <c r="S321" i="4"/>
  <c r="S318" i="4"/>
  <c r="S314" i="4"/>
  <c r="S310" i="4"/>
  <c r="S307" i="4"/>
  <c r="S304" i="4"/>
  <c r="S300" i="4"/>
  <c r="S297" i="4"/>
  <c r="S294" i="4"/>
  <c r="S291" i="4"/>
  <c r="S287" i="4"/>
  <c r="S284" i="4"/>
  <c r="S281" i="4"/>
  <c r="S277" i="4"/>
  <c r="S274" i="4"/>
  <c r="S271" i="4"/>
  <c r="S268" i="4"/>
  <c r="S265" i="4"/>
  <c r="S261" i="4"/>
  <c r="S258" i="4"/>
  <c r="S253" i="4"/>
  <c r="S250" i="4"/>
  <c r="S247" i="4"/>
  <c r="S244" i="4"/>
  <c r="S239" i="4"/>
  <c r="S236" i="4"/>
  <c r="S231" i="4"/>
  <c r="S228" i="4"/>
  <c r="S223" i="4"/>
  <c r="S218" i="4"/>
  <c r="S215" i="4"/>
  <c r="S212" i="4"/>
  <c r="S209" i="4"/>
  <c r="S205" i="4"/>
  <c r="S202" i="4"/>
  <c r="S199" i="4"/>
  <c r="S196" i="4"/>
  <c r="S193" i="4"/>
  <c r="S190" i="4"/>
  <c r="S187" i="4"/>
  <c r="S184" i="4"/>
  <c r="S181" i="4"/>
  <c r="S177" i="4"/>
  <c r="S174" i="4"/>
  <c r="S171" i="4"/>
  <c r="S167" i="4"/>
  <c r="S164" i="4"/>
  <c r="S161" i="4"/>
  <c r="S156" i="4"/>
  <c r="S152" i="4"/>
  <c r="S148" i="4"/>
  <c r="S145" i="4"/>
  <c r="S139" i="4"/>
  <c r="S136" i="4"/>
  <c r="S132" i="4"/>
  <c r="S129" i="4"/>
  <c r="S126" i="4"/>
  <c r="S123" i="4"/>
  <c r="S119" i="4"/>
  <c r="S115" i="4"/>
  <c r="S112" i="4"/>
  <c r="S109" i="4"/>
  <c r="S106" i="4"/>
  <c r="S102" i="4"/>
  <c r="S99" i="4"/>
  <c r="S94" i="4"/>
  <c r="S88" i="4"/>
  <c r="S85" i="4"/>
  <c r="S82" i="4"/>
  <c r="S79" i="4"/>
  <c r="S76" i="4"/>
  <c r="S73" i="4"/>
  <c r="S70" i="4"/>
  <c r="S67" i="4"/>
  <c r="S63" i="4"/>
  <c r="S59" i="4"/>
  <c r="S55" i="4"/>
  <c r="S51" i="4"/>
  <c r="S48" i="4"/>
  <c r="S45" i="4"/>
  <c r="S42" i="4"/>
  <c r="S39" i="4"/>
  <c r="S35" i="4"/>
  <c r="S31" i="4"/>
  <c r="S28" i="4"/>
  <c r="S24" i="4"/>
  <c r="S20" i="4"/>
  <c r="S15" i="4"/>
  <c r="S12" i="4"/>
  <c r="S8" i="4"/>
  <c r="W620" i="4"/>
  <c r="W616" i="4"/>
  <c r="W612" i="4"/>
  <c r="W609" i="4"/>
  <c r="W606" i="4"/>
  <c r="W603" i="4"/>
  <c r="W599" i="4"/>
  <c r="W595" i="4"/>
  <c r="W592" i="4"/>
  <c r="W588" i="4"/>
  <c r="W585" i="4"/>
  <c r="W582" i="4"/>
  <c r="W578" i="4"/>
  <c r="W575" i="4"/>
  <c r="W571" i="4"/>
  <c r="W568" i="4"/>
  <c r="W565" i="4"/>
  <c r="W562" i="4"/>
  <c r="W559" i="4"/>
  <c r="W556" i="4"/>
  <c r="W553" i="4"/>
  <c r="W550" i="4"/>
  <c r="W547" i="4"/>
  <c r="W541" i="4"/>
  <c r="W538" i="4"/>
  <c r="W534" i="4"/>
  <c r="W530" i="4"/>
  <c r="W527" i="4"/>
  <c r="W524" i="4"/>
  <c r="W519" i="4"/>
  <c r="W516" i="4"/>
  <c r="W513" i="4"/>
  <c r="W509" i="4"/>
  <c r="W506" i="4"/>
  <c r="W503" i="4"/>
  <c r="W499" i="4"/>
  <c r="W493" i="4"/>
  <c r="W490" i="4"/>
  <c r="W487" i="4"/>
  <c r="W484" i="4"/>
  <c r="W481" i="4"/>
  <c r="W477" i="4"/>
  <c r="W474" i="4"/>
  <c r="W471" i="4"/>
  <c r="W468" i="4"/>
  <c r="W465" i="4"/>
  <c r="W459" i="4"/>
  <c r="W454" i="4"/>
  <c r="W451" i="4"/>
  <c r="W448" i="4"/>
  <c r="W445" i="4"/>
  <c r="W442" i="4"/>
  <c r="W439" i="4"/>
  <c r="W436" i="4"/>
  <c r="W431" i="4"/>
  <c r="W427" i="4"/>
  <c r="W424" i="4"/>
  <c r="W421" i="4"/>
  <c r="W416" i="4"/>
  <c r="W412" i="4"/>
  <c r="W409" i="4"/>
  <c r="W405" i="4"/>
  <c r="W402" i="4"/>
  <c r="W397" i="4"/>
  <c r="W394" i="4"/>
  <c r="W391" i="4"/>
  <c r="W388" i="4"/>
  <c r="W385" i="4"/>
  <c r="W379" i="4"/>
  <c r="W376" i="4"/>
  <c r="W372" i="4"/>
  <c r="W369" i="4"/>
  <c r="W364" i="4"/>
  <c r="W361" i="4"/>
  <c r="W358" i="4"/>
  <c r="W355" i="4"/>
  <c r="W351" i="4"/>
  <c r="W348" i="4"/>
  <c r="W345" i="4"/>
  <c r="W342" i="4"/>
  <c r="W339" i="4"/>
  <c r="W336" i="4"/>
  <c r="W333" i="4"/>
  <c r="W330" i="4"/>
  <c r="W326" i="4"/>
  <c r="W321" i="4"/>
  <c r="W318" i="4"/>
  <c r="W314" i="4"/>
  <c r="W310" i="4"/>
  <c r="W307" i="4"/>
  <c r="W304" i="4"/>
  <c r="W300" i="4"/>
  <c r="W297" i="4"/>
  <c r="W294" i="4"/>
  <c r="W291" i="4"/>
  <c r="W287" i="4"/>
  <c r="W284" i="4"/>
  <c r="W281" i="4"/>
  <c r="W277" i="4"/>
  <c r="W274" i="4"/>
  <c r="W271" i="4"/>
  <c r="W268" i="4"/>
  <c r="W265" i="4"/>
  <c r="W261" i="4"/>
  <c r="W258" i="4"/>
  <c r="W253" i="4"/>
  <c r="W250" i="4"/>
  <c r="W247" i="4"/>
  <c r="W244" i="4"/>
  <c r="W239" i="4"/>
  <c r="W236" i="4"/>
  <c r="W231" i="4"/>
  <c r="W228" i="4"/>
  <c r="W223" i="4"/>
  <c r="W218" i="4"/>
  <c r="W215" i="4"/>
  <c r="W212" i="4"/>
  <c r="W209" i="4"/>
  <c r="W205" i="4"/>
  <c r="W202" i="4"/>
  <c r="W199" i="4"/>
  <c r="W196" i="4"/>
  <c r="W193" i="4"/>
  <c r="W190" i="4"/>
  <c r="W187" i="4"/>
  <c r="W184" i="4"/>
  <c r="W181" i="4"/>
  <c r="W177" i="4"/>
  <c r="W174" i="4"/>
  <c r="W171" i="4"/>
  <c r="W167" i="4"/>
  <c r="W164" i="4"/>
  <c r="W161" i="4"/>
  <c r="W156" i="4"/>
  <c r="W152" i="4"/>
  <c r="W145" i="4"/>
  <c r="W139" i="4"/>
  <c r="W136" i="4"/>
  <c r="W132" i="4"/>
  <c r="W129" i="4"/>
  <c r="W126" i="4"/>
  <c r="W123" i="4"/>
  <c r="W119" i="4"/>
  <c r="W115" i="4"/>
  <c r="W112" i="4"/>
  <c r="W109" i="4"/>
  <c r="W106" i="4"/>
  <c r="W102" i="4"/>
  <c r="W99" i="4"/>
  <c r="W94" i="4"/>
  <c r="W88" i="4"/>
  <c r="W85" i="4"/>
  <c r="W82" i="4"/>
  <c r="W79" i="4"/>
  <c r="W76" i="4"/>
  <c r="W73" i="4"/>
  <c r="W70" i="4"/>
  <c r="W67" i="4"/>
  <c r="W63" i="4"/>
  <c r="W59" i="4"/>
  <c r="W55" i="4"/>
  <c r="W51" i="4"/>
  <c r="W48" i="4"/>
  <c r="W45" i="4"/>
  <c r="W42" i="4"/>
  <c r="W39" i="4"/>
  <c r="W35" i="4"/>
  <c r="W31" i="4"/>
  <c r="W28" i="4"/>
  <c r="W24" i="4"/>
  <c r="W20" i="4"/>
  <c r="W15" i="4"/>
  <c r="W12" i="4"/>
  <c r="W8" i="4"/>
  <c r="F619" i="4"/>
  <c r="AL618" i="4"/>
  <c r="AK618" i="4"/>
  <c r="AB618" i="4"/>
  <c r="F618" i="4"/>
  <c r="AL617" i="4"/>
  <c r="AK617" i="4"/>
  <c r="AD617" i="4"/>
  <c r="Z617" i="4"/>
  <c r="X617" i="4"/>
  <c r="V617" i="4"/>
  <c r="T617" i="4"/>
  <c r="R617" i="4"/>
  <c r="P617" i="4"/>
  <c r="M617" i="4"/>
  <c r="AL615" i="4"/>
  <c r="AK615" i="4"/>
  <c r="F615" i="4"/>
  <c r="AL614" i="4"/>
  <c r="AK614" i="4"/>
  <c r="F614" i="4"/>
  <c r="AL613" i="4"/>
  <c r="AK613" i="4"/>
  <c r="AD613" i="4"/>
  <c r="AB613" i="4"/>
  <c r="Z613" i="4"/>
  <c r="X613" i="4"/>
  <c r="V613" i="4"/>
  <c r="T613" i="4"/>
  <c r="R613" i="4"/>
  <c r="P613" i="4"/>
  <c r="M613" i="4"/>
  <c r="AL611" i="4"/>
  <c r="AK611" i="4"/>
  <c r="AB611" i="4"/>
  <c r="F611" i="4"/>
  <c r="AL610" i="4"/>
  <c r="AK610" i="4"/>
  <c r="AF610" i="4"/>
  <c r="AD610" i="4"/>
  <c r="Z610" i="4"/>
  <c r="X610" i="4"/>
  <c r="V610" i="4"/>
  <c r="T610" i="4"/>
  <c r="R610" i="4"/>
  <c r="P610" i="4"/>
  <c r="M610" i="4"/>
  <c r="AL608" i="4"/>
  <c r="AK608" i="4"/>
  <c r="F608" i="4"/>
  <c r="AL607" i="4"/>
  <c r="AK607" i="4"/>
  <c r="AF607" i="4"/>
  <c r="AD607" i="4"/>
  <c r="AB607" i="4"/>
  <c r="Z607" i="4"/>
  <c r="X607" i="4"/>
  <c r="V607" i="4"/>
  <c r="T607" i="4"/>
  <c r="R607" i="4"/>
  <c r="P607" i="4"/>
  <c r="M607" i="4"/>
  <c r="AL605" i="4"/>
  <c r="AK605" i="4"/>
  <c r="AB605" i="4"/>
  <c r="F605" i="4"/>
  <c r="AL604" i="4"/>
  <c r="AK604" i="4"/>
  <c r="AF604" i="4"/>
  <c r="AD604" i="4"/>
  <c r="Z604" i="4"/>
  <c r="X604" i="4"/>
  <c r="V604" i="4"/>
  <c r="T604" i="4"/>
  <c r="R604" i="4"/>
  <c r="P604" i="4"/>
  <c r="M604" i="4"/>
  <c r="AL602" i="4"/>
  <c r="AK602" i="4"/>
  <c r="F602" i="4"/>
  <c r="AD602" i="4" s="1"/>
  <c r="AL601" i="4"/>
  <c r="AK601" i="4"/>
  <c r="AB601" i="4"/>
  <c r="F601" i="4"/>
  <c r="AL600" i="4"/>
  <c r="AK600" i="4"/>
  <c r="AF600" i="4"/>
  <c r="AD600" i="4"/>
  <c r="Z600" i="4"/>
  <c r="X600" i="4"/>
  <c r="V600" i="4"/>
  <c r="T600" i="4"/>
  <c r="R600" i="4"/>
  <c r="P600" i="4"/>
  <c r="M600" i="4"/>
  <c r="AL598" i="4"/>
  <c r="AK598" i="4"/>
  <c r="F598" i="4"/>
  <c r="X598" i="4" s="1"/>
  <c r="AL597" i="4"/>
  <c r="AK597" i="4"/>
  <c r="F597" i="4"/>
  <c r="Z597" i="4" s="1"/>
  <c r="AL596" i="4"/>
  <c r="AK596" i="4"/>
  <c r="AF596" i="4"/>
  <c r="AD596" i="4"/>
  <c r="AB596" i="4"/>
  <c r="Z596" i="4"/>
  <c r="X596" i="4"/>
  <c r="V596" i="4"/>
  <c r="T596" i="4"/>
  <c r="R596" i="4"/>
  <c r="P596" i="4"/>
  <c r="M596" i="4"/>
  <c r="AL594" i="4"/>
  <c r="AK594" i="4"/>
  <c r="F594" i="4"/>
  <c r="AD594" i="4" s="1"/>
  <c r="AL593" i="4"/>
  <c r="AK593" i="4"/>
  <c r="AF593" i="4"/>
  <c r="AD593" i="4"/>
  <c r="AB593" i="4"/>
  <c r="Z593" i="4"/>
  <c r="X593" i="4"/>
  <c r="V593" i="4"/>
  <c r="T593" i="4"/>
  <c r="R593" i="4"/>
  <c r="P593" i="4"/>
  <c r="M593" i="4"/>
  <c r="AL591" i="4"/>
  <c r="AK591" i="4"/>
  <c r="F591" i="4"/>
  <c r="R591" i="4" s="1"/>
  <c r="AL590" i="4"/>
  <c r="AK590" i="4"/>
  <c r="F590" i="4"/>
  <c r="AL589" i="4"/>
  <c r="AK589" i="4"/>
  <c r="AF589" i="4"/>
  <c r="AD589" i="4"/>
  <c r="AB589" i="4"/>
  <c r="Z589" i="4"/>
  <c r="X589" i="4"/>
  <c r="V589" i="4"/>
  <c r="T589" i="4"/>
  <c r="R589" i="4"/>
  <c r="P589" i="4"/>
  <c r="M589" i="4"/>
  <c r="AL587" i="4"/>
  <c r="AK587" i="4"/>
  <c r="F587" i="4"/>
  <c r="F588" i="4" s="1"/>
  <c r="AL586" i="4"/>
  <c r="AK586" i="4"/>
  <c r="AF586" i="4"/>
  <c r="AD586" i="4"/>
  <c r="AB586" i="4"/>
  <c r="Z586" i="4"/>
  <c r="X586" i="4"/>
  <c r="V586" i="4"/>
  <c r="T586" i="4"/>
  <c r="R586" i="4"/>
  <c r="P586" i="4"/>
  <c r="M586" i="4"/>
  <c r="AL584" i="4"/>
  <c r="AK584" i="4"/>
  <c r="AB584" i="4"/>
  <c r="F584" i="4"/>
  <c r="AL583" i="4"/>
  <c r="AK583" i="4"/>
  <c r="AF583" i="4"/>
  <c r="AD583" i="4"/>
  <c r="Z583" i="4"/>
  <c r="X583" i="4"/>
  <c r="V583" i="4"/>
  <c r="T583" i="4"/>
  <c r="R583" i="4"/>
  <c r="P583" i="4"/>
  <c r="M583" i="4"/>
  <c r="AL581" i="4"/>
  <c r="AK581" i="4"/>
  <c r="F581" i="4"/>
  <c r="AL580" i="4"/>
  <c r="AK580" i="4"/>
  <c r="F580" i="4"/>
  <c r="AL579" i="4"/>
  <c r="AK579" i="4"/>
  <c r="AF579" i="4"/>
  <c r="AD579" i="4"/>
  <c r="AB579" i="4"/>
  <c r="Z579" i="4"/>
  <c r="X579" i="4"/>
  <c r="V579" i="4"/>
  <c r="T579" i="4"/>
  <c r="R579" i="4"/>
  <c r="P579" i="4"/>
  <c r="M579" i="4"/>
  <c r="AL577" i="4"/>
  <c r="AK577" i="4"/>
  <c r="AB577" i="4"/>
  <c r="F577" i="4"/>
  <c r="AL576" i="4"/>
  <c r="AK576" i="4"/>
  <c r="AF576" i="4"/>
  <c r="AD576" i="4"/>
  <c r="Z576" i="4"/>
  <c r="X576" i="4"/>
  <c r="V576" i="4"/>
  <c r="T576" i="4"/>
  <c r="R576" i="4"/>
  <c r="P576" i="4"/>
  <c r="M576" i="4"/>
  <c r="AL574" i="4"/>
  <c r="AK574" i="4"/>
  <c r="F574" i="4"/>
  <c r="AD574" i="4" s="1"/>
  <c r="AL573" i="4"/>
  <c r="AK573" i="4"/>
  <c r="F573" i="4"/>
  <c r="P573" i="4" s="1"/>
  <c r="AL572" i="4"/>
  <c r="AK572" i="4"/>
  <c r="AF572" i="4"/>
  <c r="AD572" i="4"/>
  <c r="AB572" i="4"/>
  <c r="Z572" i="4"/>
  <c r="X572" i="4"/>
  <c r="V572" i="4"/>
  <c r="T572" i="4"/>
  <c r="R572" i="4"/>
  <c r="P572" i="4"/>
  <c r="M572" i="4"/>
  <c r="AL570" i="4"/>
  <c r="AK570" i="4"/>
  <c r="F570" i="4"/>
  <c r="AL569" i="4"/>
  <c r="AK569" i="4"/>
  <c r="AF569" i="4"/>
  <c r="AD569" i="4"/>
  <c r="AB569" i="4"/>
  <c r="Z569" i="4"/>
  <c r="X569" i="4"/>
  <c r="V569" i="4"/>
  <c r="T569" i="4"/>
  <c r="R569" i="4"/>
  <c r="P569" i="4"/>
  <c r="M569" i="4"/>
  <c r="AL567" i="4"/>
  <c r="AK567" i="4"/>
  <c r="F567" i="4"/>
  <c r="AL566" i="4"/>
  <c r="AK566" i="4"/>
  <c r="AF566" i="4"/>
  <c r="AD566" i="4"/>
  <c r="AB566" i="4"/>
  <c r="Z566" i="4"/>
  <c r="X566" i="4"/>
  <c r="V566" i="4"/>
  <c r="T566" i="4"/>
  <c r="R566" i="4"/>
  <c r="P566" i="4"/>
  <c r="M566" i="4"/>
  <c r="AL564" i="4"/>
  <c r="AK564" i="4"/>
  <c r="F564" i="4"/>
  <c r="X564" i="4" s="1"/>
  <c r="AL563" i="4"/>
  <c r="AK563" i="4"/>
  <c r="AF563" i="4"/>
  <c r="AD563" i="4"/>
  <c r="AB563" i="4"/>
  <c r="Z563" i="4"/>
  <c r="X563" i="4"/>
  <c r="V563" i="4"/>
  <c r="T563" i="4"/>
  <c r="R563" i="4"/>
  <c r="P563" i="4"/>
  <c r="M563" i="4"/>
  <c r="AL561" i="4"/>
  <c r="AK561" i="4"/>
  <c r="F561" i="4"/>
  <c r="AB561" i="4" s="1"/>
  <c r="AL560" i="4"/>
  <c r="AK560" i="4"/>
  <c r="AF560" i="4"/>
  <c r="AD560" i="4"/>
  <c r="AB560" i="4"/>
  <c r="Z560" i="4"/>
  <c r="X560" i="4"/>
  <c r="V560" i="4"/>
  <c r="T560" i="4"/>
  <c r="R560" i="4"/>
  <c r="P560" i="4"/>
  <c r="M560" i="4"/>
  <c r="AL558" i="4"/>
  <c r="AK558" i="4"/>
  <c r="F558" i="4"/>
  <c r="AD558" i="4" s="1"/>
  <c r="AL557" i="4"/>
  <c r="AK557" i="4"/>
  <c r="AF557" i="4"/>
  <c r="AD557" i="4"/>
  <c r="AB557" i="4"/>
  <c r="Z557" i="4"/>
  <c r="X557" i="4"/>
  <c r="V557" i="4"/>
  <c r="T557" i="4"/>
  <c r="R557" i="4"/>
  <c r="P557" i="4"/>
  <c r="M557" i="4"/>
  <c r="AL555" i="4"/>
  <c r="AK555" i="4"/>
  <c r="F555" i="4"/>
  <c r="F556" i="4" s="1"/>
  <c r="AL554" i="4"/>
  <c r="AK554" i="4"/>
  <c r="AF554" i="4"/>
  <c r="AD554" i="4"/>
  <c r="AB554" i="4"/>
  <c r="Z554" i="4"/>
  <c r="X554" i="4"/>
  <c r="V554" i="4"/>
  <c r="T554" i="4"/>
  <c r="R554" i="4"/>
  <c r="P554" i="4"/>
  <c r="M554" i="4"/>
  <c r="AL552" i="4"/>
  <c r="AK552" i="4"/>
  <c r="F552" i="4"/>
  <c r="V552" i="4" s="1"/>
  <c r="AL551" i="4"/>
  <c r="AK551" i="4"/>
  <c r="AF551" i="4"/>
  <c r="AD551" i="4"/>
  <c r="AB551" i="4"/>
  <c r="Z551" i="4"/>
  <c r="X551" i="4"/>
  <c r="V551" i="4"/>
  <c r="T551" i="4"/>
  <c r="R551" i="4"/>
  <c r="P551" i="4"/>
  <c r="M551" i="4"/>
  <c r="AL549" i="4"/>
  <c r="AK549" i="4"/>
  <c r="F549" i="4"/>
  <c r="V549" i="4" s="1"/>
  <c r="AL548" i="4"/>
  <c r="AK548" i="4"/>
  <c r="AF548" i="4"/>
  <c r="AD548" i="4"/>
  <c r="AB548" i="4"/>
  <c r="Z548" i="4"/>
  <c r="X548" i="4"/>
  <c r="V548" i="4"/>
  <c r="T548" i="4"/>
  <c r="R548" i="4"/>
  <c r="P548" i="4"/>
  <c r="M548" i="4"/>
  <c r="AL546" i="4"/>
  <c r="AK546" i="4"/>
  <c r="F546" i="4"/>
  <c r="AL545" i="4"/>
  <c r="AK545" i="4"/>
  <c r="AF545" i="4"/>
  <c r="AD545" i="4"/>
  <c r="AB545" i="4"/>
  <c r="Z545" i="4"/>
  <c r="X545" i="4"/>
  <c r="V545" i="4"/>
  <c r="T545" i="4"/>
  <c r="R545" i="4"/>
  <c r="P545" i="4"/>
  <c r="M545" i="4"/>
  <c r="AL543" i="4"/>
  <c r="AK543" i="4"/>
  <c r="F543" i="4"/>
  <c r="F544" i="4" s="1"/>
  <c r="AL542" i="4"/>
  <c r="AK542" i="4"/>
  <c r="AF542" i="4"/>
  <c r="AD542" i="4"/>
  <c r="AB542" i="4"/>
  <c r="Z542" i="4"/>
  <c r="X542" i="4"/>
  <c r="V542" i="4"/>
  <c r="T542" i="4"/>
  <c r="R542" i="4"/>
  <c r="P542" i="4"/>
  <c r="M542" i="4"/>
  <c r="AL540" i="4"/>
  <c r="AK540" i="4"/>
  <c r="AB540" i="4"/>
  <c r="F540" i="4"/>
  <c r="AL539" i="4"/>
  <c r="AK539" i="4"/>
  <c r="AF539" i="4"/>
  <c r="AD539" i="4"/>
  <c r="Z539" i="4"/>
  <c r="X539" i="4"/>
  <c r="V539" i="4"/>
  <c r="T539" i="4"/>
  <c r="R539" i="4"/>
  <c r="P539" i="4"/>
  <c r="M539" i="4"/>
  <c r="AL537" i="4"/>
  <c r="AK537" i="4"/>
  <c r="F537" i="4"/>
  <c r="M537" i="4" s="1"/>
  <c r="AL536" i="4"/>
  <c r="AK536" i="4"/>
  <c r="AB536" i="4"/>
  <c r="F536" i="4"/>
  <c r="AL535" i="4"/>
  <c r="AK535" i="4"/>
  <c r="AF535" i="4"/>
  <c r="AD535" i="4"/>
  <c r="Z535" i="4"/>
  <c r="X535" i="4"/>
  <c r="V535" i="4"/>
  <c r="T535" i="4"/>
  <c r="R535" i="4"/>
  <c r="P535" i="4"/>
  <c r="M535" i="4"/>
  <c r="AL533" i="4"/>
  <c r="AK533" i="4"/>
  <c r="F533" i="4"/>
  <c r="AL532" i="4"/>
  <c r="AK532" i="4"/>
  <c r="F532" i="4"/>
  <c r="V532" i="4" s="1"/>
  <c r="AL531" i="4"/>
  <c r="AK531" i="4"/>
  <c r="AF531" i="4"/>
  <c r="AD531" i="4"/>
  <c r="AB531" i="4"/>
  <c r="Z531" i="4"/>
  <c r="X531" i="4"/>
  <c r="V531" i="4"/>
  <c r="T531" i="4"/>
  <c r="R531" i="4"/>
  <c r="P531" i="4"/>
  <c r="M531" i="4"/>
  <c r="AL529" i="4"/>
  <c r="AK529" i="4"/>
  <c r="F529" i="4"/>
  <c r="AL528" i="4"/>
  <c r="AK528" i="4"/>
  <c r="AF528" i="4"/>
  <c r="AD528" i="4"/>
  <c r="AB528" i="4"/>
  <c r="Z528" i="4"/>
  <c r="X528" i="4"/>
  <c r="V528" i="4"/>
  <c r="T528" i="4"/>
  <c r="R528" i="4"/>
  <c r="P528" i="4"/>
  <c r="M528" i="4"/>
  <c r="AL526" i="4"/>
  <c r="AK526" i="4"/>
  <c r="F526" i="4"/>
  <c r="X526" i="4" s="1"/>
  <c r="AL525" i="4"/>
  <c r="AK525" i="4"/>
  <c r="AF525" i="4"/>
  <c r="AD525" i="4"/>
  <c r="Z525" i="4"/>
  <c r="X525" i="4"/>
  <c r="V525" i="4"/>
  <c r="T525" i="4"/>
  <c r="R525" i="4"/>
  <c r="P525" i="4"/>
  <c r="M525" i="4"/>
  <c r="AL523" i="4"/>
  <c r="AK523" i="4"/>
  <c r="F523" i="4"/>
  <c r="AL522" i="4"/>
  <c r="AK522" i="4"/>
  <c r="F522" i="4"/>
  <c r="R522" i="4" s="1"/>
  <c r="AL521" i="4"/>
  <c r="AK521" i="4"/>
  <c r="F521" i="4"/>
  <c r="AL520" i="4"/>
  <c r="AK520" i="4"/>
  <c r="AF520" i="4"/>
  <c r="AD520" i="4"/>
  <c r="AB520" i="4"/>
  <c r="Z520" i="4"/>
  <c r="X520" i="4"/>
  <c r="V520" i="4"/>
  <c r="T520" i="4"/>
  <c r="R520" i="4"/>
  <c r="P520" i="4"/>
  <c r="M520" i="4"/>
  <c r="AL518" i="4"/>
  <c r="AK518" i="4"/>
  <c r="F518" i="4"/>
  <c r="M518" i="4" s="1"/>
  <c r="AL517" i="4"/>
  <c r="AK517" i="4"/>
  <c r="AF517" i="4"/>
  <c r="AD517" i="4"/>
  <c r="AB517" i="4"/>
  <c r="Z517" i="4"/>
  <c r="X517" i="4"/>
  <c r="V517" i="4"/>
  <c r="T517" i="4"/>
  <c r="R517" i="4"/>
  <c r="P517" i="4"/>
  <c r="M517" i="4"/>
  <c r="AL515" i="4"/>
  <c r="AK515" i="4"/>
  <c r="AB515" i="4"/>
  <c r="F515" i="4"/>
  <c r="AL514" i="4"/>
  <c r="AK514" i="4"/>
  <c r="AF514" i="4"/>
  <c r="AD514" i="4"/>
  <c r="Z514" i="4"/>
  <c r="X514" i="4"/>
  <c r="V514" i="4"/>
  <c r="T514" i="4"/>
  <c r="R514" i="4"/>
  <c r="P514" i="4"/>
  <c r="M514" i="4"/>
  <c r="AL512" i="4"/>
  <c r="AK512" i="4"/>
  <c r="F512" i="4"/>
  <c r="R512" i="4" s="1"/>
  <c r="AL511" i="4"/>
  <c r="AK511" i="4"/>
  <c r="V511" i="4"/>
  <c r="AL510" i="4"/>
  <c r="AK510" i="4"/>
  <c r="AF510" i="4"/>
  <c r="AD510" i="4"/>
  <c r="AB510" i="4"/>
  <c r="Z510" i="4"/>
  <c r="X510" i="4"/>
  <c r="V510" i="4"/>
  <c r="T510" i="4"/>
  <c r="R510" i="4"/>
  <c r="P510" i="4"/>
  <c r="M510" i="4"/>
  <c r="AL508" i="4"/>
  <c r="AK508" i="4"/>
  <c r="F508" i="4"/>
  <c r="AL507" i="4"/>
  <c r="AK507" i="4"/>
  <c r="AF507" i="4"/>
  <c r="AD507" i="4"/>
  <c r="AB507" i="4"/>
  <c r="Z507" i="4"/>
  <c r="X507" i="4"/>
  <c r="V507" i="4"/>
  <c r="T507" i="4"/>
  <c r="R507" i="4"/>
  <c r="P507" i="4"/>
  <c r="M507" i="4"/>
  <c r="AL505" i="4"/>
  <c r="AK505" i="4"/>
  <c r="AB505" i="4"/>
  <c r="F505" i="4"/>
  <c r="AL504" i="4"/>
  <c r="AK504" i="4"/>
  <c r="AF504" i="4"/>
  <c r="AD504" i="4"/>
  <c r="Z504" i="4"/>
  <c r="X504" i="4"/>
  <c r="V504" i="4"/>
  <c r="T504" i="4"/>
  <c r="R504" i="4"/>
  <c r="P504" i="4"/>
  <c r="M504" i="4"/>
  <c r="AL502" i="4"/>
  <c r="AK502" i="4"/>
  <c r="F502" i="4"/>
  <c r="AF502" i="4" s="1"/>
  <c r="AL501" i="4"/>
  <c r="AK501" i="4"/>
  <c r="F501" i="4"/>
  <c r="AL500" i="4"/>
  <c r="AK500" i="4"/>
  <c r="AF500" i="4"/>
  <c r="AD500" i="4"/>
  <c r="AB500" i="4"/>
  <c r="Z500" i="4"/>
  <c r="X500" i="4"/>
  <c r="V500" i="4"/>
  <c r="T500" i="4"/>
  <c r="R500" i="4"/>
  <c r="P500" i="4"/>
  <c r="M500" i="4"/>
  <c r="AL498" i="4"/>
  <c r="AK498" i="4"/>
  <c r="F498" i="4"/>
  <c r="AL497" i="4"/>
  <c r="AK497" i="4"/>
  <c r="AF497" i="4"/>
  <c r="AD497" i="4"/>
  <c r="AB497" i="4"/>
  <c r="Z497" i="4"/>
  <c r="X497" i="4"/>
  <c r="V497" i="4"/>
  <c r="T497" i="4"/>
  <c r="R497" i="4"/>
  <c r="P497" i="4"/>
  <c r="M497" i="4"/>
  <c r="AL495" i="4"/>
  <c r="AK495" i="4"/>
  <c r="F495" i="4"/>
  <c r="AL494" i="4"/>
  <c r="AK494" i="4"/>
  <c r="AF494" i="4"/>
  <c r="AD494" i="4"/>
  <c r="AB494" i="4"/>
  <c r="Z494" i="4"/>
  <c r="X494" i="4"/>
  <c r="V494" i="4"/>
  <c r="T494" i="4"/>
  <c r="R494" i="4"/>
  <c r="P494" i="4"/>
  <c r="M494" i="4"/>
  <c r="AL492" i="4"/>
  <c r="AK492" i="4"/>
  <c r="F492" i="4"/>
  <c r="AF492" i="4" s="1"/>
  <c r="AL491" i="4"/>
  <c r="AK491" i="4"/>
  <c r="AF491" i="4"/>
  <c r="AD491" i="4"/>
  <c r="AB491" i="4"/>
  <c r="Z491" i="4"/>
  <c r="X491" i="4"/>
  <c r="V491" i="4"/>
  <c r="T491" i="4"/>
  <c r="R491" i="4"/>
  <c r="P491" i="4"/>
  <c r="M491" i="4"/>
  <c r="AL489" i="4"/>
  <c r="AK489" i="4"/>
  <c r="F489" i="4"/>
  <c r="AF489" i="4" s="1"/>
  <c r="AL488" i="4"/>
  <c r="AK488" i="4"/>
  <c r="AF488" i="4"/>
  <c r="AD488" i="4"/>
  <c r="AB488" i="4"/>
  <c r="Z488" i="4"/>
  <c r="X488" i="4"/>
  <c r="V488" i="4"/>
  <c r="T488" i="4"/>
  <c r="R488" i="4"/>
  <c r="P488" i="4"/>
  <c r="M488" i="4"/>
  <c r="AL486" i="4"/>
  <c r="AK486" i="4"/>
  <c r="F486" i="4"/>
  <c r="AL485" i="4"/>
  <c r="AK485" i="4"/>
  <c r="AF485" i="4"/>
  <c r="AD485" i="4"/>
  <c r="AB485" i="4"/>
  <c r="Z485" i="4"/>
  <c r="X485" i="4"/>
  <c r="V485" i="4"/>
  <c r="T485" i="4"/>
  <c r="R485" i="4"/>
  <c r="P485" i="4"/>
  <c r="M485" i="4"/>
  <c r="AL483" i="4"/>
  <c r="AK483" i="4"/>
  <c r="AB483" i="4"/>
  <c r="F483" i="4"/>
  <c r="AL482" i="4"/>
  <c r="AK482" i="4"/>
  <c r="AF482" i="4"/>
  <c r="AD482" i="4"/>
  <c r="Z482" i="4"/>
  <c r="X482" i="4"/>
  <c r="V482" i="4"/>
  <c r="T482" i="4"/>
  <c r="R482" i="4"/>
  <c r="P482" i="4"/>
  <c r="M482" i="4"/>
  <c r="AL480" i="4"/>
  <c r="AK480" i="4"/>
  <c r="F480" i="4"/>
  <c r="AL479" i="4"/>
  <c r="AK479" i="4"/>
  <c r="F479" i="4"/>
  <c r="AL478" i="4"/>
  <c r="AK478" i="4"/>
  <c r="AF478" i="4"/>
  <c r="AD478" i="4"/>
  <c r="AB478" i="4"/>
  <c r="Z478" i="4"/>
  <c r="X478" i="4"/>
  <c r="V478" i="4"/>
  <c r="T478" i="4"/>
  <c r="R478" i="4"/>
  <c r="P478" i="4"/>
  <c r="M478" i="4"/>
  <c r="AL476" i="4"/>
  <c r="AK476" i="4"/>
  <c r="F476" i="4"/>
  <c r="AL475" i="4"/>
  <c r="AK475" i="4"/>
  <c r="AF475" i="4"/>
  <c r="AD475" i="4"/>
  <c r="AB475" i="4"/>
  <c r="Z475" i="4"/>
  <c r="X475" i="4"/>
  <c r="V475" i="4"/>
  <c r="T475" i="4"/>
  <c r="R475" i="4"/>
  <c r="P475" i="4"/>
  <c r="M475" i="4"/>
  <c r="AL473" i="4"/>
  <c r="AK473" i="4"/>
  <c r="F473" i="4"/>
  <c r="AL472" i="4"/>
  <c r="AK472" i="4"/>
  <c r="AF472" i="4"/>
  <c r="AD472" i="4"/>
  <c r="AB472" i="4"/>
  <c r="Z472" i="4"/>
  <c r="X472" i="4"/>
  <c r="V472" i="4"/>
  <c r="T472" i="4"/>
  <c r="R472" i="4"/>
  <c r="P472" i="4"/>
  <c r="M472" i="4"/>
  <c r="AL470" i="4"/>
  <c r="AK470" i="4"/>
  <c r="F470" i="4"/>
  <c r="AL469" i="4"/>
  <c r="AK469" i="4"/>
  <c r="AF469" i="4"/>
  <c r="AD469" i="4"/>
  <c r="AB469" i="4"/>
  <c r="Z469" i="4"/>
  <c r="X469" i="4"/>
  <c r="V469" i="4"/>
  <c r="T469" i="4"/>
  <c r="R469" i="4"/>
  <c r="P469" i="4"/>
  <c r="M469" i="4"/>
  <c r="AL467" i="4"/>
  <c r="AK467" i="4"/>
  <c r="F467" i="4"/>
  <c r="AF467" i="4" s="1"/>
  <c r="AL466" i="4"/>
  <c r="AK466" i="4"/>
  <c r="AF466" i="4"/>
  <c r="AD466" i="4"/>
  <c r="Z466" i="4"/>
  <c r="X466" i="4"/>
  <c r="V466" i="4"/>
  <c r="T466" i="4"/>
  <c r="R466" i="4"/>
  <c r="P466" i="4"/>
  <c r="M466" i="4"/>
  <c r="AL464" i="4"/>
  <c r="AK464" i="4"/>
  <c r="F464" i="4"/>
  <c r="AL463" i="4"/>
  <c r="AK463" i="4"/>
  <c r="F463" i="4"/>
  <c r="AL462" i="4"/>
  <c r="AK462" i="4"/>
  <c r="AB462" i="4"/>
  <c r="F462" i="4"/>
  <c r="AL461" i="4"/>
  <c r="AK461" i="4"/>
  <c r="F461" i="4"/>
  <c r="T461" i="4" s="1"/>
  <c r="AL460" i="4"/>
  <c r="AK460" i="4"/>
  <c r="AF460" i="4"/>
  <c r="AD460" i="4"/>
  <c r="Z460" i="4"/>
  <c r="X460" i="4"/>
  <c r="V460" i="4"/>
  <c r="T460" i="4"/>
  <c r="R460" i="4"/>
  <c r="P460" i="4"/>
  <c r="M460" i="4"/>
  <c r="AL458" i="4"/>
  <c r="AK458" i="4"/>
  <c r="F458" i="4"/>
  <c r="R458" i="4" s="1"/>
  <c r="AL457" i="4"/>
  <c r="AK457" i="4"/>
  <c r="F457" i="4"/>
  <c r="V457" i="4" s="1"/>
  <c r="AL456" i="4"/>
  <c r="AK456" i="4"/>
  <c r="F456" i="4"/>
  <c r="V456" i="4" s="1"/>
  <c r="AL455" i="4"/>
  <c r="AK455" i="4"/>
  <c r="AF455" i="4"/>
  <c r="AD455" i="4"/>
  <c r="AB455" i="4"/>
  <c r="Z455" i="4"/>
  <c r="X455" i="4"/>
  <c r="V455" i="4"/>
  <c r="T455" i="4"/>
  <c r="R455" i="4"/>
  <c r="P455" i="4"/>
  <c r="M455" i="4"/>
  <c r="AL453" i="4"/>
  <c r="AK453" i="4"/>
  <c r="F453" i="4"/>
  <c r="V453" i="4" s="1"/>
  <c r="AL452" i="4"/>
  <c r="AK452" i="4"/>
  <c r="AF452" i="4"/>
  <c r="AD452" i="4"/>
  <c r="AB452" i="4"/>
  <c r="Z452" i="4"/>
  <c r="X452" i="4"/>
  <c r="V452" i="4"/>
  <c r="T452" i="4"/>
  <c r="R452" i="4"/>
  <c r="P452" i="4"/>
  <c r="M452" i="4"/>
  <c r="AL450" i="4"/>
  <c r="AK450" i="4"/>
  <c r="F450" i="4"/>
  <c r="AL449" i="4"/>
  <c r="AK449" i="4"/>
  <c r="AF449" i="4"/>
  <c r="AD449" i="4"/>
  <c r="AB449" i="4"/>
  <c r="Z449" i="4"/>
  <c r="X449" i="4"/>
  <c r="V449" i="4"/>
  <c r="T449" i="4"/>
  <c r="R449" i="4"/>
  <c r="P449" i="4"/>
  <c r="M449" i="4"/>
  <c r="AL447" i="4"/>
  <c r="AK447" i="4"/>
  <c r="F447" i="4"/>
  <c r="AL446" i="4"/>
  <c r="AK446" i="4"/>
  <c r="AF446" i="4"/>
  <c r="AD446" i="4"/>
  <c r="AB446" i="4"/>
  <c r="Z446" i="4"/>
  <c r="X446" i="4"/>
  <c r="V446" i="4"/>
  <c r="T446" i="4"/>
  <c r="R446" i="4"/>
  <c r="P446" i="4"/>
  <c r="M446" i="4"/>
  <c r="AL444" i="4"/>
  <c r="AK444" i="4"/>
  <c r="F444" i="4"/>
  <c r="AF444" i="4" s="1"/>
  <c r="AL443" i="4"/>
  <c r="AK443" i="4"/>
  <c r="AF443" i="4"/>
  <c r="AD443" i="4"/>
  <c r="AB443" i="4"/>
  <c r="Z443" i="4"/>
  <c r="X443" i="4"/>
  <c r="V443" i="4"/>
  <c r="T443" i="4"/>
  <c r="R443" i="4"/>
  <c r="P443" i="4"/>
  <c r="M443" i="4"/>
  <c r="AL441" i="4"/>
  <c r="AK441" i="4"/>
  <c r="F441" i="4"/>
  <c r="AL440" i="4"/>
  <c r="AK440" i="4"/>
  <c r="AF440" i="4"/>
  <c r="AD440" i="4"/>
  <c r="AB440" i="4"/>
  <c r="Z440" i="4"/>
  <c r="X440" i="4"/>
  <c r="V440" i="4"/>
  <c r="T440" i="4"/>
  <c r="R440" i="4"/>
  <c r="P440" i="4"/>
  <c r="M440" i="4"/>
  <c r="AL438" i="4"/>
  <c r="AK438" i="4"/>
  <c r="F438" i="4"/>
  <c r="AD438" i="4" s="1"/>
  <c r="AL437" i="4"/>
  <c r="AK437" i="4"/>
  <c r="AF437" i="4"/>
  <c r="AD437" i="4"/>
  <c r="Z437" i="4"/>
  <c r="X437" i="4"/>
  <c r="V437" i="4"/>
  <c r="T437" i="4"/>
  <c r="R437" i="4"/>
  <c r="P437" i="4"/>
  <c r="M437" i="4"/>
  <c r="AL435" i="4"/>
  <c r="AK435" i="4"/>
  <c r="V435" i="4"/>
  <c r="F435" i="4"/>
  <c r="AB437" i="4" s="1"/>
  <c r="AL434" i="4"/>
  <c r="AK434" i="4"/>
  <c r="F434" i="4"/>
  <c r="AF434" i="4" s="1"/>
  <c r="AL433" i="4"/>
  <c r="AK433" i="4"/>
  <c r="AB433" i="4"/>
  <c r="F433" i="4"/>
  <c r="AL432" i="4"/>
  <c r="AK432" i="4"/>
  <c r="AF432" i="4"/>
  <c r="AD432" i="4"/>
  <c r="Z432" i="4"/>
  <c r="X432" i="4"/>
  <c r="V432" i="4"/>
  <c r="T432" i="4"/>
  <c r="R432" i="4"/>
  <c r="P432" i="4"/>
  <c r="M432" i="4"/>
  <c r="AL430" i="4"/>
  <c r="AK430" i="4"/>
  <c r="F430" i="4"/>
  <c r="AF430" i="4" s="1"/>
  <c r="AL429" i="4"/>
  <c r="AK429" i="4"/>
  <c r="F429" i="4"/>
  <c r="AL428" i="4"/>
  <c r="AK428" i="4"/>
  <c r="AF428" i="4"/>
  <c r="AD428" i="4"/>
  <c r="AB428" i="4"/>
  <c r="Z428" i="4"/>
  <c r="X428" i="4"/>
  <c r="V428" i="4"/>
  <c r="T428" i="4"/>
  <c r="R428" i="4"/>
  <c r="P428" i="4"/>
  <c r="M428" i="4"/>
  <c r="AL426" i="4"/>
  <c r="AK426" i="4"/>
  <c r="F426" i="4"/>
  <c r="AF426" i="4" s="1"/>
  <c r="AL425" i="4"/>
  <c r="AK425" i="4"/>
  <c r="AF425" i="4"/>
  <c r="AD425" i="4"/>
  <c r="AB425" i="4"/>
  <c r="Z425" i="4"/>
  <c r="X425" i="4"/>
  <c r="V425" i="4"/>
  <c r="T425" i="4"/>
  <c r="R425" i="4"/>
  <c r="P425" i="4"/>
  <c r="M425" i="4"/>
  <c r="AL423" i="4"/>
  <c r="AK423" i="4"/>
  <c r="F423" i="4"/>
  <c r="AD423" i="4" s="1"/>
  <c r="AL422" i="4"/>
  <c r="AK422" i="4"/>
  <c r="AF422" i="4"/>
  <c r="AD422" i="4"/>
  <c r="Z422" i="4"/>
  <c r="X422" i="4"/>
  <c r="V422" i="4"/>
  <c r="T422" i="4"/>
  <c r="R422" i="4"/>
  <c r="P422" i="4"/>
  <c r="M422" i="4"/>
  <c r="AL420" i="4"/>
  <c r="AK420" i="4"/>
  <c r="F420" i="4"/>
  <c r="R420" i="4" s="1"/>
  <c r="AL419" i="4"/>
  <c r="AK419" i="4"/>
  <c r="F419" i="4"/>
  <c r="Z419" i="4" s="1"/>
  <c r="AL418" i="4"/>
  <c r="AK418" i="4"/>
  <c r="AB418" i="4"/>
  <c r="F418" i="4"/>
  <c r="AL417" i="4"/>
  <c r="AK417" i="4"/>
  <c r="AF417" i="4"/>
  <c r="AD417" i="4"/>
  <c r="Z417" i="4"/>
  <c r="X417" i="4"/>
  <c r="V417" i="4"/>
  <c r="T417" i="4"/>
  <c r="R417" i="4"/>
  <c r="P417" i="4"/>
  <c r="M417" i="4"/>
  <c r="AL415" i="4"/>
  <c r="AK415" i="4"/>
  <c r="F415" i="4"/>
  <c r="P415" i="4" s="1"/>
  <c r="AL414" i="4"/>
  <c r="AK414" i="4"/>
  <c r="F414" i="4"/>
  <c r="AL413" i="4"/>
  <c r="AK413" i="4"/>
  <c r="AF413" i="4"/>
  <c r="AD413" i="4"/>
  <c r="AB413" i="4"/>
  <c r="Z413" i="4"/>
  <c r="X413" i="4"/>
  <c r="V413" i="4"/>
  <c r="T413" i="4"/>
  <c r="R413" i="4"/>
  <c r="P413" i="4"/>
  <c r="M413" i="4"/>
  <c r="AL411" i="4"/>
  <c r="AK411" i="4"/>
  <c r="AB411" i="4"/>
  <c r="F411" i="4"/>
  <c r="F412" i="4" s="1"/>
  <c r="AL410" i="4"/>
  <c r="AK410" i="4"/>
  <c r="AF410" i="4"/>
  <c r="AD410" i="4"/>
  <c r="Z410" i="4"/>
  <c r="X410" i="4"/>
  <c r="V410" i="4"/>
  <c r="T410" i="4"/>
  <c r="R410" i="4"/>
  <c r="P410" i="4"/>
  <c r="M410" i="4"/>
  <c r="AL408" i="4"/>
  <c r="AK408" i="4"/>
  <c r="F408" i="4"/>
  <c r="AL407" i="4"/>
  <c r="AK407" i="4"/>
  <c r="F407" i="4"/>
  <c r="AL406" i="4"/>
  <c r="AK406" i="4"/>
  <c r="AF406" i="4"/>
  <c r="AD406" i="4"/>
  <c r="AB406" i="4"/>
  <c r="Z406" i="4"/>
  <c r="X406" i="4"/>
  <c r="V406" i="4"/>
  <c r="T406" i="4"/>
  <c r="R406" i="4"/>
  <c r="P406" i="4"/>
  <c r="M406" i="4"/>
  <c r="AL404" i="4"/>
  <c r="AK404" i="4"/>
  <c r="F404" i="4"/>
  <c r="AD404" i="4" s="1"/>
  <c r="AL403" i="4"/>
  <c r="AK403" i="4"/>
  <c r="AF403" i="4"/>
  <c r="AD403" i="4"/>
  <c r="Z403" i="4"/>
  <c r="X403" i="4"/>
  <c r="V403" i="4"/>
  <c r="T403" i="4"/>
  <c r="R403" i="4"/>
  <c r="P403" i="4"/>
  <c r="M403" i="4"/>
  <c r="AL401" i="4"/>
  <c r="AK401" i="4"/>
  <c r="F401" i="4"/>
  <c r="AF401" i="4" s="1"/>
  <c r="AL400" i="4"/>
  <c r="AK400" i="4"/>
  <c r="F400" i="4"/>
  <c r="AD400" i="4" s="1"/>
  <c r="AL399" i="4"/>
  <c r="AK399" i="4"/>
  <c r="F399" i="4"/>
  <c r="AL398" i="4"/>
  <c r="AK398" i="4"/>
  <c r="AF398" i="4"/>
  <c r="AD398" i="4"/>
  <c r="AB398" i="4"/>
  <c r="Z398" i="4"/>
  <c r="X398" i="4"/>
  <c r="V398" i="4"/>
  <c r="T398" i="4"/>
  <c r="R398" i="4"/>
  <c r="P398" i="4"/>
  <c r="M398" i="4"/>
  <c r="AL396" i="4"/>
  <c r="AK396" i="4"/>
  <c r="F396" i="4"/>
  <c r="AL395" i="4"/>
  <c r="AK395" i="4"/>
  <c r="AF395" i="4"/>
  <c r="AD395" i="4"/>
  <c r="AB395" i="4"/>
  <c r="Z395" i="4"/>
  <c r="X395" i="4"/>
  <c r="V395" i="4"/>
  <c r="T395" i="4"/>
  <c r="R395" i="4"/>
  <c r="P395" i="4"/>
  <c r="M395" i="4"/>
  <c r="AL393" i="4"/>
  <c r="AK393" i="4"/>
  <c r="F393" i="4"/>
  <c r="AF393" i="4" s="1"/>
  <c r="AL392" i="4"/>
  <c r="AK392" i="4"/>
  <c r="AF392" i="4"/>
  <c r="AD392" i="4"/>
  <c r="AB392" i="4"/>
  <c r="Z392" i="4"/>
  <c r="X392" i="4"/>
  <c r="V392" i="4"/>
  <c r="T392" i="4"/>
  <c r="R392" i="4"/>
  <c r="P392" i="4"/>
  <c r="M392" i="4"/>
  <c r="AL390" i="4"/>
  <c r="AK390" i="4"/>
  <c r="F390" i="4"/>
  <c r="Z390" i="4" s="1"/>
  <c r="AL389" i="4"/>
  <c r="AK389" i="4"/>
  <c r="AF389" i="4"/>
  <c r="AD389" i="4"/>
  <c r="AB389" i="4"/>
  <c r="Z389" i="4"/>
  <c r="X389" i="4"/>
  <c r="V389" i="4"/>
  <c r="T389" i="4"/>
  <c r="R389" i="4"/>
  <c r="P389" i="4"/>
  <c r="M389" i="4"/>
  <c r="AL387" i="4"/>
  <c r="AK387" i="4"/>
  <c r="F387" i="4"/>
  <c r="F388" i="4" s="1"/>
  <c r="AL386" i="4"/>
  <c r="AK386" i="4"/>
  <c r="AF386" i="4"/>
  <c r="AD386" i="4"/>
  <c r="AB386" i="4"/>
  <c r="Z386" i="4"/>
  <c r="X386" i="4"/>
  <c r="V386" i="4"/>
  <c r="T386" i="4"/>
  <c r="R386" i="4"/>
  <c r="P386" i="4"/>
  <c r="M386" i="4"/>
  <c r="AL384" i="4"/>
  <c r="AK384" i="4"/>
  <c r="F384" i="4"/>
  <c r="AL383" i="4"/>
  <c r="AK383" i="4"/>
  <c r="AF383" i="4"/>
  <c r="AD383" i="4"/>
  <c r="AB383" i="4"/>
  <c r="Z383" i="4"/>
  <c r="X383" i="4"/>
  <c r="V383" i="4"/>
  <c r="T383" i="4"/>
  <c r="R383" i="4"/>
  <c r="P383" i="4"/>
  <c r="M383" i="4"/>
  <c r="AL381" i="4"/>
  <c r="AK381" i="4"/>
  <c r="F381" i="4"/>
  <c r="AL380" i="4"/>
  <c r="AK380" i="4"/>
  <c r="AF380" i="4"/>
  <c r="AD380" i="4"/>
  <c r="AB380" i="4"/>
  <c r="Z380" i="4"/>
  <c r="X380" i="4"/>
  <c r="V380" i="4"/>
  <c r="T380" i="4"/>
  <c r="R380" i="4"/>
  <c r="P380" i="4"/>
  <c r="M380" i="4"/>
  <c r="AL378" i="4"/>
  <c r="AK378" i="4"/>
  <c r="AB378" i="4"/>
  <c r="F378" i="4"/>
  <c r="F379" i="4" s="1"/>
  <c r="AL377" i="4"/>
  <c r="AK377" i="4"/>
  <c r="AF377" i="4"/>
  <c r="AD377" i="4"/>
  <c r="Z377" i="4"/>
  <c r="X377" i="4"/>
  <c r="V377" i="4"/>
  <c r="T377" i="4"/>
  <c r="R377" i="4"/>
  <c r="P377" i="4"/>
  <c r="M377" i="4"/>
  <c r="AL375" i="4"/>
  <c r="AK375" i="4"/>
  <c r="F375" i="4"/>
  <c r="AL374" i="4"/>
  <c r="AK374" i="4"/>
  <c r="F374" i="4"/>
  <c r="AL373" i="4"/>
  <c r="AK373" i="4"/>
  <c r="AF373" i="4"/>
  <c r="AD373" i="4"/>
  <c r="AB373" i="4"/>
  <c r="Z373" i="4"/>
  <c r="X373" i="4"/>
  <c r="V373" i="4"/>
  <c r="T373" i="4"/>
  <c r="R373" i="4"/>
  <c r="P373" i="4"/>
  <c r="AL371" i="4"/>
  <c r="AK371" i="4"/>
  <c r="F371" i="4"/>
  <c r="AL370" i="4"/>
  <c r="AK370" i="4"/>
  <c r="AF370" i="4"/>
  <c r="AD370" i="4"/>
  <c r="Z370" i="4"/>
  <c r="X370" i="4"/>
  <c r="V370" i="4"/>
  <c r="T370" i="4"/>
  <c r="R370" i="4"/>
  <c r="P370" i="4"/>
  <c r="M370" i="4"/>
  <c r="AL368" i="4"/>
  <c r="AK368" i="4"/>
  <c r="F368" i="4"/>
  <c r="AB370" i="4" s="1"/>
  <c r="AL367" i="4"/>
  <c r="AK367" i="4"/>
  <c r="F367" i="4"/>
  <c r="X367" i="4" s="1"/>
  <c r="AL366" i="4"/>
  <c r="AK366" i="4"/>
  <c r="AF366" i="4"/>
  <c r="Z366" i="4"/>
  <c r="X366" i="4"/>
  <c r="F366" i="4"/>
  <c r="M366" i="4" s="1"/>
  <c r="AL365" i="4"/>
  <c r="AK365" i="4"/>
  <c r="AF365" i="4"/>
  <c r="AD365" i="4"/>
  <c r="AB365" i="4"/>
  <c r="Z365" i="4"/>
  <c r="X365" i="4"/>
  <c r="V365" i="4"/>
  <c r="T365" i="4"/>
  <c r="R365" i="4"/>
  <c r="P365" i="4"/>
  <c r="M365" i="4"/>
  <c r="AL363" i="4"/>
  <c r="AK363" i="4"/>
  <c r="F363" i="4"/>
  <c r="AB363" i="4" s="1"/>
  <c r="AL362" i="4"/>
  <c r="AK362" i="4"/>
  <c r="AF362" i="4"/>
  <c r="AD362" i="4"/>
  <c r="AB362" i="4"/>
  <c r="Z362" i="4"/>
  <c r="X362" i="4"/>
  <c r="V362" i="4"/>
  <c r="T362" i="4"/>
  <c r="R362" i="4"/>
  <c r="P362" i="4"/>
  <c r="M362" i="4"/>
  <c r="AL360" i="4"/>
  <c r="AK360" i="4"/>
  <c r="F360" i="4"/>
  <c r="AF360" i="4" s="1"/>
  <c r="AL359" i="4"/>
  <c r="AK359" i="4"/>
  <c r="AF359" i="4"/>
  <c r="AD359" i="4"/>
  <c r="AB359" i="4"/>
  <c r="Z359" i="4"/>
  <c r="X359" i="4"/>
  <c r="V359" i="4"/>
  <c r="T359" i="4"/>
  <c r="R359" i="4"/>
  <c r="P359" i="4"/>
  <c r="M359" i="4"/>
  <c r="AL357" i="4"/>
  <c r="AK357" i="4"/>
  <c r="AB357" i="4"/>
  <c r="F357" i="4"/>
  <c r="AL356" i="4"/>
  <c r="AK356" i="4"/>
  <c r="AF356" i="4"/>
  <c r="AD356" i="4"/>
  <c r="Z356" i="4"/>
  <c r="X356" i="4"/>
  <c r="V356" i="4"/>
  <c r="T356" i="4"/>
  <c r="R356" i="4"/>
  <c r="P356" i="4"/>
  <c r="M356" i="4"/>
  <c r="AL354" i="4"/>
  <c r="AK354" i="4"/>
  <c r="F354" i="4"/>
  <c r="T354" i="4" s="1"/>
  <c r="AL353" i="4"/>
  <c r="AK353" i="4"/>
  <c r="F353" i="4"/>
  <c r="AL352" i="4"/>
  <c r="AK352" i="4"/>
  <c r="AF352" i="4"/>
  <c r="AD352" i="4"/>
  <c r="AB352" i="4"/>
  <c r="Z352" i="4"/>
  <c r="X352" i="4"/>
  <c r="V352" i="4"/>
  <c r="AL350" i="4"/>
  <c r="AK350" i="4"/>
  <c r="F350" i="4"/>
  <c r="AF350" i="4" s="1"/>
  <c r="AL349" i="4"/>
  <c r="AK349" i="4"/>
  <c r="AF349" i="4"/>
  <c r="AD349" i="4"/>
  <c r="AB349" i="4"/>
  <c r="Z349" i="4"/>
  <c r="X349" i="4"/>
  <c r="V349" i="4"/>
  <c r="T349" i="4"/>
  <c r="R349" i="4"/>
  <c r="P349" i="4"/>
  <c r="M349" i="4"/>
  <c r="AL347" i="4"/>
  <c r="AK347" i="4"/>
  <c r="F347" i="4"/>
  <c r="AL346" i="4"/>
  <c r="AK346" i="4"/>
  <c r="AF346" i="4"/>
  <c r="AD346" i="4"/>
  <c r="AB346" i="4"/>
  <c r="Z346" i="4"/>
  <c r="X346" i="4"/>
  <c r="V346" i="4"/>
  <c r="T346" i="4"/>
  <c r="R346" i="4"/>
  <c r="P346" i="4"/>
  <c r="M346" i="4"/>
  <c r="AL344" i="4"/>
  <c r="AK344" i="4"/>
  <c r="AL343" i="4"/>
  <c r="AK343" i="4"/>
  <c r="AF343" i="4"/>
  <c r="AD343" i="4"/>
  <c r="AB343" i="4"/>
  <c r="Z343" i="4"/>
  <c r="X343" i="4"/>
  <c r="V343" i="4"/>
  <c r="T343" i="4"/>
  <c r="R343" i="4"/>
  <c r="P343" i="4"/>
  <c r="M343" i="4"/>
  <c r="AL341" i="4"/>
  <c r="AK341" i="4"/>
  <c r="F341" i="4"/>
  <c r="AL340" i="4"/>
  <c r="AK340" i="4"/>
  <c r="AF340" i="4"/>
  <c r="AD340" i="4"/>
  <c r="AB340" i="4"/>
  <c r="Z340" i="4"/>
  <c r="X340" i="4"/>
  <c r="V340" i="4"/>
  <c r="T340" i="4"/>
  <c r="R340" i="4"/>
  <c r="P340" i="4"/>
  <c r="M340" i="4"/>
  <c r="AL338" i="4"/>
  <c r="AK338" i="4"/>
  <c r="F338" i="4"/>
  <c r="AF338" i="4" s="1"/>
  <c r="AL337" i="4"/>
  <c r="AK337" i="4"/>
  <c r="AF337" i="4"/>
  <c r="AD337" i="4"/>
  <c r="AB337" i="4"/>
  <c r="Z337" i="4"/>
  <c r="X337" i="4"/>
  <c r="V337" i="4"/>
  <c r="T337" i="4"/>
  <c r="R337" i="4"/>
  <c r="P337" i="4"/>
  <c r="M337" i="4"/>
  <c r="AL335" i="4"/>
  <c r="AK335" i="4"/>
  <c r="F335" i="4"/>
  <c r="AL334" i="4"/>
  <c r="AK334" i="4"/>
  <c r="AF334" i="4"/>
  <c r="AD334" i="4"/>
  <c r="AB334" i="4"/>
  <c r="Z334" i="4"/>
  <c r="X334" i="4"/>
  <c r="V334" i="4"/>
  <c r="T334" i="4"/>
  <c r="R334" i="4"/>
  <c r="P334" i="4"/>
  <c r="M334" i="4"/>
  <c r="AL332" i="4"/>
  <c r="AK332" i="4"/>
  <c r="AB332" i="4"/>
  <c r="F332" i="4"/>
  <c r="AD332" i="4" s="1"/>
  <c r="AL331" i="4"/>
  <c r="AK331" i="4"/>
  <c r="AF331" i="4"/>
  <c r="AD331" i="4"/>
  <c r="Z331" i="4"/>
  <c r="X331" i="4"/>
  <c r="V331" i="4"/>
  <c r="T331" i="4"/>
  <c r="R331" i="4"/>
  <c r="P331" i="4"/>
  <c r="M331" i="4"/>
  <c r="AL329" i="4"/>
  <c r="AK329" i="4"/>
  <c r="AB329" i="4"/>
  <c r="F329" i="4"/>
  <c r="V329" i="4" s="1"/>
  <c r="AL328" i="4"/>
  <c r="AK328" i="4"/>
  <c r="F328" i="4"/>
  <c r="AL327" i="4"/>
  <c r="AK327" i="4"/>
  <c r="AF327" i="4"/>
  <c r="AD327" i="4"/>
  <c r="Z327" i="4"/>
  <c r="X327" i="4"/>
  <c r="V327" i="4"/>
  <c r="T327" i="4"/>
  <c r="R327" i="4"/>
  <c r="P327" i="4"/>
  <c r="M327" i="4"/>
  <c r="AL325" i="4"/>
  <c r="AK325" i="4"/>
  <c r="F325" i="4"/>
  <c r="AD325" i="4" s="1"/>
  <c r="AL324" i="4"/>
  <c r="AK324" i="4"/>
  <c r="F324" i="4"/>
  <c r="AL323" i="4"/>
  <c r="AK323" i="4"/>
  <c r="F323" i="4"/>
  <c r="M323" i="4" s="1"/>
  <c r="AL322" i="4"/>
  <c r="AK322" i="4"/>
  <c r="AF322" i="4"/>
  <c r="AD322" i="4"/>
  <c r="AB322" i="4"/>
  <c r="Z322" i="4"/>
  <c r="X322" i="4"/>
  <c r="V322" i="4"/>
  <c r="T322" i="4"/>
  <c r="R322" i="4"/>
  <c r="P322" i="4"/>
  <c r="M322" i="4"/>
  <c r="AL320" i="4"/>
  <c r="AK320" i="4"/>
  <c r="AB320" i="4"/>
  <c r="F320" i="4"/>
  <c r="AL319" i="4"/>
  <c r="AK319" i="4"/>
  <c r="AF319" i="4"/>
  <c r="AD319" i="4"/>
  <c r="Z319" i="4"/>
  <c r="X319" i="4"/>
  <c r="V319" i="4"/>
  <c r="T319" i="4"/>
  <c r="R319" i="4"/>
  <c r="P319" i="4"/>
  <c r="M319" i="4"/>
  <c r="AL317" i="4"/>
  <c r="AK317" i="4"/>
  <c r="F317" i="4"/>
  <c r="AD317" i="4" s="1"/>
  <c r="AL316" i="4"/>
  <c r="AK316" i="4"/>
  <c r="AB316" i="4"/>
  <c r="F316" i="4"/>
  <c r="R316" i="4" s="1"/>
  <c r="AL315" i="4"/>
  <c r="AK315" i="4"/>
  <c r="AF315" i="4"/>
  <c r="AD315" i="4"/>
  <c r="Z315" i="4"/>
  <c r="X315" i="4"/>
  <c r="V315" i="4"/>
  <c r="T315" i="4"/>
  <c r="R315" i="4"/>
  <c r="P315" i="4"/>
  <c r="M315" i="4"/>
  <c r="AL313" i="4"/>
  <c r="AK313" i="4"/>
  <c r="F313" i="4"/>
  <c r="X313" i="4" s="1"/>
  <c r="AL312" i="4"/>
  <c r="AK312" i="4"/>
  <c r="F312" i="4"/>
  <c r="AD312" i="4" s="1"/>
  <c r="AL311" i="4"/>
  <c r="AK311" i="4"/>
  <c r="AF311" i="4"/>
  <c r="AD311" i="4"/>
  <c r="AB311" i="4"/>
  <c r="Z311" i="4"/>
  <c r="X311" i="4"/>
  <c r="V311" i="4"/>
  <c r="T311" i="4"/>
  <c r="R311" i="4"/>
  <c r="P311" i="4"/>
  <c r="M311" i="4"/>
  <c r="AL309" i="4"/>
  <c r="AK309" i="4"/>
  <c r="F309" i="4"/>
  <c r="M309" i="4" s="1"/>
  <c r="AL308" i="4"/>
  <c r="AK308" i="4"/>
  <c r="AF308" i="4"/>
  <c r="AD308" i="4"/>
  <c r="AB308" i="4"/>
  <c r="Z308" i="4"/>
  <c r="X308" i="4"/>
  <c r="V308" i="4"/>
  <c r="T308" i="4"/>
  <c r="R308" i="4"/>
  <c r="P308" i="4"/>
  <c r="M308" i="4"/>
  <c r="AL306" i="4"/>
  <c r="AK306" i="4"/>
  <c r="AB306" i="4"/>
  <c r="F306" i="4"/>
  <c r="AL305" i="4"/>
  <c r="AK305" i="4"/>
  <c r="AF305" i="4"/>
  <c r="AD305" i="4"/>
  <c r="Z305" i="4"/>
  <c r="X305" i="4"/>
  <c r="V305" i="4"/>
  <c r="T305" i="4"/>
  <c r="R305" i="4"/>
  <c r="P305" i="4"/>
  <c r="M305" i="4"/>
  <c r="AL303" i="4"/>
  <c r="AK303" i="4"/>
  <c r="F303" i="4"/>
  <c r="AL302" i="4"/>
  <c r="AK302" i="4"/>
  <c r="X302" i="4"/>
  <c r="F302" i="4"/>
  <c r="T302" i="4" s="1"/>
  <c r="AL301" i="4"/>
  <c r="AK301" i="4"/>
  <c r="AF301" i="4"/>
  <c r="AD301" i="4"/>
  <c r="AB301" i="4"/>
  <c r="Z301" i="4"/>
  <c r="X301" i="4"/>
  <c r="V301" i="4"/>
  <c r="T301" i="4"/>
  <c r="R301" i="4"/>
  <c r="P301" i="4"/>
  <c r="M301" i="4"/>
  <c r="AL299" i="4"/>
  <c r="AK299" i="4"/>
  <c r="F299" i="4"/>
  <c r="AL298" i="4"/>
  <c r="AK298" i="4"/>
  <c r="AF298" i="4"/>
  <c r="AD298" i="4"/>
  <c r="AB298" i="4"/>
  <c r="Z298" i="4"/>
  <c r="X298" i="4"/>
  <c r="V298" i="4"/>
  <c r="T298" i="4"/>
  <c r="R298" i="4"/>
  <c r="P298" i="4"/>
  <c r="M298" i="4"/>
  <c r="AL296" i="4"/>
  <c r="AK296" i="4"/>
  <c r="F296" i="4"/>
  <c r="AL295" i="4"/>
  <c r="AK295" i="4"/>
  <c r="AF295" i="4"/>
  <c r="AD295" i="4"/>
  <c r="AB295" i="4"/>
  <c r="Z295" i="4"/>
  <c r="X295" i="4"/>
  <c r="V295" i="4"/>
  <c r="T295" i="4"/>
  <c r="R295" i="4"/>
  <c r="P295" i="4"/>
  <c r="M295" i="4"/>
  <c r="AL293" i="4"/>
  <c r="AK293" i="4"/>
  <c r="AB293" i="4"/>
  <c r="F293" i="4"/>
  <c r="Z293" i="4" s="1"/>
  <c r="AL292" i="4"/>
  <c r="AK292" i="4"/>
  <c r="AF292" i="4"/>
  <c r="AD292" i="4"/>
  <c r="Z292" i="4"/>
  <c r="X292" i="4"/>
  <c r="V292" i="4"/>
  <c r="T292" i="4"/>
  <c r="R292" i="4"/>
  <c r="P292" i="4"/>
  <c r="M292" i="4"/>
  <c r="AL290" i="4"/>
  <c r="AK290" i="4"/>
  <c r="F290" i="4"/>
  <c r="Z290" i="4" s="1"/>
  <c r="AL289" i="4"/>
  <c r="AK289" i="4"/>
  <c r="F289" i="4"/>
  <c r="AB289" i="4" s="1"/>
  <c r="AL288" i="4"/>
  <c r="AK288" i="4"/>
  <c r="AF288" i="4"/>
  <c r="AD288" i="4"/>
  <c r="AB288" i="4"/>
  <c r="Z288" i="4"/>
  <c r="X288" i="4"/>
  <c r="V288" i="4"/>
  <c r="T288" i="4"/>
  <c r="R288" i="4"/>
  <c r="P288" i="4"/>
  <c r="M288" i="4"/>
  <c r="AL286" i="4"/>
  <c r="AK286" i="4"/>
  <c r="AD286" i="4"/>
  <c r="Z286" i="4"/>
  <c r="F286" i="4"/>
  <c r="F287" i="4" s="1"/>
  <c r="AL285" i="4"/>
  <c r="AK285" i="4"/>
  <c r="AF285" i="4"/>
  <c r="AD285" i="4"/>
  <c r="AB285" i="4"/>
  <c r="Z285" i="4"/>
  <c r="X285" i="4"/>
  <c r="V285" i="4"/>
  <c r="T285" i="4"/>
  <c r="R285" i="4"/>
  <c r="P285" i="4"/>
  <c r="M285" i="4"/>
  <c r="AL283" i="4"/>
  <c r="AK283" i="4"/>
  <c r="F283" i="4"/>
  <c r="AL282" i="4"/>
  <c r="AK282" i="4"/>
  <c r="AF282" i="4"/>
  <c r="AD282" i="4"/>
  <c r="AB282" i="4"/>
  <c r="Z282" i="4"/>
  <c r="X282" i="4"/>
  <c r="V282" i="4"/>
  <c r="T282" i="4"/>
  <c r="R282" i="4"/>
  <c r="P282" i="4"/>
  <c r="M282" i="4"/>
  <c r="AL280" i="4"/>
  <c r="AK280" i="4"/>
  <c r="F280" i="4"/>
  <c r="AB280" i="4" s="1"/>
  <c r="AL279" i="4"/>
  <c r="AK279" i="4"/>
  <c r="F279" i="4"/>
  <c r="AL278" i="4"/>
  <c r="AK278" i="4"/>
  <c r="AF278" i="4"/>
  <c r="AD278" i="4"/>
  <c r="AB278" i="4"/>
  <c r="Z278" i="4"/>
  <c r="X278" i="4"/>
  <c r="V278" i="4"/>
  <c r="T278" i="4"/>
  <c r="R278" i="4"/>
  <c r="P278" i="4"/>
  <c r="M278" i="4"/>
  <c r="AL276" i="4"/>
  <c r="AK276" i="4"/>
  <c r="F276" i="4"/>
  <c r="AL275" i="4"/>
  <c r="AK275" i="4"/>
  <c r="AF275" i="4"/>
  <c r="AD275" i="4"/>
  <c r="AB275" i="4"/>
  <c r="Z275" i="4"/>
  <c r="X275" i="4"/>
  <c r="V275" i="4"/>
  <c r="T275" i="4"/>
  <c r="R275" i="4"/>
  <c r="P275" i="4"/>
  <c r="M275" i="4"/>
  <c r="AL273" i="4"/>
  <c r="AK273" i="4"/>
  <c r="F273" i="4"/>
  <c r="V273" i="4" s="1"/>
  <c r="AL272" i="4"/>
  <c r="AK272" i="4"/>
  <c r="AF272" i="4"/>
  <c r="AD272" i="4"/>
  <c r="AB272" i="4"/>
  <c r="Z272" i="4"/>
  <c r="X272" i="4"/>
  <c r="V272" i="4"/>
  <c r="T272" i="4"/>
  <c r="R272" i="4"/>
  <c r="P272" i="4"/>
  <c r="M272" i="4"/>
  <c r="AL270" i="4"/>
  <c r="AK270" i="4"/>
  <c r="F270" i="4"/>
  <c r="AB270" i="4" s="1"/>
  <c r="AL269" i="4"/>
  <c r="AK269" i="4"/>
  <c r="AF269" i="4"/>
  <c r="AD269" i="4"/>
  <c r="AB269" i="4"/>
  <c r="Z269" i="4"/>
  <c r="X269" i="4"/>
  <c r="V269" i="4"/>
  <c r="T269" i="4"/>
  <c r="R269" i="4"/>
  <c r="P269" i="4"/>
  <c r="M269" i="4"/>
  <c r="AL267" i="4"/>
  <c r="AK267" i="4"/>
  <c r="AB267" i="4"/>
  <c r="F267" i="4"/>
  <c r="X267" i="4" s="1"/>
  <c r="AL266" i="4"/>
  <c r="AK266" i="4"/>
  <c r="AF266" i="4"/>
  <c r="AD266" i="4"/>
  <c r="Z266" i="4"/>
  <c r="X266" i="4"/>
  <c r="V266" i="4"/>
  <c r="T266" i="4"/>
  <c r="R266" i="4"/>
  <c r="P266" i="4"/>
  <c r="M266" i="4"/>
  <c r="AL264" i="4"/>
  <c r="AK264" i="4"/>
  <c r="F264" i="4"/>
  <c r="R264" i="4" s="1"/>
  <c r="AL263" i="4"/>
  <c r="AK263" i="4"/>
  <c r="F263" i="4"/>
  <c r="AB263" i="4" s="1"/>
  <c r="AL262" i="4"/>
  <c r="AK262" i="4"/>
  <c r="AF262" i="4"/>
  <c r="AD262" i="4"/>
  <c r="AB262" i="4"/>
  <c r="Z262" i="4"/>
  <c r="X262" i="4"/>
  <c r="V262" i="4"/>
  <c r="T262" i="4"/>
  <c r="R262" i="4"/>
  <c r="P262" i="4"/>
  <c r="M262" i="4"/>
  <c r="AL260" i="4"/>
  <c r="AK260" i="4"/>
  <c r="F260" i="4"/>
  <c r="AD260" i="4" s="1"/>
  <c r="AL259" i="4"/>
  <c r="AK259" i="4"/>
  <c r="AF259" i="4"/>
  <c r="AD259" i="4"/>
  <c r="Z259" i="4"/>
  <c r="X259" i="4"/>
  <c r="V259" i="4"/>
  <c r="T259" i="4"/>
  <c r="R259" i="4"/>
  <c r="P259" i="4"/>
  <c r="M259" i="4"/>
  <c r="AL257" i="4"/>
  <c r="AK257" i="4"/>
  <c r="F257" i="4"/>
  <c r="AL256" i="4"/>
  <c r="AK256" i="4"/>
  <c r="F256" i="4"/>
  <c r="AL255" i="4"/>
  <c r="AK255" i="4"/>
  <c r="F255" i="4"/>
  <c r="Z255" i="4" s="1"/>
  <c r="AL254" i="4"/>
  <c r="AK254" i="4"/>
  <c r="AF254" i="4"/>
  <c r="AD254" i="4"/>
  <c r="AB254" i="4"/>
  <c r="Z254" i="4"/>
  <c r="X254" i="4"/>
  <c r="V254" i="4"/>
  <c r="T254" i="4"/>
  <c r="R254" i="4"/>
  <c r="P254" i="4"/>
  <c r="M254" i="4"/>
  <c r="AL252" i="4"/>
  <c r="AK252" i="4"/>
  <c r="F252" i="4"/>
  <c r="X252" i="4" s="1"/>
  <c r="AL251" i="4"/>
  <c r="AK251" i="4"/>
  <c r="AF251" i="4"/>
  <c r="AD251" i="4"/>
  <c r="AB251" i="4"/>
  <c r="Z251" i="4"/>
  <c r="X251" i="4"/>
  <c r="V251" i="4"/>
  <c r="T251" i="4"/>
  <c r="R251" i="4"/>
  <c r="P251" i="4"/>
  <c r="M251" i="4"/>
  <c r="AL249" i="4"/>
  <c r="AK249" i="4"/>
  <c r="F249" i="4"/>
  <c r="F250" i="4" s="1"/>
  <c r="AL248" i="4"/>
  <c r="AK248" i="4"/>
  <c r="AF248" i="4"/>
  <c r="AD248" i="4"/>
  <c r="AB248" i="4"/>
  <c r="Z248" i="4"/>
  <c r="X248" i="4"/>
  <c r="V248" i="4"/>
  <c r="T248" i="4"/>
  <c r="R248" i="4"/>
  <c r="P248" i="4"/>
  <c r="M248" i="4"/>
  <c r="AL246" i="4"/>
  <c r="AK246" i="4"/>
  <c r="F246" i="4"/>
  <c r="AL245" i="4"/>
  <c r="AK245" i="4"/>
  <c r="AF245" i="4"/>
  <c r="AD245" i="4"/>
  <c r="Z245" i="4"/>
  <c r="X245" i="4"/>
  <c r="V245" i="4"/>
  <c r="T245" i="4"/>
  <c r="R245" i="4"/>
  <c r="P245" i="4"/>
  <c r="M245" i="4"/>
  <c r="AL243" i="4"/>
  <c r="AK243" i="4"/>
  <c r="F243" i="4"/>
  <c r="AF243" i="4" s="1"/>
  <c r="AL242" i="4"/>
  <c r="AK242" i="4"/>
  <c r="F242" i="4"/>
  <c r="V242" i="4" s="1"/>
  <c r="AL241" i="4"/>
  <c r="AK241" i="4"/>
  <c r="F241" i="4"/>
  <c r="M241" i="4" s="1"/>
  <c r="AL240" i="4"/>
  <c r="AK240" i="4"/>
  <c r="AF240" i="4"/>
  <c r="AD240" i="4"/>
  <c r="AB240" i="4"/>
  <c r="Z240" i="4"/>
  <c r="X240" i="4"/>
  <c r="V240" i="4"/>
  <c r="T240" i="4"/>
  <c r="R240" i="4"/>
  <c r="P240" i="4"/>
  <c r="M240" i="4"/>
  <c r="AL238" i="4"/>
  <c r="AK238" i="4"/>
  <c r="F238" i="4"/>
  <c r="F239" i="4" s="1"/>
  <c r="AL237" i="4"/>
  <c r="AK237" i="4"/>
  <c r="AF237" i="4"/>
  <c r="AD237" i="4"/>
  <c r="Z237" i="4"/>
  <c r="X237" i="4"/>
  <c r="V237" i="4"/>
  <c r="T237" i="4"/>
  <c r="R237" i="4"/>
  <c r="P237" i="4"/>
  <c r="M237" i="4"/>
  <c r="AL235" i="4"/>
  <c r="AK235" i="4"/>
  <c r="F235" i="4"/>
  <c r="AD235" i="4" s="1"/>
  <c r="AL234" i="4"/>
  <c r="AK234" i="4"/>
  <c r="F234" i="4"/>
  <c r="R234" i="4" s="1"/>
  <c r="AL233" i="4"/>
  <c r="AK233" i="4"/>
  <c r="F233" i="4"/>
  <c r="AD233" i="4" s="1"/>
  <c r="AL232" i="4"/>
  <c r="AK232" i="4"/>
  <c r="AF232" i="4"/>
  <c r="AD232" i="4"/>
  <c r="AB232" i="4"/>
  <c r="Z232" i="4"/>
  <c r="X232" i="4"/>
  <c r="V232" i="4"/>
  <c r="T232" i="4"/>
  <c r="R232" i="4"/>
  <c r="P232" i="4"/>
  <c r="M232" i="4"/>
  <c r="AL230" i="4"/>
  <c r="AK230" i="4"/>
  <c r="F230" i="4"/>
  <c r="P230" i="4" s="1"/>
  <c r="AL229" i="4"/>
  <c r="AK229" i="4"/>
  <c r="AF229" i="4"/>
  <c r="AD229" i="4"/>
  <c r="Z229" i="4"/>
  <c r="X229" i="4"/>
  <c r="V229" i="4"/>
  <c r="T229" i="4"/>
  <c r="R229" i="4"/>
  <c r="P229" i="4"/>
  <c r="M229" i="4"/>
  <c r="AL227" i="4"/>
  <c r="AK227" i="4"/>
  <c r="F227" i="4"/>
  <c r="AL226" i="4"/>
  <c r="AK226" i="4"/>
  <c r="AB226" i="4"/>
  <c r="F226" i="4"/>
  <c r="AL225" i="4"/>
  <c r="AK225" i="4"/>
  <c r="F225" i="4"/>
  <c r="T225" i="4" s="1"/>
  <c r="AL224" i="4"/>
  <c r="AK224" i="4"/>
  <c r="AF224" i="4"/>
  <c r="AD224" i="4"/>
  <c r="Z224" i="4"/>
  <c r="X224" i="4"/>
  <c r="V224" i="4"/>
  <c r="T224" i="4"/>
  <c r="R224" i="4"/>
  <c r="P224" i="4"/>
  <c r="M224" i="4"/>
  <c r="AL222" i="4"/>
  <c r="AK222" i="4"/>
  <c r="AB222" i="4"/>
  <c r="F222" i="4"/>
  <c r="AL221" i="4"/>
  <c r="AK221" i="4"/>
  <c r="F221" i="4"/>
  <c r="AL220" i="4"/>
  <c r="AK220" i="4"/>
  <c r="F220" i="4"/>
  <c r="Z220" i="4" s="1"/>
  <c r="AL219" i="4"/>
  <c r="AK219" i="4"/>
  <c r="AF219" i="4"/>
  <c r="AD219" i="4"/>
  <c r="AB219" i="4"/>
  <c r="Z219" i="4"/>
  <c r="X219" i="4"/>
  <c r="V219" i="4"/>
  <c r="T219" i="4"/>
  <c r="R219" i="4"/>
  <c r="P219" i="4"/>
  <c r="M219" i="4"/>
  <c r="AL217" i="4"/>
  <c r="AK217" i="4"/>
  <c r="F217" i="4"/>
  <c r="M217" i="4" s="1"/>
  <c r="AL216" i="4"/>
  <c r="AK216" i="4"/>
  <c r="AF216" i="4"/>
  <c r="AD216" i="4"/>
  <c r="AB216" i="4"/>
  <c r="Z216" i="4"/>
  <c r="X216" i="4"/>
  <c r="V216" i="4"/>
  <c r="T216" i="4"/>
  <c r="R216" i="4"/>
  <c r="P216" i="4"/>
  <c r="M216" i="4"/>
  <c r="AL214" i="4"/>
  <c r="AK214" i="4"/>
  <c r="F214" i="4"/>
  <c r="AL213" i="4"/>
  <c r="AK213" i="4"/>
  <c r="AF213" i="4"/>
  <c r="AD213" i="4"/>
  <c r="AB213" i="4"/>
  <c r="Z213" i="4"/>
  <c r="X213" i="4"/>
  <c r="V213" i="4"/>
  <c r="T213" i="4"/>
  <c r="R213" i="4"/>
  <c r="P213" i="4"/>
  <c r="M213" i="4"/>
  <c r="AL211" i="4"/>
  <c r="AK211" i="4"/>
  <c r="AB211" i="4"/>
  <c r="F211" i="4"/>
  <c r="AL210" i="4"/>
  <c r="AK210" i="4"/>
  <c r="AF210" i="4"/>
  <c r="AD210" i="4"/>
  <c r="Z210" i="4"/>
  <c r="X210" i="4"/>
  <c r="V210" i="4"/>
  <c r="T210" i="4"/>
  <c r="R210" i="4"/>
  <c r="P210" i="4"/>
  <c r="M210" i="4"/>
  <c r="AL208" i="4"/>
  <c r="AK208" i="4"/>
  <c r="F208" i="4"/>
  <c r="AL207" i="4"/>
  <c r="AK207" i="4"/>
  <c r="F207" i="4"/>
  <c r="AD207" i="4" s="1"/>
  <c r="AL206" i="4"/>
  <c r="AK206" i="4"/>
  <c r="AF206" i="4"/>
  <c r="AD206" i="4"/>
  <c r="AB206" i="4"/>
  <c r="Z206" i="4"/>
  <c r="X206" i="4"/>
  <c r="V206" i="4"/>
  <c r="T206" i="4"/>
  <c r="R206" i="4"/>
  <c r="P206" i="4"/>
  <c r="M206" i="4"/>
  <c r="AL204" i="4"/>
  <c r="AK204" i="4"/>
  <c r="F204" i="4"/>
  <c r="AL203" i="4"/>
  <c r="AK203" i="4"/>
  <c r="AF203" i="4"/>
  <c r="AD203" i="4"/>
  <c r="AB203" i="4"/>
  <c r="Z203" i="4"/>
  <c r="X203" i="4"/>
  <c r="V203" i="4"/>
  <c r="T203" i="4"/>
  <c r="R203" i="4"/>
  <c r="P203" i="4"/>
  <c r="M203" i="4"/>
  <c r="AL201" i="4"/>
  <c r="AK201" i="4"/>
  <c r="F201" i="4"/>
  <c r="AL200" i="4"/>
  <c r="AK200" i="4"/>
  <c r="AF200" i="4"/>
  <c r="AD200" i="4"/>
  <c r="AB200" i="4"/>
  <c r="Z200" i="4"/>
  <c r="X200" i="4"/>
  <c r="V200" i="4"/>
  <c r="T200" i="4"/>
  <c r="R200" i="4"/>
  <c r="P200" i="4"/>
  <c r="M200" i="4"/>
  <c r="AL198" i="4"/>
  <c r="AK198" i="4"/>
  <c r="F198" i="4"/>
  <c r="AB198" i="4" s="1"/>
  <c r="AL197" i="4"/>
  <c r="AK197" i="4"/>
  <c r="AF197" i="4"/>
  <c r="AD197" i="4"/>
  <c r="AB197" i="4"/>
  <c r="Z197" i="4"/>
  <c r="X197" i="4"/>
  <c r="V197" i="4"/>
  <c r="T197" i="4"/>
  <c r="R197" i="4"/>
  <c r="P197" i="4"/>
  <c r="M197" i="4"/>
  <c r="AL195" i="4"/>
  <c r="AK195" i="4"/>
  <c r="F195" i="4"/>
  <c r="X195" i="4" s="1"/>
  <c r="AL194" i="4"/>
  <c r="AK194" i="4"/>
  <c r="AF194" i="4"/>
  <c r="AD194" i="4"/>
  <c r="AB194" i="4"/>
  <c r="Z194" i="4"/>
  <c r="X194" i="4"/>
  <c r="V194" i="4"/>
  <c r="T194" i="4"/>
  <c r="R194" i="4"/>
  <c r="P194" i="4"/>
  <c r="M194" i="4"/>
  <c r="AL192" i="4"/>
  <c r="AK192" i="4"/>
  <c r="F192" i="4"/>
  <c r="AL191" i="4"/>
  <c r="AK191" i="4"/>
  <c r="AF191" i="4"/>
  <c r="AD191" i="4"/>
  <c r="AB191" i="4"/>
  <c r="Z191" i="4"/>
  <c r="X191" i="4"/>
  <c r="V191" i="4"/>
  <c r="T191" i="4"/>
  <c r="R191" i="4"/>
  <c r="P191" i="4"/>
  <c r="M191" i="4"/>
  <c r="AL189" i="4"/>
  <c r="AK189" i="4"/>
  <c r="F189" i="4"/>
  <c r="F190" i="4" s="1"/>
  <c r="AL188" i="4"/>
  <c r="AK188" i="4"/>
  <c r="AF188" i="4"/>
  <c r="AD188" i="4"/>
  <c r="AB188" i="4"/>
  <c r="Z188" i="4"/>
  <c r="X188" i="4"/>
  <c r="V188" i="4"/>
  <c r="T188" i="4"/>
  <c r="R188" i="4"/>
  <c r="P188" i="4"/>
  <c r="M188" i="4"/>
  <c r="AL186" i="4"/>
  <c r="AK186" i="4"/>
  <c r="F186" i="4"/>
  <c r="AL185" i="4"/>
  <c r="AK185" i="4"/>
  <c r="AF185" i="4"/>
  <c r="AD185" i="4"/>
  <c r="AB185" i="4"/>
  <c r="Z185" i="4"/>
  <c r="X185" i="4"/>
  <c r="V185" i="4"/>
  <c r="T185" i="4"/>
  <c r="R185" i="4"/>
  <c r="P185" i="4"/>
  <c r="M185" i="4"/>
  <c r="AL183" i="4"/>
  <c r="AK183" i="4"/>
  <c r="AB183" i="4"/>
  <c r="F183" i="4"/>
  <c r="AF183" i="4" s="1"/>
  <c r="AL182" i="4"/>
  <c r="AK182" i="4"/>
  <c r="AF182" i="4"/>
  <c r="AD182" i="4"/>
  <c r="Z182" i="4"/>
  <c r="X182" i="4"/>
  <c r="V182" i="4"/>
  <c r="T182" i="4"/>
  <c r="R182" i="4"/>
  <c r="P182" i="4"/>
  <c r="M182" i="4"/>
  <c r="AL180" i="4"/>
  <c r="AK180" i="4"/>
  <c r="F180" i="4"/>
  <c r="Z180" i="4" s="1"/>
  <c r="AL179" i="4"/>
  <c r="AK179" i="4"/>
  <c r="F179" i="4"/>
  <c r="AF179" i="4" s="1"/>
  <c r="AL178" i="4"/>
  <c r="AK178" i="4"/>
  <c r="AF178" i="4"/>
  <c r="AD178" i="4"/>
  <c r="AB178" i="4"/>
  <c r="Z178" i="4"/>
  <c r="X178" i="4"/>
  <c r="V178" i="4"/>
  <c r="T178" i="4"/>
  <c r="R178" i="4"/>
  <c r="P178" i="4"/>
  <c r="M178" i="4"/>
  <c r="AL176" i="4"/>
  <c r="AK176" i="4"/>
  <c r="F176" i="4"/>
  <c r="AD176" i="4" s="1"/>
  <c r="AL175" i="4"/>
  <c r="AK175" i="4"/>
  <c r="AF175" i="4"/>
  <c r="AD175" i="4"/>
  <c r="AB175" i="4"/>
  <c r="Z175" i="4"/>
  <c r="X175" i="4"/>
  <c r="V175" i="4"/>
  <c r="T175" i="4"/>
  <c r="R175" i="4"/>
  <c r="P175" i="4"/>
  <c r="M175" i="4"/>
  <c r="AL173" i="4"/>
  <c r="AK173" i="4"/>
  <c r="AB173" i="4"/>
  <c r="F173" i="4"/>
  <c r="AF173" i="4" s="1"/>
  <c r="AL172" i="4"/>
  <c r="AK172" i="4"/>
  <c r="AF172" i="4"/>
  <c r="AD172" i="4"/>
  <c r="Z172" i="4"/>
  <c r="X172" i="4"/>
  <c r="V172" i="4"/>
  <c r="T172" i="4"/>
  <c r="R172" i="4"/>
  <c r="P172" i="4"/>
  <c r="M172" i="4"/>
  <c r="AL170" i="4"/>
  <c r="AK170" i="4"/>
  <c r="F170" i="4"/>
  <c r="Z170" i="4" s="1"/>
  <c r="AL169" i="4"/>
  <c r="AK169" i="4"/>
  <c r="F169" i="4"/>
  <c r="AL168" i="4"/>
  <c r="AK168" i="4"/>
  <c r="AF168" i="4"/>
  <c r="AD168" i="4"/>
  <c r="AB168" i="4"/>
  <c r="Z168" i="4"/>
  <c r="X168" i="4"/>
  <c r="V168" i="4"/>
  <c r="T168" i="4"/>
  <c r="R168" i="4"/>
  <c r="P168" i="4"/>
  <c r="M168" i="4"/>
  <c r="AL166" i="4"/>
  <c r="AK166" i="4"/>
  <c r="F166" i="4"/>
  <c r="Z166" i="4" s="1"/>
  <c r="AL165" i="4"/>
  <c r="AK165" i="4"/>
  <c r="AF165" i="4"/>
  <c r="AD165" i="4"/>
  <c r="AB165" i="4"/>
  <c r="Z165" i="4"/>
  <c r="X165" i="4"/>
  <c r="V165" i="4"/>
  <c r="T165" i="4"/>
  <c r="R165" i="4"/>
  <c r="P165" i="4"/>
  <c r="M165" i="4"/>
  <c r="AL163" i="4"/>
  <c r="AK163" i="4"/>
  <c r="F163" i="4"/>
  <c r="V163" i="4" s="1"/>
  <c r="AL162" i="4"/>
  <c r="AK162" i="4"/>
  <c r="AF162" i="4"/>
  <c r="AD162" i="4"/>
  <c r="Z162" i="4"/>
  <c r="X162" i="4"/>
  <c r="V162" i="4"/>
  <c r="T162" i="4"/>
  <c r="R162" i="4"/>
  <c r="P162" i="4"/>
  <c r="M162" i="4"/>
  <c r="AL160" i="4"/>
  <c r="AK160" i="4"/>
  <c r="F160" i="4"/>
  <c r="R160" i="4" s="1"/>
  <c r="AL159" i="4"/>
  <c r="AK159" i="4"/>
  <c r="F159" i="4"/>
  <c r="AL158" i="4"/>
  <c r="AK158" i="4"/>
  <c r="AB158" i="4"/>
  <c r="F158" i="4"/>
  <c r="Z158" i="4" s="1"/>
  <c r="AL157" i="4"/>
  <c r="AK157" i="4"/>
  <c r="AF157" i="4"/>
  <c r="AD157" i="4"/>
  <c r="Z157" i="4"/>
  <c r="X157" i="4"/>
  <c r="V157" i="4"/>
  <c r="T157" i="4"/>
  <c r="R157" i="4"/>
  <c r="P157" i="4"/>
  <c r="M157" i="4"/>
  <c r="AL155" i="4"/>
  <c r="AK155" i="4"/>
  <c r="F155" i="4"/>
  <c r="V155" i="4" s="1"/>
  <c r="AL154" i="4"/>
  <c r="AK154" i="4"/>
  <c r="AB154" i="4"/>
  <c r="F154" i="4"/>
  <c r="Z154" i="4" s="1"/>
  <c r="AL153" i="4"/>
  <c r="AK153" i="4"/>
  <c r="AF153" i="4"/>
  <c r="AD153" i="4"/>
  <c r="Z153" i="4"/>
  <c r="X153" i="4"/>
  <c r="V153" i="4"/>
  <c r="T153" i="4"/>
  <c r="R153" i="4"/>
  <c r="P153" i="4"/>
  <c r="M153" i="4"/>
  <c r="AL151" i="4"/>
  <c r="AK151" i="4"/>
  <c r="F151" i="4"/>
  <c r="AD151" i="4" s="1"/>
  <c r="AL150" i="4"/>
  <c r="AK150" i="4"/>
  <c r="F150" i="4"/>
  <c r="AL149" i="4"/>
  <c r="AK149" i="4"/>
  <c r="AF149" i="4"/>
  <c r="AD149" i="4"/>
  <c r="AB149" i="4"/>
  <c r="Z149" i="4"/>
  <c r="X149" i="4"/>
  <c r="V149" i="4"/>
  <c r="T149" i="4"/>
  <c r="R149" i="4"/>
  <c r="P149" i="4"/>
  <c r="M149" i="4"/>
  <c r="AL147" i="4"/>
  <c r="AK147" i="4"/>
  <c r="F147" i="4"/>
  <c r="AL146" i="4"/>
  <c r="AK146" i="4"/>
  <c r="AF146" i="4"/>
  <c r="AD146" i="4"/>
  <c r="Z146" i="4"/>
  <c r="X146" i="4"/>
  <c r="V146" i="4"/>
  <c r="T146" i="4"/>
  <c r="R146" i="4"/>
  <c r="P146" i="4"/>
  <c r="M146" i="4"/>
  <c r="AL144" i="4"/>
  <c r="AK144" i="4"/>
  <c r="F144" i="4"/>
  <c r="AL143" i="4"/>
  <c r="AK143" i="4"/>
  <c r="F143" i="4"/>
  <c r="AL142" i="4"/>
  <c r="AK142" i="4"/>
  <c r="F142" i="4"/>
  <c r="AL141" i="4"/>
  <c r="AK141" i="4"/>
  <c r="F141" i="4"/>
  <c r="AL140" i="4"/>
  <c r="AK140" i="4"/>
  <c r="AF140" i="4"/>
  <c r="AD140" i="4"/>
  <c r="AB140" i="4"/>
  <c r="Z140" i="4"/>
  <c r="X140" i="4"/>
  <c r="V140" i="4"/>
  <c r="T140" i="4"/>
  <c r="R140" i="4"/>
  <c r="P140" i="4"/>
  <c r="M140" i="4"/>
  <c r="AL138" i="4"/>
  <c r="AK138" i="4"/>
  <c r="AB138" i="4"/>
  <c r="F138" i="4"/>
  <c r="AL137" i="4"/>
  <c r="AK137" i="4"/>
  <c r="AF137" i="4"/>
  <c r="AD137" i="4"/>
  <c r="Z137" i="4"/>
  <c r="X137" i="4"/>
  <c r="V137" i="4"/>
  <c r="T137" i="4"/>
  <c r="R137" i="4"/>
  <c r="P137" i="4"/>
  <c r="M137" i="4"/>
  <c r="AL135" i="4"/>
  <c r="AK135" i="4"/>
  <c r="F135" i="4"/>
  <c r="AL134" i="4"/>
  <c r="AK134" i="4"/>
  <c r="F134" i="4"/>
  <c r="AL133" i="4"/>
  <c r="AK133" i="4"/>
  <c r="AF133" i="4"/>
  <c r="AD133" i="4"/>
  <c r="AB133" i="4"/>
  <c r="Z133" i="4"/>
  <c r="X133" i="4"/>
  <c r="V133" i="4"/>
  <c r="T133" i="4"/>
  <c r="R133" i="4"/>
  <c r="P133" i="4"/>
  <c r="M133" i="4"/>
  <c r="AL131" i="4"/>
  <c r="AK131" i="4"/>
  <c r="F131" i="4"/>
  <c r="AL130" i="4"/>
  <c r="AK130" i="4"/>
  <c r="AF130" i="4"/>
  <c r="AD130" i="4"/>
  <c r="AB130" i="4"/>
  <c r="Z130" i="4"/>
  <c r="X130" i="4"/>
  <c r="V130" i="4"/>
  <c r="T130" i="4"/>
  <c r="R130" i="4"/>
  <c r="P130" i="4"/>
  <c r="M130" i="4"/>
  <c r="AL128" i="4"/>
  <c r="AK128" i="4"/>
  <c r="F128" i="4"/>
  <c r="AL127" i="4"/>
  <c r="AK127" i="4"/>
  <c r="AF127" i="4"/>
  <c r="AD127" i="4"/>
  <c r="AB127" i="4"/>
  <c r="Z127" i="4"/>
  <c r="X127" i="4"/>
  <c r="V127" i="4"/>
  <c r="T127" i="4"/>
  <c r="R127" i="4"/>
  <c r="P127" i="4"/>
  <c r="M127" i="4"/>
  <c r="AL125" i="4"/>
  <c r="AK125" i="4"/>
  <c r="AB125" i="4"/>
  <c r="F125" i="4"/>
  <c r="R125" i="4" s="1"/>
  <c r="AL124" i="4"/>
  <c r="AK124" i="4"/>
  <c r="AF124" i="4"/>
  <c r="AD124" i="4"/>
  <c r="Z124" i="4"/>
  <c r="X124" i="4"/>
  <c r="V124" i="4"/>
  <c r="T124" i="4"/>
  <c r="R124" i="4"/>
  <c r="P124" i="4"/>
  <c r="M124" i="4"/>
  <c r="AL122" i="4"/>
  <c r="AK122" i="4"/>
  <c r="F122" i="4"/>
  <c r="AL121" i="4"/>
  <c r="AK121" i="4"/>
  <c r="AB121" i="4"/>
  <c r="F121" i="4"/>
  <c r="P121" i="4" s="1"/>
  <c r="AL120" i="4"/>
  <c r="AK120" i="4"/>
  <c r="AF120" i="4"/>
  <c r="AD120" i="4"/>
  <c r="Z120" i="4"/>
  <c r="X120" i="4"/>
  <c r="V120" i="4"/>
  <c r="T120" i="4"/>
  <c r="R120" i="4"/>
  <c r="P120" i="4"/>
  <c r="M120" i="4"/>
  <c r="AL118" i="4"/>
  <c r="AK118" i="4"/>
  <c r="F118" i="4"/>
  <c r="AL117" i="4"/>
  <c r="AK117" i="4"/>
  <c r="F117" i="4"/>
  <c r="R117" i="4" s="1"/>
  <c r="AL116" i="4"/>
  <c r="AK116" i="4"/>
  <c r="AF116" i="4"/>
  <c r="AD116" i="4"/>
  <c r="AB116" i="4"/>
  <c r="Z116" i="4"/>
  <c r="X116" i="4"/>
  <c r="V116" i="4"/>
  <c r="T116" i="4"/>
  <c r="R116" i="4"/>
  <c r="P116" i="4"/>
  <c r="M116" i="4"/>
  <c r="AL114" i="4"/>
  <c r="AK114" i="4"/>
  <c r="F114" i="4"/>
  <c r="V114" i="4" s="1"/>
  <c r="AL113" i="4"/>
  <c r="AK113" i="4"/>
  <c r="AF113" i="4"/>
  <c r="AD113" i="4"/>
  <c r="AB113" i="4"/>
  <c r="Z113" i="4"/>
  <c r="X113" i="4"/>
  <c r="V113" i="4"/>
  <c r="T113" i="4"/>
  <c r="R113" i="4"/>
  <c r="P113" i="4"/>
  <c r="M113" i="4"/>
  <c r="AL111" i="4"/>
  <c r="AK111" i="4"/>
  <c r="F111" i="4"/>
  <c r="F112" i="4" s="1"/>
  <c r="AL110" i="4"/>
  <c r="AK110" i="4"/>
  <c r="AF110" i="4"/>
  <c r="AD110" i="4"/>
  <c r="AB110" i="4"/>
  <c r="Z110" i="4"/>
  <c r="X110" i="4"/>
  <c r="V110" i="4"/>
  <c r="T110" i="4"/>
  <c r="R110" i="4"/>
  <c r="P110" i="4"/>
  <c r="M110" i="4"/>
  <c r="AL108" i="4"/>
  <c r="AK108" i="4"/>
  <c r="AB108" i="4"/>
  <c r="F108" i="4"/>
  <c r="Z108" i="4" s="1"/>
  <c r="AL107" i="4"/>
  <c r="AK107" i="4"/>
  <c r="AF107" i="4"/>
  <c r="AD107" i="4"/>
  <c r="Z107" i="4"/>
  <c r="X107" i="4"/>
  <c r="V107" i="4"/>
  <c r="T107" i="4"/>
  <c r="R107" i="4"/>
  <c r="P107" i="4"/>
  <c r="M107" i="4"/>
  <c r="AL105" i="4"/>
  <c r="AK105" i="4"/>
  <c r="F105" i="4"/>
  <c r="AF105" i="4" s="1"/>
  <c r="AL104" i="4"/>
  <c r="AK104" i="4"/>
  <c r="F104" i="4"/>
  <c r="AL103" i="4"/>
  <c r="AK103" i="4"/>
  <c r="AF103" i="4"/>
  <c r="AD103" i="4"/>
  <c r="AB103" i="4"/>
  <c r="Z103" i="4"/>
  <c r="X103" i="4"/>
  <c r="V103" i="4"/>
  <c r="T103" i="4"/>
  <c r="R103" i="4"/>
  <c r="P103" i="4"/>
  <c r="M103" i="4"/>
  <c r="AL101" i="4"/>
  <c r="AK101" i="4"/>
  <c r="AB101" i="4"/>
  <c r="F101" i="4"/>
  <c r="F102" i="4" s="1"/>
  <c r="AL100" i="4"/>
  <c r="AK100" i="4"/>
  <c r="AF100" i="4"/>
  <c r="AD100" i="4"/>
  <c r="Z100" i="4"/>
  <c r="X100" i="4"/>
  <c r="V100" i="4"/>
  <c r="T100" i="4"/>
  <c r="R100" i="4"/>
  <c r="P100" i="4"/>
  <c r="M100" i="4"/>
  <c r="AL98" i="4"/>
  <c r="AK98" i="4"/>
  <c r="AB98" i="4"/>
  <c r="F98" i="4"/>
  <c r="M98" i="4" s="1"/>
  <c r="AL97" i="4"/>
  <c r="AK97" i="4"/>
  <c r="F97" i="4"/>
  <c r="T97" i="4" s="1"/>
  <c r="AL96" i="4"/>
  <c r="AK96" i="4"/>
  <c r="F96" i="4"/>
  <c r="AL95" i="4"/>
  <c r="AK95" i="4"/>
  <c r="AF95" i="4"/>
  <c r="AD95" i="4"/>
  <c r="Z95" i="4"/>
  <c r="X95" i="4"/>
  <c r="V95" i="4"/>
  <c r="T95" i="4"/>
  <c r="R95" i="4"/>
  <c r="P95" i="4"/>
  <c r="M95" i="4"/>
  <c r="AL93" i="4"/>
  <c r="AK93" i="4"/>
  <c r="F93" i="4"/>
  <c r="AL92" i="4"/>
  <c r="AK92" i="4"/>
  <c r="F92" i="4"/>
  <c r="AL91" i="4"/>
  <c r="AK91" i="4"/>
  <c r="F91" i="4"/>
  <c r="AL90" i="4"/>
  <c r="AK90" i="4"/>
  <c r="F90" i="4"/>
  <c r="AL89" i="4"/>
  <c r="AK89" i="4"/>
  <c r="AL87" i="4"/>
  <c r="AK87" i="4"/>
  <c r="F87" i="4"/>
  <c r="V87" i="4" s="1"/>
  <c r="AL86" i="4"/>
  <c r="AK86" i="4"/>
  <c r="AD86" i="4"/>
  <c r="Z86" i="4"/>
  <c r="X86" i="4"/>
  <c r="V86" i="4"/>
  <c r="T86" i="4"/>
  <c r="R86" i="4"/>
  <c r="P86" i="4"/>
  <c r="M86" i="4"/>
  <c r="AL84" i="4"/>
  <c r="AK84" i="4"/>
  <c r="F84" i="4"/>
  <c r="AL83" i="4"/>
  <c r="AK83" i="4"/>
  <c r="AD83" i="4"/>
  <c r="Z83" i="4"/>
  <c r="X83" i="4"/>
  <c r="V83" i="4"/>
  <c r="T83" i="4"/>
  <c r="R83" i="4"/>
  <c r="P83" i="4"/>
  <c r="M83" i="4"/>
  <c r="AL81" i="4"/>
  <c r="AK81" i="4"/>
  <c r="F81" i="4"/>
  <c r="AL80" i="4"/>
  <c r="AK80" i="4"/>
  <c r="AD80" i="4"/>
  <c r="Z80" i="4"/>
  <c r="X80" i="4"/>
  <c r="V80" i="4"/>
  <c r="T80" i="4"/>
  <c r="R80" i="4"/>
  <c r="P80" i="4"/>
  <c r="M80" i="4"/>
  <c r="AL78" i="4"/>
  <c r="AK78" i="4"/>
  <c r="F78" i="4"/>
  <c r="AD78" i="4" s="1"/>
  <c r="AL77" i="4"/>
  <c r="AK77" i="4"/>
  <c r="AD77" i="4"/>
  <c r="Z77" i="4"/>
  <c r="X77" i="4"/>
  <c r="V77" i="4"/>
  <c r="T77" i="4"/>
  <c r="R77" i="4"/>
  <c r="P77" i="4"/>
  <c r="M77" i="4"/>
  <c r="AL75" i="4"/>
  <c r="AK75" i="4"/>
  <c r="F75" i="4"/>
  <c r="AD75" i="4" s="1"/>
  <c r="AL74" i="4"/>
  <c r="AK74" i="4"/>
  <c r="AD74" i="4"/>
  <c r="Z74" i="4"/>
  <c r="X74" i="4"/>
  <c r="V74" i="4"/>
  <c r="T74" i="4"/>
  <c r="R74" i="4"/>
  <c r="P74" i="4"/>
  <c r="M74" i="4"/>
  <c r="AL72" i="4"/>
  <c r="AK72" i="4"/>
  <c r="F72" i="4"/>
  <c r="X72" i="4" s="1"/>
  <c r="AL71" i="4"/>
  <c r="AK71" i="4"/>
  <c r="AD71" i="4"/>
  <c r="Z71" i="4"/>
  <c r="X71" i="4"/>
  <c r="V71" i="4"/>
  <c r="T71" i="4"/>
  <c r="R71" i="4"/>
  <c r="P71" i="4"/>
  <c r="M71" i="4"/>
  <c r="AL69" i="4"/>
  <c r="AK69" i="4"/>
  <c r="AB69" i="4"/>
  <c r="F69" i="4"/>
  <c r="F70" i="4" s="1"/>
  <c r="AL68" i="4"/>
  <c r="AK68" i="4"/>
  <c r="AF68" i="4"/>
  <c r="AD68" i="4"/>
  <c r="Z68" i="4"/>
  <c r="X68" i="4"/>
  <c r="V68" i="4"/>
  <c r="T68" i="4"/>
  <c r="R68" i="4"/>
  <c r="P68" i="4"/>
  <c r="M68" i="4"/>
  <c r="AL66" i="4"/>
  <c r="AK66" i="4"/>
  <c r="F66" i="4"/>
  <c r="AL65" i="4"/>
  <c r="AK65" i="4"/>
  <c r="AB65" i="4"/>
  <c r="F65" i="4"/>
  <c r="AD65" i="4" s="1"/>
  <c r="AL64" i="4"/>
  <c r="AK64" i="4"/>
  <c r="AF64" i="4"/>
  <c r="AD64" i="4"/>
  <c r="Z64" i="4"/>
  <c r="X64" i="4"/>
  <c r="V64" i="4"/>
  <c r="T64" i="4"/>
  <c r="R64" i="4"/>
  <c r="P64" i="4"/>
  <c r="M64" i="4"/>
  <c r="AL62" i="4"/>
  <c r="AK62" i="4"/>
  <c r="F62" i="4"/>
  <c r="AL61" i="4"/>
  <c r="AK61" i="4"/>
  <c r="AB61" i="4"/>
  <c r="F61" i="4"/>
  <c r="AF61" i="4" s="1"/>
  <c r="AL60" i="4"/>
  <c r="AK60" i="4"/>
  <c r="AF60" i="4"/>
  <c r="AD60" i="4"/>
  <c r="Z60" i="4"/>
  <c r="X60" i="4"/>
  <c r="V60" i="4"/>
  <c r="T60" i="4"/>
  <c r="R60" i="4"/>
  <c r="P60" i="4"/>
  <c r="M60" i="4"/>
  <c r="AL58" i="4"/>
  <c r="AK58" i="4"/>
  <c r="F58" i="4"/>
  <c r="AL57" i="4"/>
  <c r="AK57" i="4"/>
  <c r="AB57" i="4"/>
  <c r="F57" i="4"/>
  <c r="AB58" i="4" s="1"/>
  <c r="AL56" i="4"/>
  <c r="AK56" i="4"/>
  <c r="AF56" i="4"/>
  <c r="AD56" i="4"/>
  <c r="Z56" i="4"/>
  <c r="X56" i="4"/>
  <c r="V56" i="4"/>
  <c r="T56" i="4"/>
  <c r="R56" i="4"/>
  <c r="P56" i="4"/>
  <c r="M56" i="4"/>
  <c r="AL54" i="4"/>
  <c r="AK54" i="4"/>
  <c r="F54" i="4"/>
  <c r="AL53" i="4"/>
  <c r="AK53" i="4"/>
  <c r="F53" i="4"/>
  <c r="AF53" i="4" s="1"/>
  <c r="AL52" i="4"/>
  <c r="AK52" i="4"/>
  <c r="AF52" i="4"/>
  <c r="AD52" i="4"/>
  <c r="AB52" i="4"/>
  <c r="Z52" i="4"/>
  <c r="X52" i="4"/>
  <c r="V52" i="4"/>
  <c r="T52" i="4"/>
  <c r="R52" i="4"/>
  <c r="P52" i="4"/>
  <c r="M52" i="4"/>
  <c r="AL50" i="4"/>
  <c r="AK50" i="4"/>
  <c r="F50" i="4"/>
  <c r="AL49" i="4"/>
  <c r="AK49" i="4"/>
  <c r="AF49" i="4"/>
  <c r="AD49" i="4"/>
  <c r="AB49" i="4"/>
  <c r="Z49" i="4"/>
  <c r="X49" i="4"/>
  <c r="V49" i="4"/>
  <c r="T49" i="4"/>
  <c r="R49" i="4"/>
  <c r="P49" i="4"/>
  <c r="M49" i="4"/>
  <c r="AL47" i="4"/>
  <c r="AK47" i="4"/>
  <c r="F47" i="4"/>
  <c r="X47" i="4" s="1"/>
  <c r="AL46" i="4"/>
  <c r="AK46" i="4"/>
  <c r="AF46" i="4"/>
  <c r="AD46" i="4"/>
  <c r="AB46" i="4"/>
  <c r="Z46" i="4"/>
  <c r="X46" i="4"/>
  <c r="V46" i="4"/>
  <c r="T46" i="4"/>
  <c r="R46" i="4"/>
  <c r="P46" i="4"/>
  <c r="M46" i="4"/>
  <c r="AL44" i="4"/>
  <c r="AK44" i="4"/>
  <c r="F44" i="4"/>
  <c r="AD44" i="4" s="1"/>
  <c r="AL43" i="4"/>
  <c r="AK43" i="4"/>
  <c r="AF43" i="4"/>
  <c r="AD43" i="4"/>
  <c r="AB43" i="4"/>
  <c r="Z43" i="4"/>
  <c r="X43" i="4"/>
  <c r="V43" i="4"/>
  <c r="T43" i="4"/>
  <c r="R43" i="4"/>
  <c r="P43" i="4"/>
  <c r="M43" i="4"/>
  <c r="AL41" i="4"/>
  <c r="AK41" i="4"/>
  <c r="AB41" i="4"/>
  <c r="F41" i="4"/>
  <c r="AD41" i="4" s="1"/>
  <c r="AL40" i="4"/>
  <c r="AK40" i="4"/>
  <c r="AF40" i="4"/>
  <c r="AD40" i="4"/>
  <c r="Z40" i="4"/>
  <c r="X40" i="4"/>
  <c r="V40" i="4"/>
  <c r="T40" i="4"/>
  <c r="R40" i="4"/>
  <c r="P40" i="4"/>
  <c r="M40" i="4"/>
  <c r="AL38" i="4"/>
  <c r="AK38" i="4"/>
  <c r="F38" i="4"/>
  <c r="AL37" i="4"/>
  <c r="AK37" i="4"/>
  <c r="AB37" i="4"/>
  <c r="F37" i="4"/>
  <c r="Z37" i="4" s="1"/>
  <c r="AL36" i="4"/>
  <c r="AK36" i="4"/>
  <c r="AF36" i="4"/>
  <c r="AD36" i="4"/>
  <c r="Z36" i="4"/>
  <c r="X36" i="4"/>
  <c r="V36" i="4"/>
  <c r="T36" i="4"/>
  <c r="R36" i="4"/>
  <c r="P36" i="4"/>
  <c r="M36" i="4"/>
  <c r="AL34" i="4"/>
  <c r="AK34" i="4"/>
  <c r="F34" i="4"/>
  <c r="AL33" i="4"/>
  <c r="AK33" i="4"/>
  <c r="F33" i="4"/>
  <c r="AF33" i="4" s="1"/>
  <c r="AL32" i="4"/>
  <c r="AK32" i="4"/>
  <c r="AF32" i="4"/>
  <c r="AD32" i="4"/>
  <c r="AB32" i="4"/>
  <c r="Z32" i="4"/>
  <c r="X32" i="4"/>
  <c r="V32" i="4"/>
  <c r="T32" i="4"/>
  <c r="R32" i="4"/>
  <c r="P32" i="4"/>
  <c r="M32" i="4"/>
  <c r="AL30" i="4"/>
  <c r="AK30" i="4"/>
  <c r="AB30" i="4"/>
  <c r="F30" i="4"/>
  <c r="AL29" i="4"/>
  <c r="AK29" i="4"/>
  <c r="AF29" i="4"/>
  <c r="AD29" i="4"/>
  <c r="Z29" i="4"/>
  <c r="X29" i="4"/>
  <c r="V29" i="4"/>
  <c r="T29" i="4"/>
  <c r="R29" i="4"/>
  <c r="P29" i="4"/>
  <c r="M29" i="4"/>
  <c r="AL27" i="4"/>
  <c r="AK27" i="4"/>
  <c r="F27" i="4"/>
  <c r="P27" i="4" s="1"/>
  <c r="AL26" i="4"/>
  <c r="AK26" i="4"/>
  <c r="AB26" i="4"/>
  <c r="F26" i="4"/>
  <c r="AL25" i="4"/>
  <c r="AK25" i="4"/>
  <c r="AF25" i="4"/>
  <c r="AD25" i="4"/>
  <c r="Z25" i="4"/>
  <c r="X25" i="4"/>
  <c r="V25" i="4"/>
  <c r="T25" i="4"/>
  <c r="R25" i="4"/>
  <c r="P25" i="4"/>
  <c r="M25" i="4"/>
  <c r="AL23" i="4"/>
  <c r="AK23" i="4"/>
  <c r="F23" i="4"/>
  <c r="AL22" i="4"/>
  <c r="AK22" i="4"/>
  <c r="F22" i="4"/>
  <c r="AL21" i="4"/>
  <c r="AK21" i="4"/>
  <c r="AF21" i="4"/>
  <c r="AD21" i="4"/>
  <c r="AB21" i="4"/>
  <c r="Z21" i="4"/>
  <c r="X21" i="4"/>
  <c r="V21" i="4"/>
  <c r="T21" i="4"/>
  <c r="R21" i="4"/>
  <c r="P21" i="4"/>
  <c r="M21" i="4"/>
  <c r="AL19" i="4"/>
  <c r="AK19" i="4"/>
  <c r="F19" i="4"/>
  <c r="X19" i="4" s="1"/>
  <c r="AL18" i="4"/>
  <c r="AK18" i="4"/>
  <c r="F18" i="4"/>
  <c r="AL17" i="4"/>
  <c r="AK17" i="4"/>
  <c r="F17" i="4"/>
  <c r="AL16" i="4"/>
  <c r="AK16" i="4"/>
  <c r="AF16" i="4"/>
  <c r="AD16" i="4"/>
  <c r="AB16" i="4"/>
  <c r="Z16" i="4"/>
  <c r="X16" i="4"/>
  <c r="V16" i="4"/>
  <c r="T16" i="4"/>
  <c r="R16" i="4"/>
  <c r="P16" i="4"/>
  <c r="M16" i="4"/>
  <c r="AL14" i="4"/>
  <c r="AK14" i="4"/>
  <c r="F14" i="4"/>
  <c r="AL13" i="4"/>
  <c r="AK13" i="4"/>
  <c r="AF13" i="4"/>
  <c r="AD13" i="4"/>
  <c r="AB13" i="4"/>
  <c r="Z13" i="4"/>
  <c r="X13" i="4"/>
  <c r="V13" i="4"/>
  <c r="T13" i="4"/>
  <c r="R13" i="4"/>
  <c r="P13" i="4"/>
  <c r="M13" i="4"/>
  <c r="AL11" i="4"/>
  <c r="AK11" i="4"/>
  <c r="F11" i="4"/>
  <c r="Z11" i="4" s="1"/>
  <c r="AL10" i="4"/>
  <c r="AK10" i="4"/>
  <c r="F10" i="4"/>
  <c r="AL9" i="4"/>
  <c r="AK9" i="4"/>
  <c r="AF9" i="4"/>
  <c r="AD9" i="4"/>
  <c r="AB9" i="4"/>
  <c r="Z9" i="4"/>
  <c r="X9" i="4"/>
  <c r="V9" i="4"/>
  <c r="R9" i="4"/>
  <c r="P9" i="4"/>
  <c r="M9" i="4"/>
  <c r="F7" i="4"/>
  <c r="F8" i="4" s="1"/>
  <c r="D144" i="1"/>
  <c r="R143" i="1"/>
  <c r="R78" i="1"/>
  <c r="R53" i="1"/>
  <c r="R60" i="1"/>
  <c r="AB255" i="4" l="1"/>
  <c r="AB112" i="4"/>
  <c r="AB250" i="4"/>
  <c r="AL519" i="4"/>
  <c r="AK351" i="4"/>
  <c r="AK606" i="4"/>
  <c r="AL202" i="4"/>
  <c r="AL271" i="4"/>
  <c r="R588" i="4"/>
  <c r="AK24" i="4"/>
  <c r="AA622" i="4"/>
  <c r="AL136" i="4"/>
  <c r="AL530" i="4"/>
  <c r="K544" i="4"/>
  <c r="AL538" i="4"/>
  <c r="AL15" i="4"/>
  <c r="R27" i="4"/>
  <c r="AL294" i="4"/>
  <c r="AB309" i="4"/>
  <c r="AL421" i="4"/>
  <c r="AK609" i="4"/>
  <c r="T114" i="4"/>
  <c r="M286" i="4"/>
  <c r="X286" i="4"/>
  <c r="AL164" i="4"/>
  <c r="V366" i="4"/>
  <c r="AL550" i="4"/>
  <c r="Z302" i="4"/>
  <c r="AB360" i="4"/>
  <c r="M173" i="4"/>
  <c r="AF312" i="4"/>
  <c r="AD183" i="4"/>
  <c r="X287" i="4"/>
  <c r="AB303" i="4"/>
  <c r="F582" i="4"/>
  <c r="P105" i="4"/>
  <c r="M255" i="4"/>
  <c r="V105" i="4"/>
  <c r="R255" i="4"/>
  <c r="AB366" i="4"/>
  <c r="R98" i="4"/>
  <c r="AB122" i="4"/>
  <c r="AK202" i="4"/>
  <c r="AK244" i="4"/>
  <c r="AL132" i="4"/>
  <c r="AK164" i="4"/>
  <c r="AK196" i="4"/>
  <c r="AB220" i="4"/>
  <c r="R225" i="4"/>
  <c r="AK239" i="4"/>
  <c r="AL496" i="4"/>
  <c r="AK59" i="4"/>
  <c r="AK126" i="4"/>
  <c r="AL171" i="4"/>
  <c r="AE544" i="4"/>
  <c r="AH544" i="4" s="1"/>
  <c r="AI544" i="4" s="1"/>
  <c r="AL73" i="4"/>
  <c r="AK152" i="4"/>
  <c r="AL190" i="4"/>
  <c r="AK509" i="4"/>
  <c r="T522" i="4"/>
  <c r="AK603" i="4"/>
  <c r="AL314" i="4"/>
  <c r="AL445" i="4"/>
  <c r="AB597" i="4"/>
  <c r="AK599" i="4"/>
  <c r="V602" i="4"/>
  <c r="M183" i="4"/>
  <c r="AL184" i="4"/>
  <c r="AK388" i="4"/>
  <c r="Z41" i="4"/>
  <c r="AD47" i="4"/>
  <c r="AL167" i="4"/>
  <c r="Z183" i="4"/>
  <c r="R457" i="4"/>
  <c r="AF47" i="4"/>
  <c r="AK148" i="4"/>
  <c r="AK402" i="4"/>
  <c r="AL45" i="4"/>
  <c r="AL51" i="4"/>
  <c r="Z287" i="4"/>
  <c r="AK231" i="4"/>
  <c r="AL376" i="4"/>
  <c r="F202" i="4"/>
  <c r="X202" i="4" s="1"/>
  <c r="V201" i="4"/>
  <c r="T201" i="4"/>
  <c r="R201" i="4"/>
  <c r="AF90" i="4"/>
  <c r="T90" i="4"/>
  <c r="AD90" i="4"/>
  <c r="AB93" i="4"/>
  <c r="X90" i="4"/>
  <c r="T87" i="4"/>
  <c r="T98" i="4"/>
  <c r="X125" i="4"/>
  <c r="P173" i="4"/>
  <c r="R183" i="4"/>
  <c r="AL218" i="4"/>
  <c r="M260" i="4"/>
  <c r="R286" i="4"/>
  <c r="R415" i="4"/>
  <c r="AL416" i="4"/>
  <c r="AL439" i="4"/>
  <c r="AD492" i="4"/>
  <c r="X591" i="4"/>
  <c r="AL606" i="4"/>
  <c r="V98" i="4"/>
  <c r="R121" i="4"/>
  <c r="V183" i="4"/>
  <c r="R260" i="4"/>
  <c r="AK277" i="4"/>
  <c r="T286" i="4"/>
  <c r="AL326" i="4"/>
  <c r="AK345" i="4"/>
  <c r="V415" i="4"/>
  <c r="X420" i="4"/>
  <c r="AD444" i="4"/>
  <c r="Z456" i="4"/>
  <c r="F459" i="4"/>
  <c r="G459" i="4" s="1"/>
  <c r="AL468" i="4"/>
  <c r="F527" i="4"/>
  <c r="G527" i="4" s="1"/>
  <c r="X41" i="4"/>
  <c r="AL82" i="4"/>
  <c r="AL106" i="4"/>
  <c r="V121" i="4"/>
  <c r="X183" i="4"/>
  <c r="R239" i="4"/>
  <c r="AL277" i="4"/>
  <c r="AL284" i="4"/>
  <c r="V286" i="4"/>
  <c r="AL287" i="4"/>
  <c r="AD366" i="4"/>
  <c r="Z420" i="4"/>
  <c r="AD512" i="4"/>
  <c r="AB574" i="4"/>
  <c r="AK73" i="4"/>
  <c r="V111" i="4"/>
  <c r="AK129" i="4"/>
  <c r="R180" i="4"/>
  <c r="P233" i="4"/>
  <c r="P350" i="4"/>
  <c r="AK448" i="4"/>
  <c r="AK477" i="4"/>
  <c r="AF89" i="4"/>
  <c r="X111" i="4"/>
  <c r="F126" i="4"/>
  <c r="T180" i="4"/>
  <c r="R350" i="4"/>
  <c r="R388" i="4"/>
  <c r="AL24" i="4"/>
  <c r="T27" i="4"/>
  <c r="AD37" i="4"/>
  <c r="AL67" i="4"/>
  <c r="T72" i="4"/>
  <c r="AL307" i="4"/>
  <c r="T453" i="4"/>
  <c r="M526" i="4"/>
  <c r="V594" i="4"/>
  <c r="AK595" i="4"/>
  <c r="V27" i="4"/>
  <c r="V97" i="4"/>
  <c r="F196" i="4"/>
  <c r="M207" i="4"/>
  <c r="R367" i="4"/>
  <c r="AL402" i="4"/>
  <c r="M423" i="4"/>
  <c r="AL424" i="4"/>
  <c r="AL471" i="4"/>
  <c r="P526" i="4"/>
  <c r="T543" i="4"/>
  <c r="X594" i="4"/>
  <c r="AL8" i="4"/>
  <c r="X27" i="4"/>
  <c r="AF74" i="4"/>
  <c r="P207" i="4"/>
  <c r="AD316" i="4"/>
  <c r="AL345" i="4"/>
  <c r="AK355" i="4"/>
  <c r="AK376" i="4"/>
  <c r="AL391" i="4"/>
  <c r="R423" i="4"/>
  <c r="R526" i="4"/>
  <c r="AL527" i="4"/>
  <c r="AL568" i="4"/>
  <c r="AK20" i="4"/>
  <c r="Z27" i="4"/>
  <c r="P33" i="4"/>
  <c r="AD61" i="4"/>
  <c r="AL76" i="4"/>
  <c r="AK132" i="4"/>
  <c r="AK156" i="4"/>
  <c r="AL250" i="4"/>
  <c r="AL297" i="4"/>
  <c r="AL318" i="4"/>
  <c r="AK385" i="4"/>
  <c r="T423" i="4"/>
  <c r="M458" i="4"/>
  <c r="AK519" i="4"/>
  <c r="Z526" i="4"/>
  <c r="AK562" i="4"/>
  <c r="AD27" i="4"/>
  <c r="AK88" i="4"/>
  <c r="AL330" i="4"/>
  <c r="AL405" i="4"/>
  <c r="AK416" i="4"/>
  <c r="AL493" i="4"/>
  <c r="AL556" i="4"/>
  <c r="AF573" i="4"/>
  <c r="AF296" i="4"/>
  <c r="Z296" i="4"/>
  <c r="V296" i="4"/>
  <c r="P296" i="4"/>
  <c r="M341" i="4"/>
  <c r="AB341" i="4"/>
  <c r="V341" i="4"/>
  <c r="R341" i="4"/>
  <c r="P341" i="4"/>
  <c r="F342" i="4"/>
  <c r="M567" i="4"/>
  <c r="Z567" i="4"/>
  <c r="X567" i="4"/>
  <c r="R567" i="4"/>
  <c r="AF567" i="4"/>
  <c r="M14" i="4"/>
  <c r="P14" i="4"/>
  <c r="F15" i="4"/>
  <c r="AD15" i="4" s="1"/>
  <c r="AD34" i="4"/>
  <c r="R34" i="4"/>
  <c r="M384" i="4"/>
  <c r="F385" i="4"/>
  <c r="Z384" i="4"/>
  <c r="T384" i="4"/>
  <c r="P384" i="4"/>
  <c r="AF144" i="4"/>
  <c r="AD144" i="4"/>
  <c r="V144" i="4"/>
  <c r="T144" i="4"/>
  <c r="P144" i="4"/>
  <c r="AB147" i="4"/>
  <c r="M144" i="4"/>
  <c r="AF221" i="4"/>
  <c r="AD221" i="4"/>
  <c r="Z221" i="4"/>
  <c r="V221" i="4"/>
  <c r="R221" i="4"/>
  <c r="P221" i="4"/>
  <c r="M221" i="4"/>
  <c r="AB486" i="4"/>
  <c r="AF486" i="4"/>
  <c r="AD486" i="4"/>
  <c r="Z486" i="4"/>
  <c r="AD30" i="4"/>
  <c r="R30" i="4"/>
  <c r="AB170" i="4"/>
  <c r="AD169" i="4"/>
  <c r="AB169" i="4"/>
  <c r="M169" i="4"/>
  <c r="AF169" i="4"/>
  <c r="M303" i="4"/>
  <c r="Z303" i="4"/>
  <c r="V303" i="4"/>
  <c r="T303" i="4"/>
  <c r="R303" i="4"/>
  <c r="P303" i="4"/>
  <c r="AD303" i="4"/>
  <c r="V615" i="4"/>
  <c r="X615" i="4"/>
  <c r="P615" i="4"/>
  <c r="M615" i="4"/>
  <c r="Z615" i="4"/>
  <c r="T480" i="4"/>
  <c r="AD480" i="4"/>
  <c r="X480" i="4"/>
  <c r="M480" i="4"/>
  <c r="AF480" i="4"/>
  <c r="AD570" i="4"/>
  <c r="AB570" i="4"/>
  <c r="T418" i="4"/>
  <c r="AD418" i="4"/>
  <c r="Z418" i="4"/>
  <c r="X418" i="4"/>
  <c r="P418" i="4"/>
  <c r="AB420" i="4"/>
  <c r="AF418" i="4"/>
  <c r="M618" i="4"/>
  <c r="Z618" i="4"/>
  <c r="X618" i="4"/>
  <c r="AD54" i="4"/>
  <c r="M54" i="4"/>
  <c r="V122" i="4"/>
  <c r="T122" i="4"/>
  <c r="R122" i="4"/>
  <c r="AF227" i="4"/>
  <c r="X227" i="4"/>
  <c r="V227" i="4"/>
  <c r="P521" i="4"/>
  <c r="V521" i="4"/>
  <c r="Z211" i="4"/>
  <c r="AF211" i="4"/>
  <c r="AD211" i="4"/>
  <c r="P211" i="4"/>
  <c r="M211" i="4"/>
  <c r="F212" i="4"/>
  <c r="AF222" i="4"/>
  <c r="AD222" i="4"/>
  <c r="Z222" i="4"/>
  <c r="R222" i="4"/>
  <c r="P222" i="4"/>
  <c r="M222" i="4"/>
  <c r="R128" i="4"/>
  <c r="AD128" i="4"/>
  <c r="AB128" i="4"/>
  <c r="Z128" i="4"/>
  <c r="V128" i="4"/>
  <c r="T128" i="4"/>
  <c r="AF414" i="4"/>
  <c r="X414" i="4"/>
  <c r="V414" i="4"/>
  <c r="R414" i="4"/>
  <c r="P414" i="4"/>
  <c r="M414" i="4"/>
  <c r="AD447" i="4"/>
  <c r="Z447" i="4"/>
  <c r="X483" i="4"/>
  <c r="AD483" i="4"/>
  <c r="V483" i="4"/>
  <c r="T483" i="4"/>
  <c r="R483" i="4"/>
  <c r="P483" i="4"/>
  <c r="V18" i="4"/>
  <c r="Z18" i="4"/>
  <c r="R147" i="4"/>
  <c r="Z147" i="4"/>
  <c r="T147" i="4"/>
  <c r="AD381" i="4"/>
  <c r="M381" i="4"/>
  <c r="Z590" i="4"/>
  <c r="M590" i="4"/>
  <c r="AF590" i="4"/>
  <c r="AD590" i="4"/>
  <c r="AB590" i="4"/>
  <c r="V590" i="4"/>
  <c r="T590" i="4"/>
  <c r="F300" i="4"/>
  <c r="X300" i="4" s="1"/>
  <c r="Z299" i="4"/>
  <c r="M279" i="4"/>
  <c r="T279" i="4"/>
  <c r="F281" i="4"/>
  <c r="T281" i="4" s="1"/>
  <c r="R279" i="4"/>
  <c r="P279" i="4"/>
  <c r="AF279" i="4"/>
  <c r="AB279" i="4"/>
  <c r="V279" i="4"/>
  <c r="AD396" i="4"/>
  <c r="R396" i="4"/>
  <c r="X546" i="4"/>
  <c r="AF546" i="4"/>
  <c r="AD546" i="4"/>
  <c r="AB546" i="4"/>
  <c r="Z546" i="4"/>
  <c r="V546" i="4"/>
  <c r="T546" i="4"/>
  <c r="R546" i="4"/>
  <c r="P546" i="4"/>
  <c r="F547" i="4"/>
  <c r="T547" i="4" s="1"/>
  <c r="M546" i="4"/>
  <c r="AF347" i="4"/>
  <c r="AD347" i="4"/>
  <c r="AB11" i="4"/>
  <c r="V19" i="4"/>
  <c r="AL20" i="4"/>
  <c r="M44" i="4"/>
  <c r="M53" i="4"/>
  <c r="M108" i="4"/>
  <c r="V151" i="4"/>
  <c r="R252" i="4"/>
  <c r="M270" i="4"/>
  <c r="Z325" i="4"/>
  <c r="T329" i="4"/>
  <c r="M338" i="4"/>
  <c r="AD368" i="4"/>
  <c r="M434" i="4"/>
  <c r="AL490" i="4"/>
  <c r="AL547" i="4"/>
  <c r="Z555" i="4"/>
  <c r="M564" i="4"/>
  <c r="F565" i="4"/>
  <c r="Q622" i="4"/>
  <c r="Z19" i="4"/>
  <c r="R44" i="4"/>
  <c r="AD53" i="4"/>
  <c r="M57" i="4"/>
  <c r="M65" i="4"/>
  <c r="Z75" i="4"/>
  <c r="R108" i="4"/>
  <c r="X121" i="4"/>
  <c r="G126" i="4"/>
  <c r="M179" i="4"/>
  <c r="T252" i="4"/>
  <c r="AK253" i="4"/>
  <c r="R270" i="4"/>
  <c r="AD302" i="4"/>
  <c r="X329" i="4"/>
  <c r="M363" i="4"/>
  <c r="AK431" i="4"/>
  <c r="R434" i="4"/>
  <c r="P564" i="4"/>
  <c r="S622" i="4"/>
  <c r="AB19" i="4"/>
  <c r="M37" i="4"/>
  <c r="T44" i="4"/>
  <c r="R57" i="4"/>
  <c r="P65" i="4"/>
  <c r="T108" i="4"/>
  <c r="AL109" i="4"/>
  <c r="Z121" i="4"/>
  <c r="AL129" i="4"/>
  <c r="AL148" i="4"/>
  <c r="R179" i="4"/>
  <c r="AB180" i="4"/>
  <c r="Z198" i="4"/>
  <c r="AK199" i="4"/>
  <c r="X201" i="4"/>
  <c r="M249" i="4"/>
  <c r="V252" i="4"/>
  <c r="AF302" i="4"/>
  <c r="AL310" i="4"/>
  <c r="Z329" i="4"/>
  <c r="P387" i="4"/>
  <c r="AD420" i="4"/>
  <c r="V434" i="4"/>
  <c r="AL477" i="4"/>
  <c r="AK538" i="4"/>
  <c r="AL541" i="4"/>
  <c r="R564" i="4"/>
  <c r="X582" i="4"/>
  <c r="X587" i="4"/>
  <c r="AF27" i="4"/>
  <c r="P37" i="4"/>
  <c r="R41" i="4"/>
  <c r="V44" i="4"/>
  <c r="R61" i="4"/>
  <c r="R65" i="4"/>
  <c r="M105" i="4"/>
  <c r="F174" i="4"/>
  <c r="K174" i="4" s="1"/>
  <c r="X179" i="4"/>
  <c r="Z189" i="4"/>
  <c r="Z201" i="4"/>
  <c r="AK223" i="4"/>
  <c r="P234" i="4"/>
  <c r="P249" i="4"/>
  <c r="AD252" i="4"/>
  <c r="M267" i="4"/>
  <c r="AK268" i="4"/>
  <c r="P360" i="4"/>
  <c r="AL385" i="4"/>
  <c r="R387" i="4"/>
  <c r="AL397" i="4"/>
  <c r="AK424" i="4"/>
  <c r="R430" i="4"/>
  <c r="X434" i="4"/>
  <c r="T564" i="4"/>
  <c r="R37" i="4"/>
  <c r="AL42" i="4"/>
  <c r="AD57" i="4"/>
  <c r="AD108" i="4"/>
  <c r="AF121" i="4"/>
  <c r="Z179" i="4"/>
  <c r="AD189" i="4"/>
  <c r="AB201" i="4"/>
  <c r="R249" i="4"/>
  <c r="V267" i="4"/>
  <c r="AD329" i="4"/>
  <c r="T360" i="4"/>
  <c r="F369" i="4"/>
  <c r="P369" i="4" s="1"/>
  <c r="V387" i="4"/>
  <c r="AL388" i="4"/>
  <c r="AL427" i="4"/>
  <c r="AD434" i="4"/>
  <c r="X438" i="4"/>
  <c r="M527" i="4"/>
  <c r="AL553" i="4"/>
  <c r="V564" i="4"/>
  <c r="AK568" i="4"/>
  <c r="V598" i="4"/>
  <c r="AK15" i="4"/>
  <c r="V37" i="4"/>
  <c r="AK55" i="4"/>
  <c r="AF57" i="4"/>
  <c r="P125" i="4"/>
  <c r="AB179" i="4"/>
  <c r="AF189" i="4"/>
  <c r="AD201" i="4"/>
  <c r="AK247" i="4"/>
  <c r="Z249" i="4"/>
  <c r="AL281" i="4"/>
  <c r="F304" i="4"/>
  <c r="AB305" i="4" s="1"/>
  <c r="AK326" i="4"/>
  <c r="AL351" i="4"/>
  <c r="AL358" i="4"/>
  <c r="V360" i="4"/>
  <c r="X387" i="4"/>
  <c r="Z438" i="4"/>
  <c r="V444" i="4"/>
  <c r="AL487" i="4"/>
  <c r="Z564" i="4"/>
  <c r="AL585" i="4"/>
  <c r="AK35" i="4"/>
  <c r="AL63" i="4"/>
  <c r="V72" i="4"/>
  <c r="V90" i="4"/>
  <c r="AD105" i="4"/>
  <c r="AK136" i="4"/>
  <c r="AD179" i="4"/>
  <c r="AK184" i="4"/>
  <c r="AK187" i="4"/>
  <c r="AF201" i="4"/>
  <c r="AK218" i="4"/>
  <c r="AK236" i="4"/>
  <c r="AD249" i="4"/>
  <c r="AK284" i="4"/>
  <c r="Z360" i="4"/>
  <c r="V367" i="4"/>
  <c r="AK421" i="4"/>
  <c r="M426" i="4"/>
  <c r="Z444" i="4"/>
  <c r="AL513" i="4"/>
  <c r="T526" i="4"/>
  <c r="AB564" i="4"/>
  <c r="AL571" i="4"/>
  <c r="AK585" i="4"/>
  <c r="AK31" i="4"/>
  <c r="AL231" i="4"/>
  <c r="AL436" i="4"/>
  <c r="AD564" i="4"/>
  <c r="AL575" i="4"/>
  <c r="AL39" i="4"/>
  <c r="AB90" i="4"/>
  <c r="AL228" i="4"/>
  <c r="Z235" i="4"/>
  <c r="R273" i="4"/>
  <c r="AK314" i="4"/>
  <c r="AK318" i="4"/>
  <c r="AK330" i="4"/>
  <c r="AB367" i="4"/>
  <c r="X388" i="4"/>
  <c r="M393" i="4"/>
  <c r="AK394" i="4"/>
  <c r="M420" i="4"/>
  <c r="T435" i="4"/>
  <c r="T492" i="4"/>
  <c r="AL499" i="4"/>
  <c r="R502" i="4"/>
  <c r="T527" i="4"/>
  <c r="AK544" i="4"/>
  <c r="AK550" i="4"/>
  <c r="V558" i="4"/>
  <c r="AK559" i="4"/>
  <c r="AF564" i="4"/>
  <c r="AK12" i="4"/>
  <c r="AL123" i="4"/>
  <c r="AK209" i="4"/>
  <c r="AK212" i="4"/>
  <c r="AL333" i="4"/>
  <c r="AL342" i="4"/>
  <c r="AF378" i="4"/>
  <c r="Z393" i="4"/>
  <c r="T420" i="4"/>
  <c r="AL481" i="4"/>
  <c r="V492" i="4"/>
  <c r="Z502" i="4"/>
  <c r="AL534" i="4"/>
  <c r="X558" i="4"/>
  <c r="AK612" i="4"/>
  <c r="AL12" i="4"/>
  <c r="AK76" i="4"/>
  <c r="R111" i="4"/>
  <c r="AK167" i="4"/>
  <c r="M201" i="4"/>
  <c r="AK205" i="4"/>
  <c r="AL212" i="4"/>
  <c r="M233" i="4"/>
  <c r="AK369" i="4"/>
  <c r="AL409" i="4"/>
  <c r="M415" i="4"/>
  <c r="V420" i="4"/>
  <c r="Z435" i="4"/>
  <c r="AL442" i="4"/>
  <c r="AL465" i="4"/>
  <c r="AL484" i="4"/>
  <c r="X492" i="4"/>
  <c r="AD502" i="4"/>
  <c r="T580" i="4"/>
  <c r="X527" i="4"/>
  <c r="R17" i="4"/>
  <c r="P17" i="4"/>
  <c r="M17" i="4"/>
  <c r="F20" i="4"/>
  <c r="AF17" i="4"/>
  <c r="AD17" i="4"/>
  <c r="AB17" i="4"/>
  <c r="Z17" i="4"/>
  <c r="X17" i="4"/>
  <c r="V17" i="4"/>
  <c r="T17" i="4"/>
  <c r="P26" i="4"/>
  <c r="AF26" i="4"/>
  <c r="AB27" i="4"/>
  <c r="AD26" i="4"/>
  <c r="Z26" i="4"/>
  <c r="X26" i="4"/>
  <c r="V26" i="4"/>
  <c r="T26" i="4"/>
  <c r="F28" i="4"/>
  <c r="M28" i="4" s="1"/>
  <c r="R26" i="4"/>
  <c r="M26" i="4"/>
  <c r="R8" i="4"/>
  <c r="AD8" i="4"/>
  <c r="AB8" i="4"/>
  <c r="Z8" i="4"/>
  <c r="X8" i="4"/>
  <c r="K8" i="4"/>
  <c r="G8" i="4"/>
  <c r="AF50" i="4"/>
  <c r="X50" i="4"/>
  <c r="V50" i="4"/>
  <c r="T50" i="4"/>
  <c r="R50" i="4"/>
  <c r="F51" i="4"/>
  <c r="T51" i="4" s="1"/>
  <c r="P50" i="4"/>
  <c r="AD50" i="4"/>
  <c r="AB50" i="4"/>
  <c r="Z50" i="4"/>
  <c r="M50" i="4"/>
  <c r="G102" i="4"/>
  <c r="R102" i="4"/>
  <c r="AD102" i="4"/>
  <c r="M102" i="4"/>
  <c r="AB102" i="4"/>
  <c r="Z102" i="4"/>
  <c r="K102" i="4"/>
  <c r="X10" i="4"/>
  <c r="V10" i="4"/>
  <c r="R10" i="4"/>
  <c r="P10" i="4"/>
  <c r="M10" i="4"/>
  <c r="AF10" i="4"/>
  <c r="F12" i="4"/>
  <c r="T12" i="4" s="1"/>
  <c r="AD10" i="4"/>
  <c r="AB10" i="4"/>
  <c r="Z10" i="4"/>
  <c r="AF66" i="4"/>
  <c r="AD66" i="4"/>
  <c r="X66" i="4"/>
  <c r="V66" i="4"/>
  <c r="T66" i="4"/>
  <c r="R66" i="4"/>
  <c r="P66" i="4"/>
  <c r="Z66" i="4"/>
  <c r="M66" i="4"/>
  <c r="AD22" i="4"/>
  <c r="AB22" i="4"/>
  <c r="Z22" i="4"/>
  <c r="X22" i="4"/>
  <c r="V22" i="4"/>
  <c r="F24" i="4"/>
  <c r="P24" i="4" s="1"/>
  <c r="T22" i="4"/>
  <c r="R22" i="4"/>
  <c r="P22" i="4"/>
  <c r="M22" i="4"/>
  <c r="AB23" i="4"/>
  <c r="AF22" i="4"/>
  <c r="AF62" i="4"/>
  <c r="X62" i="4"/>
  <c r="V62" i="4"/>
  <c r="T62" i="4"/>
  <c r="R62" i="4"/>
  <c r="P62" i="4"/>
  <c r="AD62" i="4"/>
  <c r="Z62" i="4"/>
  <c r="M62" i="4"/>
  <c r="R93" i="4"/>
  <c r="AF93" i="4"/>
  <c r="AD93" i="4"/>
  <c r="Z93" i="4"/>
  <c r="X93" i="4"/>
  <c r="V93" i="4"/>
  <c r="T93" i="4"/>
  <c r="P93" i="4"/>
  <c r="AB95" i="4"/>
  <c r="M93" i="4"/>
  <c r="M20" i="4"/>
  <c r="P38" i="4"/>
  <c r="AF38" i="4"/>
  <c r="X38" i="4"/>
  <c r="R38" i="4"/>
  <c r="M38" i="4"/>
  <c r="AD38" i="4"/>
  <c r="Z38" i="4"/>
  <c r="V38" i="4"/>
  <c r="T38" i="4"/>
  <c r="P20" i="4"/>
  <c r="Z23" i="4"/>
  <c r="X23" i="4"/>
  <c r="V23" i="4"/>
  <c r="T23" i="4"/>
  <c r="R23" i="4"/>
  <c r="P23" i="4"/>
  <c r="M23" i="4"/>
  <c r="AF23" i="4"/>
  <c r="AD23" i="4"/>
  <c r="AD70" i="4"/>
  <c r="P70" i="4"/>
  <c r="AB70" i="4"/>
  <c r="X70" i="4"/>
  <c r="K70" i="4"/>
  <c r="AB72" i="4"/>
  <c r="R70" i="4"/>
  <c r="Z70" i="4"/>
  <c r="G70" i="4"/>
  <c r="T70" i="4"/>
  <c r="AL48" i="4"/>
  <c r="M84" i="4"/>
  <c r="AD84" i="4"/>
  <c r="Z84" i="4"/>
  <c r="AF86" i="4"/>
  <c r="X84" i="4"/>
  <c r="V84" i="4"/>
  <c r="AB86" i="4"/>
  <c r="T84" i="4"/>
  <c r="F94" i="4"/>
  <c r="T8" i="4"/>
  <c r="R14" i="4"/>
  <c r="AB18" i="4"/>
  <c r="T30" i="4"/>
  <c r="R33" i="4"/>
  <c r="T34" i="4"/>
  <c r="P84" i="4"/>
  <c r="V92" i="4"/>
  <c r="AF92" i="4"/>
  <c r="AD92" i="4"/>
  <c r="AB92" i="4"/>
  <c r="Z92" i="4"/>
  <c r="X92" i="4"/>
  <c r="T92" i="4"/>
  <c r="R92" i="4"/>
  <c r="P92" i="4"/>
  <c r="AF204" i="4"/>
  <c r="AD204" i="4"/>
  <c r="AB204" i="4"/>
  <c r="X204" i="4"/>
  <c r="V204" i="4"/>
  <c r="T204" i="4"/>
  <c r="R204" i="4"/>
  <c r="F205" i="4"/>
  <c r="P204" i="4"/>
  <c r="M204" i="4"/>
  <c r="Z204" i="4"/>
  <c r="T14" i="4"/>
  <c r="AD19" i="4"/>
  <c r="V30" i="4"/>
  <c r="V33" i="4"/>
  <c r="V34" i="4"/>
  <c r="X37" i="4"/>
  <c r="Z44" i="4"/>
  <c r="R84" i="4"/>
  <c r="M92" i="4"/>
  <c r="V96" i="4"/>
  <c r="R96" i="4"/>
  <c r="F99" i="4"/>
  <c r="X99" i="4" s="1"/>
  <c r="P96" i="4"/>
  <c r="M96" i="4"/>
  <c r="AF96" i="4"/>
  <c r="AD96" i="4"/>
  <c r="Z96" i="4"/>
  <c r="AL115" i="4"/>
  <c r="AK115" i="4"/>
  <c r="Z142" i="4"/>
  <c r="X142" i="4"/>
  <c r="V142" i="4"/>
  <c r="T142" i="4"/>
  <c r="R142" i="4"/>
  <c r="P142" i="4"/>
  <c r="M142" i="4"/>
  <c r="AF142" i="4"/>
  <c r="AD142" i="4"/>
  <c r="AL145" i="4"/>
  <c r="AK145" i="4"/>
  <c r="AB190" i="4"/>
  <c r="T190" i="4"/>
  <c r="G190" i="4"/>
  <c r="M190" i="4"/>
  <c r="AD190" i="4"/>
  <c r="K190" i="4"/>
  <c r="Z190" i="4"/>
  <c r="R190" i="4"/>
  <c r="J622" i="4"/>
  <c r="AK8" i="4"/>
  <c r="V14" i="4"/>
  <c r="M27" i="4"/>
  <c r="Z30" i="4"/>
  <c r="X33" i="4"/>
  <c r="Z34" i="4"/>
  <c r="AK39" i="4"/>
  <c r="AB44" i="4"/>
  <c r="T96" i="4"/>
  <c r="AF114" i="4"/>
  <c r="AD114" i="4"/>
  <c r="Z114" i="4"/>
  <c r="X114" i="4"/>
  <c r="F115" i="4"/>
  <c r="M115" i="4" s="1"/>
  <c r="P114" i="4"/>
  <c r="R114" i="4"/>
  <c r="M114" i="4"/>
  <c r="AB114" i="4"/>
  <c r="Z138" i="4"/>
  <c r="X138" i="4"/>
  <c r="V138" i="4"/>
  <c r="T138" i="4"/>
  <c r="R138" i="4"/>
  <c r="F139" i="4"/>
  <c r="M139" i="4" s="1"/>
  <c r="P138" i="4"/>
  <c r="M138" i="4"/>
  <c r="AF138" i="4"/>
  <c r="AD138" i="4"/>
  <c r="AB142" i="4"/>
  <c r="AL177" i="4"/>
  <c r="AK177" i="4"/>
  <c r="W622" i="4"/>
  <c r="X14" i="4"/>
  <c r="Z33" i="4"/>
  <c r="AB34" i="4"/>
  <c r="AK45" i="4"/>
  <c r="AF54" i="4"/>
  <c r="X54" i="4"/>
  <c r="V54" i="4"/>
  <c r="T54" i="4"/>
  <c r="R54" i="4"/>
  <c r="P54" i="4"/>
  <c r="X96" i="4"/>
  <c r="AD126" i="4"/>
  <c r="AB126" i="4"/>
  <c r="M126" i="4"/>
  <c r="K126" i="4"/>
  <c r="R126" i="4"/>
  <c r="X126" i="4"/>
  <c r="L622" i="4"/>
  <c r="Z14" i="4"/>
  <c r="AD33" i="4"/>
  <c r="AF58" i="4"/>
  <c r="X58" i="4"/>
  <c r="V58" i="4"/>
  <c r="T58" i="4"/>
  <c r="R58" i="4"/>
  <c r="P58" i="4"/>
  <c r="Z69" i="4"/>
  <c r="X69" i="4"/>
  <c r="AF71" i="4"/>
  <c r="V69" i="4"/>
  <c r="T69" i="4"/>
  <c r="AL94" i="4"/>
  <c r="AK94" i="4"/>
  <c r="X104" i="4"/>
  <c r="V104" i="4"/>
  <c r="P104" i="4"/>
  <c r="AB105" i="4"/>
  <c r="AF104" i="4"/>
  <c r="F106" i="4"/>
  <c r="T106" i="4" s="1"/>
  <c r="AD104" i="4"/>
  <c r="AB104" i="4"/>
  <c r="Z104" i="4"/>
  <c r="T104" i="4"/>
  <c r="R104" i="4"/>
  <c r="M104" i="4"/>
  <c r="K112" i="4"/>
  <c r="G112" i="4"/>
  <c r="R112" i="4"/>
  <c r="AD112" i="4"/>
  <c r="M112" i="4"/>
  <c r="AF118" i="4"/>
  <c r="AD118" i="4"/>
  <c r="Z118" i="4"/>
  <c r="X118" i="4"/>
  <c r="P118" i="4"/>
  <c r="V118" i="4"/>
  <c r="T118" i="4"/>
  <c r="R118" i="4"/>
  <c r="M118" i="4"/>
  <c r="Z134" i="4"/>
  <c r="X134" i="4"/>
  <c r="V134" i="4"/>
  <c r="F136" i="4"/>
  <c r="X136" i="4" s="1"/>
  <c r="T134" i="4"/>
  <c r="R134" i="4"/>
  <c r="P134" i="4"/>
  <c r="M134" i="4"/>
  <c r="AB135" i="4"/>
  <c r="AF134" i="4"/>
  <c r="AD134" i="4"/>
  <c r="AB134" i="4"/>
  <c r="M8" i="4"/>
  <c r="AB14" i="4"/>
  <c r="M19" i="4"/>
  <c r="AK42" i="4"/>
  <c r="AK51" i="4"/>
  <c r="Z54" i="4"/>
  <c r="AL55" i="4"/>
  <c r="M58" i="4"/>
  <c r="AK67" i="4"/>
  <c r="M69" i="4"/>
  <c r="AB71" i="4"/>
  <c r="AD81" i="4"/>
  <c r="Z81" i="4"/>
  <c r="AF83" i="4"/>
  <c r="X81" i="4"/>
  <c r="V81" i="4"/>
  <c r="AB83" i="4"/>
  <c r="T81" i="4"/>
  <c r="R81" i="4"/>
  <c r="F82" i="4"/>
  <c r="T82" i="4" s="1"/>
  <c r="P81" i="4"/>
  <c r="F85" i="4"/>
  <c r="AD14" i="4"/>
  <c r="P19" i="4"/>
  <c r="AK28" i="4"/>
  <c r="AL35" i="4"/>
  <c r="T41" i="4"/>
  <c r="AF41" i="4"/>
  <c r="F42" i="4"/>
  <c r="T42" i="4" s="1"/>
  <c r="AB47" i="4"/>
  <c r="T47" i="4"/>
  <c r="R47" i="4"/>
  <c r="F48" i="4"/>
  <c r="T48" i="4" s="1"/>
  <c r="P47" i="4"/>
  <c r="AB53" i="4"/>
  <c r="Z53" i="4"/>
  <c r="X53" i="4"/>
  <c r="V53" i="4"/>
  <c r="F55" i="4"/>
  <c r="T53" i="4"/>
  <c r="AB54" i="4"/>
  <c r="Z57" i="4"/>
  <c r="X57" i="4"/>
  <c r="V57" i="4"/>
  <c r="F59" i="4"/>
  <c r="X59" i="4" s="1"/>
  <c r="T57" i="4"/>
  <c r="Z58" i="4"/>
  <c r="AL59" i="4"/>
  <c r="P69" i="4"/>
  <c r="M70" i="4"/>
  <c r="M81" i="4"/>
  <c r="R97" i="4"/>
  <c r="P97" i="4"/>
  <c r="M97" i="4"/>
  <c r="AF97" i="4"/>
  <c r="AD97" i="4"/>
  <c r="AB97" i="4"/>
  <c r="Z97" i="4"/>
  <c r="X97" i="4"/>
  <c r="T159" i="4"/>
  <c r="R159" i="4"/>
  <c r="P159" i="4"/>
  <c r="M159" i="4"/>
  <c r="AF159" i="4"/>
  <c r="AD159" i="4"/>
  <c r="AB159" i="4"/>
  <c r="Z159" i="4"/>
  <c r="X159" i="4"/>
  <c r="O622" i="4"/>
  <c r="V11" i="4"/>
  <c r="AF14" i="4"/>
  <c r="R19" i="4"/>
  <c r="AL28" i="4"/>
  <c r="AL31" i="4"/>
  <c r="M41" i="4"/>
  <c r="M47" i="4"/>
  <c r="Z61" i="4"/>
  <c r="X61" i="4"/>
  <c r="V61" i="4"/>
  <c r="F63" i="4"/>
  <c r="T61" i="4"/>
  <c r="R69" i="4"/>
  <c r="T101" i="4"/>
  <c r="R101" i="4"/>
  <c r="AF101" i="4"/>
  <c r="AD101" i="4"/>
  <c r="Z101" i="4"/>
  <c r="X101" i="4"/>
  <c r="V101" i="4"/>
  <c r="P101" i="4"/>
  <c r="T155" i="4"/>
  <c r="R155" i="4"/>
  <c r="P155" i="4"/>
  <c r="M155" i="4"/>
  <c r="AF155" i="4"/>
  <c r="AD155" i="4"/>
  <c r="Z155" i="4"/>
  <c r="X155" i="4"/>
  <c r="V159" i="4"/>
  <c r="P8" i="4"/>
  <c r="AC622" i="4"/>
  <c r="T19" i="4"/>
  <c r="F39" i="4"/>
  <c r="T37" i="4"/>
  <c r="AB38" i="4"/>
  <c r="AF37" i="4"/>
  <c r="P41" i="4"/>
  <c r="X44" i="4"/>
  <c r="F45" i="4"/>
  <c r="M45" i="4" s="1"/>
  <c r="P44" i="4"/>
  <c r="AF44" i="4"/>
  <c r="V47" i="4"/>
  <c r="P53" i="4"/>
  <c r="P57" i="4"/>
  <c r="AD58" i="4"/>
  <c r="M61" i="4"/>
  <c r="AB62" i="4"/>
  <c r="AK63" i="4"/>
  <c r="AB66" i="4"/>
  <c r="AF65" i="4"/>
  <c r="Z65" i="4"/>
  <c r="X65" i="4"/>
  <c r="V65" i="4"/>
  <c r="F67" i="4"/>
  <c r="T67" i="4" s="1"/>
  <c r="T65" i="4"/>
  <c r="AL70" i="4"/>
  <c r="Z78" i="4"/>
  <c r="AF80" i="4"/>
  <c r="X78" i="4"/>
  <c r="V78" i="4"/>
  <c r="AB80" i="4"/>
  <c r="T78" i="4"/>
  <c r="R78" i="4"/>
  <c r="F79" i="4"/>
  <c r="P78" i="4"/>
  <c r="M78" i="4"/>
  <c r="AL79" i="4"/>
  <c r="AK79" i="4"/>
  <c r="AB91" i="4"/>
  <c r="Z91" i="4"/>
  <c r="V91" i="4"/>
  <c r="M101" i="4"/>
  <c r="V131" i="4"/>
  <c r="T131" i="4"/>
  <c r="R131" i="4"/>
  <c r="F132" i="4"/>
  <c r="P132" i="4" s="1"/>
  <c r="P131" i="4"/>
  <c r="M131" i="4"/>
  <c r="AB131" i="4"/>
  <c r="Z131" i="4"/>
  <c r="AF131" i="4"/>
  <c r="AD131" i="4"/>
  <c r="X131" i="4"/>
  <c r="F31" i="4"/>
  <c r="T31" i="4" s="1"/>
  <c r="P30" i="4"/>
  <c r="AF30" i="4"/>
  <c r="X30" i="4"/>
  <c r="F35" i="4"/>
  <c r="T35" i="4" s="1"/>
  <c r="T33" i="4"/>
  <c r="AB33" i="4"/>
  <c r="P34" i="4"/>
  <c r="AF34" i="4"/>
  <c r="X34" i="4"/>
  <c r="R53" i="4"/>
  <c r="P61" i="4"/>
  <c r="AD69" i="4"/>
  <c r="V89" i="4"/>
  <c r="AD89" i="4"/>
  <c r="R87" i="4"/>
  <c r="AB89" i="4"/>
  <c r="F88" i="4"/>
  <c r="M88" i="4" s="1"/>
  <c r="P87" i="4"/>
  <c r="Z89" i="4"/>
  <c r="M87" i="4"/>
  <c r="X89" i="4"/>
  <c r="T89" i="4"/>
  <c r="R89" i="4"/>
  <c r="P89" i="4"/>
  <c r="AD87" i="4"/>
  <c r="M89" i="4"/>
  <c r="Z87" i="4"/>
  <c r="X87" i="4"/>
  <c r="M30" i="4"/>
  <c r="M33" i="4"/>
  <c r="M34" i="4"/>
  <c r="V41" i="4"/>
  <c r="Z47" i="4"/>
  <c r="AK48" i="4"/>
  <c r="AB74" i="4"/>
  <c r="R72" i="4"/>
  <c r="P72" i="4"/>
  <c r="F73" i="4"/>
  <c r="T73" i="4" s="1"/>
  <c r="M72" i="4"/>
  <c r="AD72" i="4"/>
  <c r="Z72" i="4"/>
  <c r="AF77" i="4"/>
  <c r="X75" i="4"/>
  <c r="V75" i="4"/>
  <c r="AB77" i="4"/>
  <c r="T75" i="4"/>
  <c r="R75" i="4"/>
  <c r="F76" i="4"/>
  <c r="P75" i="4"/>
  <c r="M75" i="4"/>
  <c r="AL88" i="4"/>
  <c r="X98" i="4"/>
  <c r="X102" i="4"/>
  <c r="AK70" i="4"/>
  <c r="Z98" i="4"/>
  <c r="X105" i="4"/>
  <c r="AD111" i="4"/>
  <c r="M125" i="4"/>
  <c r="AF125" i="4"/>
  <c r="AD125" i="4"/>
  <c r="Z125" i="4"/>
  <c r="T125" i="4"/>
  <c r="X226" i="4"/>
  <c r="T226" i="4"/>
  <c r="P226" i="4"/>
  <c r="M226" i="4"/>
  <c r="AF226" i="4"/>
  <c r="AD226" i="4"/>
  <c r="Z226" i="4"/>
  <c r="V226" i="4"/>
  <c r="R226" i="4"/>
  <c r="AK85" i="4"/>
  <c r="P91" i="4"/>
  <c r="R90" i="4"/>
  <c r="Z105" i="4"/>
  <c r="AF111" i="4"/>
  <c r="AL112" i="4"/>
  <c r="P112" i="4"/>
  <c r="AD117" i="4"/>
  <c r="AB117" i="4"/>
  <c r="F119" i="4"/>
  <c r="T117" i="4"/>
  <c r="P160" i="4"/>
  <c r="M160" i="4"/>
  <c r="AF160" i="4"/>
  <c r="AD160" i="4"/>
  <c r="Z160" i="4"/>
  <c r="X160" i="4"/>
  <c r="V160" i="4"/>
  <c r="AB162" i="4"/>
  <c r="T160" i="4"/>
  <c r="AL85" i="4"/>
  <c r="M90" i="4"/>
  <c r="AD98" i="4"/>
  <c r="AK109" i="4"/>
  <c r="M117" i="4"/>
  <c r="AD141" i="4"/>
  <c r="AB141" i="4"/>
  <c r="Z141" i="4"/>
  <c r="X141" i="4"/>
  <c r="AB144" i="4"/>
  <c r="V141" i="4"/>
  <c r="T141" i="4"/>
  <c r="R141" i="4"/>
  <c r="F145" i="4"/>
  <c r="AL161" i="4"/>
  <c r="AK161" i="4"/>
  <c r="AK82" i="4"/>
  <c r="AF98" i="4"/>
  <c r="AK112" i="4"/>
  <c r="P117" i="4"/>
  <c r="AL119" i="4"/>
  <c r="AK119" i="4"/>
  <c r="V125" i="4"/>
  <c r="AL139" i="4"/>
  <c r="AK139" i="4"/>
  <c r="M141" i="4"/>
  <c r="AK99" i="4"/>
  <c r="T112" i="4"/>
  <c r="P126" i="4"/>
  <c r="V135" i="4"/>
  <c r="T135" i="4"/>
  <c r="R135" i="4"/>
  <c r="P135" i="4"/>
  <c r="M135" i="4"/>
  <c r="Z135" i="4"/>
  <c r="P141" i="4"/>
  <c r="X150" i="4"/>
  <c r="V150" i="4"/>
  <c r="F152" i="4"/>
  <c r="T150" i="4"/>
  <c r="R150" i="4"/>
  <c r="P150" i="4"/>
  <c r="M150" i="4"/>
  <c r="AB151" i="4"/>
  <c r="AF150" i="4"/>
  <c r="AD150" i="4"/>
  <c r="AB150" i="4"/>
  <c r="X154" i="4"/>
  <c r="V154" i="4"/>
  <c r="F156" i="4"/>
  <c r="T154" i="4"/>
  <c r="R154" i="4"/>
  <c r="P154" i="4"/>
  <c r="M154" i="4"/>
  <c r="AB155" i="4"/>
  <c r="AF154" i="4"/>
  <c r="AD154" i="4"/>
  <c r="F161" i="4"/>
  <c r="X158" i="4"/>
  <c r="V158" i="4"/>
  <c r="T158" i="4"/>
  <c r="R158" i="4"/>
  <c r="P158" i="4"/>
  <c r="M158" i="4"/>
  <c r="AB160" i="4"/>
  <c r="AF158" i="4"/>
  <c r="AD158" i="4"/>
  <c r="X166" i="4"/>
  <c r="V166" i="4"/>
  <c r="T166" i="4"/>
  <c r="R166" i="4"/>
  <c r="F167" i="4"/>
  <c r="X167" i="4" s="1"/>
  <c r="P166" i="4"/>
  <c r="M166" i="4"/>
  <c r="AF166" i="4"/>
  <c r="AD166" i="4"/>
  <c r="AB166" i="4"/>
  <c r="AL174" i="4"/>
  <c r="AK174" i="4"/>
  <c r="T174" i="4"/>
  <c r="P102" i="4"/>
  <c r="AK106" i="4"/>
  <c r="V117" i="4"/>
  <c r="AB118" i="4"/>
  <c r="X135" i="4"/>
  <c r="AF141" i="4"/>
  <c r="Z150" i="4"/>
  <c r="AL181" i="4"/>
  <c r="AF186" i="4"/>
  <c r="X186" i="4"/>
  <c r="T186" i="4"/>
  <c r="R186" i="4"/>
  <c r="F187" i="4"/>
  <c r="M187" i="4" s="1"/>
  <c r="P186" i="4"/>
  <c r="M186" i="4"/>
  <c r="AD186" i="4"/>
  <c r="AB186" i="4"/>
  <c r="Z186" i="4"/>
  <c r="V186" i="4"/>
  <c r="AB111" i="4"/>
  <c r="Z111" i="4"/>
  <c r="T111" i="4"/>
  <c r="X117" i="4"/>
  <c r="AD135" i="4"/>
  <c r="G196" i="4"/>
  <c r="AB196" i="4"/>
  <c r="Z196" i="4"/>
  <c r="X196" i="4"/>
  <c r="K196" i="4"/>
  <c r="R196" i="4"/>
  <c r="AD196" i="4"/>
  <c r="Z90" i="4"/>
  <c r="P98" i="4"/>
  <c r="AL99" i="4"/>
  <c r="AK102" i="4"/>
  <c r="M111" i="4"/>
  <c r="X112" i="4"/>
  <c r="Z117" i="4"/>
  <c r="AD121" i="4"/>
  <c r="F123" i="4"/>
  <c r="T121" i="4"/>
  <c r="AF122" i="4"/>
  <c r="AD122" i="4"/>
  <c r="Z122" i="4"/>
  <c r="X122" i="4"/>
  <c r="P122" i="4"/>
  <c r="AL126" i="4"/>
  <c r="T126" i="4"/>
  <c r="AF135" i="4"/>
  <c r="T102" i="4"/>
  <c r="AL102" i="4"/>
  <c r="T105" i="4"/>
  <c r="R105" i="4"/>
  <c r="X108" i="4"/>
  <c r="V108" i="4"/>
  <c r="F109" i="4"/>
  <c r="T109" i="4" s="1"/>
  <c r="P108" i="4"/>
  <c r="AF108" i="4"/>
  <c r="P111" i="4"/>
  <c r="AF117" i="4"/>
  <c r="M121" i="4"/>
  <c r="M122" i="4"/>
  <c r="T151" i="4"/>
  <c r="R151" i="4"/>
  <c r="P151" i="4"/>
  <c r="M151" i="4"/>
  <c r="AF151" i="4"/>
  <c r="Z151" i="4"/>
  <c r="X151" i="4"/>
  <c r="T163" i="4"/>
  <c r="R163" i="4"/>
  <c r="F164" i="4"/>
  <c r="P163" i="4"/>
  <c r="M163" i="4"/>
  <c r="AF163" i="4"/>
  <c r="AD163" i="4"/>
  <c r="Z163" i="4"/>
  <c r="X163" i="4"/>
  <c r="X170" i="4"/>
  <c r="V170" i="4"/>
  <c r="T170" i="4"/>
  <c r="R170" i="4"/>
  <c r="P170" i="4"/>
  <c r="M170" i="4"/>
  <c r="AF170" i="4"/>
  <c r="AD170" i="4"/>
  <c r="Z174" i="4"/>
  <c r="R174" i="4"/>
  <c r="AD174" i="4"/>
  <c r="M174" i="4"/>
  <c r="AB174" i="4"/>
  <c r="G174" i="4"/>
  <c r="AF208" i="4"/>
  <c r="AD208" i="4"/>
  <c r="X208" i="4"/>
  <c r="V208" i="4"/>
  <c r="T208" i="4"/>
  <c r="R208" i="4"/>
  <c r="P208" i="4"/>
  <c r="M208" i="4"/>
  <c r="Z208" i="4"/>
  <c r="V147" i="4"/>
  <c r="P190" i="4"/>
  <c r="X128" i="4"/>
  <c r="R144" i="4"/>
  <c r="X147" i="4"/>
  <c r="AL152" i="4"/>
  <c r="AL156" i="4"/>
  <c r="R173" i="4"/>
  <c r="AK181" i="4"/>
  <c r="AF220" i="4"/>
  <c r="X220" i="4"/>
  <c r="V220" i="4"/>
  <c r="T220" i="4"/>
  <c r="R220" i="4"/>
  <c r="P220" i="4"/>
  <c r="F223" i="4"/>
  <c r="X223" i="4" s="1"/>
  <c r="M220" i="4"/>
  <c r="AD220" i="4"/>
  <c r="AB243" i="4"/>
  <c r="AF241" i="4"/>
  <c r="AB241" i="4"/>
  <c r="F244" i="4"/>
  <c r="T244" i="4" s="1"/>
  <c r="X241" i="4"/>
  <c r="V241" i="4"/>
  <c r="AD241" i="4"/>
  <c r="Z241" i="4"/>
  <c r="T241" i="4"/>
  <c r="R241" i="4"/>
  <c r="P241" i="4"/>
  <c r="T173" i="4"/>
  <c r="F193" i="4"/>
  <c r="T193" i="4" s="1"/>
  <c r="P192" i="4"/>
  <c r="M192" i="4"/>
  <c r="AF192" i="4"/>
  <c r="AD192" i="4"/>
  <c r="AB192" i="4"/>
  <c r="Z192" i="4"/>
  <c r="X192" i="4"/>
  <c r="V192" i="4"/>
  <c r="AL193" i="4"/>
  <c r="AK193" i="4"/>
  <c r="F215" i="4"/>
  <c r="P215" i="4" s="1"/>
  <c r="P214" i="4"/>
  <c r="M214" i="4"/>
  <c r="AF214" i="4"/>
  <c r="AD214" i="4"/>
  <c r="AB214" i="4"/>
  <c r="Z214" i="4"/>
  <c r="X214" i="4"/>
  <c r="V214" i="4"/>
  <c r="AL215" i="4"/>
  <c r="AK215" i="4"/>
  <c r="T217" i="4"/>
  <c r="R217" i="4"/>
  <c r="F218" i="4"/>
  <c r="P217" i="4"/>
  <c r="AF217" i="4"/>
  <c r="AD217" i="4"/>
  <c r="AB217" i="4"/>
  <c r="Z217" i="4"/>
  <c r="AF230" i="4"/>
  <c r="X230" i="4"/>
  <c r="T230" i="4"/>
  <c r="M230" i="4"/>
  <c r="F231" i="4"/>
  <c r="X231" i="4" s="1"/>
  <c r="AD230" i="4"/>
  <c r="Z230" i="4"/>
  <c r="V230" i="4"/>
  <c r="V173" i="4"/>
  <c r="X174" i="4"/>
  <c r="F177" i="4"/>
  <c r="P177" i="4" s="1"/>
  <c r="P176" i="4"/>
  <c r="AF176" i="4"/>
  <c r="R192" i="4"/>
  <c r="T195" i="4"/>
  <c r="R195" i="4"/>
  <c r="AF195" i="4"/>
  <c r="AD195" i="4"/>
  <c r="AB195" i="4"/>
  <c r="Z195" i="4"/>
  <c r="R214" i="4"/>
  <c r="X144" i="4"/>
  <c r="AD147" i="4"/>
  <c r="P169" i="4"/>
  <c r="X173" i="4"/>
  <c r="M176" i="4"/>
  <c r="P180" i="4"/>
  <c r="AF180" i="4"/>
  <c r="AD180" i="4"/>
  <c r="T183" i="4"/>
  <c r="F184" i="4"/>
  <c r="P183" i="4"/>
  <c r="T192" i="4"/>
  <c r="M195" i="4"/>
  <c r="AL205" i="4"/>
  <c r="T214" i="4"/>
  <c r="V217" i="4"/>
  <c r="R230" i="4"/>
  <c r="AF234" i="4"/>
  <c r="AB234" i="4"/>
  <c r="X234" i="4"/>
  <c r="T234" i="4"/>
  <c r="M234" i="4"/>
  <c r="AD234" i="4"/>
  <c r="Z234" i="4"/>
  <c r="V234" i="4"/>
  <c r="AL244" i="4"/>
  <c r="AK123" i="4"/>
  <c r="AF128" i="4"/>
  <c r="Z144" i="4"/>
  <c r="AF147" i="4"/>
  <c r="R169" i="4"/>
  <c r="F171" i="4"/>
  <c r="X171" i="4" s="1"/>
  <c r="Z173" i="4"/>
  <c r="R176" i="4"/>
  <c r="F181" i="4"/>
  <c r="P181" i="4" s="1"/>
  <c r="T179" i="4"/>
  <c r="P179" i="4"/>
  <c r="M180" i="4"/>
  <c r="AL187" i="4"/>
  <c r="X190" i="4"/>
  <c r="P195" i="4"/>
  <c r="P196" i="4"/>
  <c r="X217" i="4"/>
  <c r="AF242" i="4"/>
  <c r="AB242" i="4"/>
  <c r="X242" i="4"/>
  <c r="T242" i="4"/>
  <c r="R242" i="4"/>
  <c r="M242" i="4"/>
  <c r="AD242" i="4"/>
  <c r="Z242" i="4"/>
  <c r="AF246" i="4"/>
  <c r="X246" i="4"/>
  <c r="T246" i="4"/>
  <c r="R246" i="4"/>
  <c r="F247" i="4"/>
  <c r="P247" i="4" s="1"/>
  <c r="AD246" i="4"/>
  <c r="Z246" i="4"/>
  <c r="V246" i="4"/>
  <c r="P246" i="4"/>
  <c r="M246" i="4"/>
  <c r="M143" i="4"/>
  <c r="T169" i="4"/>
  <c r="T176" i="4"/>
  <c r="V195" i="4"/>
  <c r="AB208" i="4"/>
  <c r="AF207" i="4"/>
  <c r="AB207" i="4"/>
  <c r="Z207" i="4"/>
  <c r="X207" i="4"/>
  <c r="V207" i="4"/>
  <c r="F209" i="4"/>
  <c r="T207" i="4"/>
  <c r="R207" i="4"/>
  <c r="F228" i="4"/>
  <c r="X225" i="4"/>
  <c r="P225" i="4"/>
  <c r="M225" i="4"/>
  <c r="AF225" i="4"/>
  <c r="AD225" i="4"/>
  <c r="AB227" i="4"/>
  <c r="Z225" i="4"/>
  <c r="V225" i="4"/>
  <c r="AF238" i="4"/>
  <c r="X238" i="4"/>
  <c r="T238" i="4"/>
  <c r="R238" i="4"/>
  <c r="AD238" i="4"/>
  <c r="Z238" i="4"/>
  <c r="V238" i="4"/>
  <c r="P238" i="4"/>
  <c r="M238" i="4"/>
  <c r="P242" i="4"/>
  <c r="V169" i="4"/>
  <c r="AK171" i="4"/>
  <c r="AD173" i="4"/>
  <c r="V176" i="4"/>
  <c r="AB189" i="4"/>
  <c r="X189" i="4"/>
  <c r="V189" i="4"/>
  <c r="T189" i="4"/>
  <c r="R189" i="4"/>
  <c r="X198" i="4"/>
  <c r="V198" i="4"/>
  <c r="F199" i="4"/>
  <c r="X199" i="4" s="1"/>
  <c r="P198" i="4"/>
  <c r="M198" i="4"/>
  <c r="AF198" i="4"/>
  <c r="AD198" i="4"/>
  <c r="T239" i="4"/>
  <c r="R306" i="4"/>
  <c r="F307" i="4"/>
  <c r="X307" i="4" s="1"/>
  <c r="P306" i="4"/>
  <c r="M306" i="4"/>
  <c r="AF306" i="4"/>
  <c r="AD306" i="4"/>
  <c r="Z306" i="4"/>
  <c r="X306" i="4"/>
  <c r="V306" i="4"/>
  <c r="T306" i="4"/>
  <c r="M128" i="4"/>
  <c r="M147" i="4"/>
  <c r="X169" i="4"/>
  <c r="P174" i="4"/>
  <c r="X176" i="4"/>
  <c r="V179" i="4"/>
  <c r="V180" i="4"/>
  <c r="M189" i="4"/>
  <c r="T196" i="4"/>
  <c r="R198" i="4"/>
  <c r="AB212" i="4"/>
  <c r="Z212" i="4"/>
  <c r="X212" i="4"/>
  <c r="T212" i="4"/>
  <c r="G212" i="4"/>
  <c r="AF257" i="4"/>
  <c r="X257" i="4"/>
  <c r="V257" i="4"/>
  <c r="AB259" i="4"/>
  <c r="AD257" i="4"/>
  <c r="Z257" i="4"/>
  <c r="T257" i="4"/>
  <c r="R257" i="4"/>
  <c r="P257" i="4"/>
  <c r="P128" i="4"/>
  <c r="F129" i="4"/>
  <c r="M129" i="4" s="1"/>
  <c r="P147" i="4"/>
  <c r="F148" i="4"/>
  <c r="M148" i="4" s="1"/>
  <c r="Z169" i="4"/>
  <c r="Z176" i="4"/>
  <c r="X180" i="4"/>
  <c r="P189" i="4"/>
  <c r="T198" i="4"/>
  <c r="AL199" i="4"/>
  <c r="AL209" i="4"/>
  <c r="X235" i="4"/>
  <c r="AB237" i="4"/>
  <c r="T235" i="4"/>
  <c r="P235" i="4"/>
  <c r="V235" i="4"/>
  <c r="R235" i="4"/>
  <c r="M235" i="4"/>
  <c r="AF235" i="4"/>
  <c r="M257" i="4"/>
  <c r="AF276" i="4"/>
  <c r="AD276" i="4"/>
  <c r="AB276" i="4"/>
  <c r="X276" i="4"/>
  <c r="T276" i="4"/>
  <c r="R276" i="4"/>
  <c r="F277" i="4"/>
  <c r="M277" i="4" s="1"/>
  <c r="P276" i="4"/>
  <c r="M276" i="4"/>
  <c r="Z276" i="4"/>
  <c r="V276" i="4"/>
  <c r="AB176" i="4"/>
  <c r="Z239" i="4"/>
  <c r="G239" i="4"/>
  <c r="AD239" i="4"/>
  <c r="M239" i="4"/>
  <c r="AB239" i="4"/>
  <c r="K239" i="4"/>
  <c r="X243" i="4"/>
  <c r="AB245" i="4"/>
  <c r="T243" i="4"/>
  <c r="P243" i="4"/>
  <c r="M243" i="4"/>
  <c r="AD243" i="4"/>
  <c r="Z243" i="4"/>
  <c r="V243" i="4"/>
  <c r="R243" i="4"/>
  <c r="Z250" i="4"/>
  <c r="T250" i="4"/>
  <c r="G250" i="4"/>
  <c r="R250" i="4"/>
  <c r="AD250" i="4"/>
  <c r="M250" i="4"/>
  <c r="K250" i="4"/>
  <c r="AL196" i="4"/>
  <c r="R211" i="4"/>
  <c r="Z227" i="4"/>
  <c r="R233" i="4"/>
  <c r="AL236" i="4"/>
  <c r="T249" i="4"/>
  <c r="AL253" i="4"/>
  <c r="T260" i="4"/>
  <c r="Z270" i="4"/>
  <c r="AK271" i="4"/>
  <c r="AB273" i="4"/>
  <c r="Z273" i="4"/>
  <c r="X273" i="4"/>
  <c r="T273" i="4"/>
  <c r="F274" i="4"/>
  <c r="X274" i="4" s="1"/>
  <c r="P273" i="4"/>
  <c r="M273" i="4"/>
  <c r="T287" i="4"/>
  <c r="G287" i="4"/>
  <c r="R287" i="4"/>
  <c r="AD287" i="4"/>
  <c r="AB287" i="4"/>
  <c r="K287" i="4"/>
  <c r="M300" i="4"/>
  <c r="T211" i="4"/>
  <c r="T233" i="4"/>
  <c r="X239" i="4"/>
  <c r="P256" i="4"/>
  <c r="AF256" i="4"/>
  <c r="AB256" i="4"/>
  <c r="Z256" i="4"/>
  <c r="V260" i="4"/>
  <c r="P264" i="4"/>
  <c r="M264" i="4"/>
  <c r="AF264" i="4"/>
  <c r="Z264" i="4"/>
  <c r="AF283" i="4"/>
  <c r="AD283" i="4"/>
  <c r="AB283" i="4"/>
  <c r="Z283" i="4"/>
  <c r="V283" i="4"/>
  <c r="R283" i="4"/>
  <c r="P283" i="4"/>
  <c r="F284" i="4"/>
  <c r="T284" i="4" s="1"/>
  <c r="M283" i="4"/>
  <c r="AB369" i="4"/>
  <c r="Z369" i="4"/>
  <c r="K369" i="4"/>
  <c r="AD369" i="4"/>
  <c r="M369" i="4"/>
  <c r="G369" i="4"/>
  <c r="R369" i="4"/>
  <c r="V211" i="4"/>
  <c r="AD227" i="4"/>
  <c r="V233" i="4"/>
  <c r="M256" i="4"/>
  <c r="X260" i="4"/>
  <c r="AL261" i="4"/>
  <c r="V280" i="4"/>
  <c r="T283" i="4"/>
  <c r="Z328" i="4"/>
  <c r="X328" i="4"/>
  <c r="V328" i="4"/>
  <c r="F330" i="4"/>
  <c r="X330" i="4" s="1"/>
  <c r="T328" i="4"/>
  <c r="R328" i="4"/>
  <c r="P328" i="4"/>
  <c r="M328" i="4"/>
  <c r="AF328" i="4"/>
  <c r="AD328" i="4"/>
  <c r="AK190" i="4"/>
  <c r="P201" i="4"/>
  <c r="X211" i="4"/>
  <c r="Z233" i="4"/>
  <c r="P250" i="4"/>
  <c r="AK250" i="4"/>
  <c r="R256" i="4"/>
  <c r="AK261" i="4"/>
  <c r="T264" i="4"/>
  <c r="AD273" i="4"/>
  <c r="AL274" i="4"/>
  <c r="X283" i="4"/>
  <c r="M287" i="4"/>
  <c r="AD412" i="4"/>
  <c r="Z412" i="4"/>
  <c r="M412" i="4"/>
  <c r="X412" i="4"/>
  <c r="K412" i="4"/>
  <c r="T412" i="4"/>
  <c r="G412" i="4"/>
  <c r="R412" i="4"/>
  <c r="AB412" i="4"/>
  <c r="AB221" i="4"/>
  <c r="X221" i="4"/>
  <c r="X222" i="4"/>
  <c r="AB224" i="4"/>
  <c r="T222" i="4"/>
  <c r="T255" i="4"/>
  <c r="P255" i="4"/>
  <c r="AB257" i="4"/>
  <c r="AF255" i="4"/>
  <c r="AD255" i="4"/>
  <c r="T256" i="4"/>
  <c r="V264" i="4"/>
  <c r="AF273" i="4"/>
  <c r="T277" i="4"/>
  <c r="P289" i="4"/>
  <c r="Z289" i="4"/>
  <c r="X289" i="4"/>
  <c r="V289" i="4"/>
  <c r="T289" i="4"/>
  <c r="F291" i="4"/>
  <c r="T291" i="4" s="1"/>
  <c r="R289" i="4"/>
  <c r="M289" i="4"/>
  <c r="AF289" i="4"/>
  <c r="AB290" i="4"/>
  <c r="AD289" i="4"/>
  <c r="AD300" i="4"/>
  <c r="AB300" i="4"/>
  <c r="Z300" i="4"/>
  <c r="K300" i="4"/>
  <c r="G300" i="4"/>
  <c r="R300" i="4"/>
  <c r="T300" i="4"/>
  <c r="AL304" i="4"/>
  <c r="AL223" i="4"/>
  <c r="AK228" i="4"/>
  <c r="V256" i="4"/>
  <c r="AK258" i="4"/>
  <c r="F265" i="4"/>
  <c r="X265" i="4" s="1"/>
  <c r="T263" i="4"/>
  <c r="R263" i="4"/>
  <c r="P263" i="4"/>
  <c r="AB264" i="4"/>
  <c r="AF263" i="4"/>
  <c r="AD263" i="4"/>
  <c r="X264" i="4"/>
  <c r="AL265" i="4"/>
  <c r="AK265" i="4"/>
  <c r="T274" i="4"/>
  <c r="X293" i="4"/>
  <c r="F294" i="4"/>
  <c r="P293" i="4"/>
  <c r="AF293" i="4"/>
  <c r="AD293" i="4"/>
  <c r="V293" i="4"/>
  <c r="T293" i="4"/>
  <c r="R293" i="4"/>
  <c r="M293" i="4"/>
  <c r="AK310" i="4"/>
  <c r="AL339" i="4"/>
  <c r="AK339" i="4"/>
  <c r="AL247" i="4"/>
  <c r="X256" i="4"/>
  <c r="M263" i="4"/>
  <c r="AD264" i="4"/>
  <c r="Z281" i="4"/>
  <c r="AB229" i="4"/>
  <c r="T227" i="4"/>
  <c r="P227" i="4"/>
  <c r="F253" i="4"/>
  <c r="T253" i="4" s="1"/>
  <c r="P252" i="4"/>
  <c r="AF252" i="4"/>
  <c r="AB252" i="4"/>
  <c r="Z252" i="4"/>
  <c r="V255" i="4"/>
  <c r="AD256" i="4"/>
  <c r="AL258" i="4"/>
  <c r="V263" i="4"/>
  <c r="T267" i="4"/>
  <c r="R267" i="4"/>
  <c r="F268" i="4"/>
  <c r="P268" i="4" s="1"/>
  <c r="P267" i="4"/>
  <c r="AF267" i="4"/>
  <c r="AD267" i="4"/>
  <c r="Z267" i="4"/>
  <c r="P304" i="4"/>
  <c r="AB304" i="4"/>
  <c r="AB354" i="4"/>
  <c r="AF353" i="4"/>
  <c r="AB353" i="4"/>
  <c r="F355" i="4"/>
  <c r="AD353" i="4"/>
  <c r="Z353" i="4"/>
  <c r="X353" i="4"/>
  <c r="V353" i="4"/>
  <c r="T221" i="4"/>
  <c r="V222" i="4"/>
  <c r="M227" i="4"/>
  <c r="P239" i="4"/>
  <c r="AL239" i="4"/>
  <c r="AF249" i="4"/>
  <c r="AB249" i="4"/>
  <c r="X249" i="4"/>
  <c r="V249" i="4"/>
  <c r="M252" i="4"/>
  <c r="X255" i="4"/>
  <c r="F258" i="4"/>
  <c r="X258" i="4" s="1"/>
  <c r="X263" i="4"/>
  <c r="AL268" i="4"/>
  <c r="X290" i="4"/>
  <c r="V290" i="4"/>
  <c r="T290" i="4"/>
  <c r="R290" i="4"/>
  <c r="P290" i="4"/>
  <c r="M290" i="4"/>
  <c r="AF290" i="4"/>
  <c r="AD290" i="4"/>
  <c r="AL291" i="4"/>
  <c r="AK291" i="4"/>
  <c r="R227" i="4"/>
  <c r="AB235" i="4"/>
  <c r="AF233" i="4"/>
  <c r="AB233" i="4"/>
  <c r="F236" i="4"/>
  <c r="T236" i="4" s="1"/>
  <c r="X233" i="4"/>
  <c r="X250" i="4"/>
  <c r="F261" i="4"/>
  <c r="X261" i="4" s="1"/>
  <c r="P260" i="4"/>
  <c r="AF260" i="4"/>
  <c r="Z260" i="4"/>
  <c r="Z263" i="4"/>
  <c r="X270" i="4"/>
  <c r="V270" i="4"/>
  <c r="T270" i="4"/>
  <c r="F271" i="4"/>
  <c r="M271" i="4" s="1"/>
  <c r="P270" i="4"/>
  <c r="AF270" i="4"/>
  <c r="AD270" i="4"/>
  <c r="AK287" i="4"/>
  <c r="AB299" i="4"/>
  <c r="V309" i="4"/>
  <c r="T309" i="4"/>
  <c r="R309" i="4"/>
  <c r="F310" i="4"/>
  <c r="M310" i="4" s="1"/>
  <c r="P309" i="4"/>
  <c r="AF309" i="4"/>
  <c r="AF357" i="4"/>
  <c r="AD357" i="4"/>
  <c r="Z357" i="4"/>
  <c r="X357" i="4"/>
  <c r="V357" i="4"/>
  <c r="T357" i="4"/>
  <c r="R357" i="4"/>
  <c r="P357" i="4"/>
  <c r="F358" i="4"/>
  <c r="M357" i="4"/>
  <c r="AL372" i="4"/>
  <c r="AD299" i="4"/>
  <c r="AK304" i="4"/>
  <c r="V317" i="4"/>
  <c r="T317" i="4"/>
  <c r="R317" i="4"/>
  <c r="P317" i="4"/>
  <c r="M317" i="4"/>
  <c r="AF317" i="4"/>
  <c r="Z320" i="4"/>
  <c r="X320" i="4"/>
  <c r="V320" i="4"/>
  <c r="T320" i="4"/>
  <c r="R320" i="4"/>
  <c r="F321" i="4"/>
  <c r="T321" i="4" s="1"/>
  <c r="P320" i="4"/>
  <c r="M320" i="4"/>
  <c r="AF320" i="4"/>
  <c r="AL321" i="4"/>
  <c r="AK321" i="4"/>
  <c r="X279" i="4"/>
  <c r="AB296" i="4"/>
  <c r="T296" i="4"/>
  <c r="F297" i="4"/>
  <c r="T297" i="4" s="1"/>
  <c r="AK297" i="4"/>
  <c r="AK300" i="4"/>
  <c r="X309" i="4"/>
  <c r="V313" i="4"/>
  <c r="T313" i="4"/>
  <c r="R313" i="4"/>
  <c r="P313" i="4"/>
  <c r="AF313" i="4"/>
  <c r="X317" i="4"/>
  <c r="AB324" i="4"/>
  <c r="Z324" i="4"/>
  <c r="X324" i="4"/>
  <c r="V324" i="4"/>
  <c r="T324" i="4"/>
  <c r="R324" i="4"/>
  <c r="P324" i="4"/>
  <c r="M324" i="4"/>
  <c r="AF324" i="4"/>
  <c r="AL336" i="4"/>
  <c r="AK336" i="4"/>
  <c r="P271" i="4"/>
  <c r="Z279" i="4"/>
  <c r="AB286" i="4"/>
  <c r="M296" i="4"/>
  <c r="Z309" i="4"/>
  <c r="M313" i="4"/>
  <c r="Z317" i="4"/>
  <c r="AD320" i="4"/>
  <c r="AD324" i="4"/>
  <c r="AL348" i="4"/>
  <c r="AK348" i="4"/>
  <c r="AD279" i="4"/>
  <c r="AF286" i="4"/>
  <c r="R296" i="4"/>
  <c r="AL300" i="4"/>
  <c r="AD309" i="4"/>
  <c r="Z313" i="4"/>
  <c r="AF335" i="4"/>
  <c r="AD335" i="4"/>
  <c r="AB335" i="4"/>
  <c r="Z335" i="4"/>
  <c r="X335" i="4"/>
  <c r="V335" i="4"/>
  <c r="T335" i="4"/>
  <c r="R335" i="4"/>
  <c r="F336" i="4"/>
  <c r="M336" i="4" s="1"/>
  <c r="P335" i="4"/>
  <c r="M335" i="4"/>
  <c r="AK372" i="4"/>
  <c r="T379" i="4"/>
  <c r="G379" i="4"/>
  <c r="AD379" i="4"/>
  <c r="M379" i="4"/>
  <c r="AB379" i="4"/>
  <c r="Z379" i="4"/>
  <c r="K379" i="4"/>
  <c r="X379" i="4"/>
  <c r="R379" i="4"/>
  <c r="P287" i="4"/>
  <c r="M299" i="4"/>
  <c r="AF299" i="4"/>
  <c r="X299" i="4"/>
  <c r="Z312" i="4"/>
  <c r="X312" i="4"/>
  <c r="V312" i="4"/>
  <c r="F314" i="4"/>
  <c r="X314" i="4" s="1"/>
  <c r="T312" i="4"/>
  <c r="P312" i="4"/>
  <c r="AB313" i="4"/>
  <c r="Z316" i="4"/>
  <c r="X316" i="4"/>
  <c r="V316" i="4"/>
  <c r="F318" i="4"/>
  <c r="P318" i="4" s="1"/>
  <c r="T316" i="4"/>
  <c r="P316" i="4"/>
  <c r="AB317" i="4"/>
  <c r="AF316" i="4"/>
  <c r="X325" i="4"/>
  <c r="V325" i="4"/>
  <c r="AB327" i="4"/>
  <c r="T325" i="4"/>
  <c r="R325" i="4"/>
  <c r="P325" i="4"/>
  <c r="M325" i="4"/>
  <c r="AF325" i="4"/>
  <c r="AK274" i="4"/>
  <c r="AK294" i="4"/>
  <c r="X296" i="4"/>
  <c r="P299" i="4"/>
  <c r="R302" i="4"/>
  <c r="P302" i="4"/>
  <c r="M302" i="4"/>
  <c r="AB302" i="4"/>
  <c r="X304" i="4"/>
  <c r="M312" i="4"/>
  <c r="AD313" i="4"/>
  <c r="M316" i="4"/>
  <c r="X354" i="4"/>
  <c r="R354" i="4"/>
  <c r="P354" i="4"/>
  <c r="M354" i="4"/>
  <c r="AF354" i="4"/>
  <c r="AD354" i="4"/>
  <c r="Z354" i="4"/>
  <c r="V354" i="4"/>
  <c r="AK281" i="4"/>
  <c r="R299" i="4"/>
  <c r="R312" i="4"/>
  <c r="AB344" i="4"/>
  <c r="V344" i="4"/>
  <c r="T344" i="4"/>
  <c r="R344" i="4"/>
  <c r="P344" i="4"/>
  <c r="F345" i="4"/>
  <c r="X345" i="4" s="1"/>
  <c r="M344" i="4"/>
  <c r="AF344" i="4"/>
  <c r="AD344" i="4"/>
  <c r="Z344" i="4"/>
  <c r="P286" i="4"/>
  <c r="AD296" i="4"/>
  <c r="T299" i="4"/>
  <c r="V302" i="4"/>
  <c r="AK307" i="4"/>
  <c r="AB312" i="4"/>
  <c r="Z332" i="4"/>
  <c r="X332" i="4"/>
  <c r="V332" i="4"/>
  <c r="T332" i="4"/>
  <c r="R332" i="4"/>
  <c r="F333" i="4"/>
  <c r="P333" i="4" s="1"/>
  <c r="P332" i="4"/>
  <c r="M332" i="4"/>
  <c r="AF332" i="4"/>
  <c r="X344" i="4"/>
  <c r="V299" i="4"/>
  <c r="AF323" i="4"/>
  <c r="AD323" i="4"/>
  <c r="AB323" i="4"/>
  <c r="Z323" i="4"/>
  <c r="F326" i="4"/>
  <c r="X326" i="4" s="1"/>
  <c r="X323" i="4"/>
  <c r="V323" i="4"/>
  <c r="T323" i="4"/>
  <c r="R323" i="4"/>
  <c r="P323" i="4"/>
  <c r="AB325" i="4"/>
  <c r="R375" i="4"/>
  <c r="P375" i="4"/>
  <c r="M375" i="4"/>
  <c r="AF375" i="4"/>
  <c r="AD375" i="4"/>
  <c r="Z375" i="4"/>
  <c r="X375" i="4"/>
  <c r="V375" i="4"/>
  <c r="T375" i="4"/>
  <c r="P338" i="4"/>
  <c r="F339" i="4"/>
  <c r="M339" i="4" s="1"/>
  <c r="T341" i="4"/>
  <c r="T350" i="4"/>
  <c r="X360" i="4"/>
  <c r="R363" i="4"/>
  <c r="Z367" i="4"/>
  <c r="P385" i="4"/>
  <c r="AF404" i="4"/>
  <c r="Z404" i="4"/>
  <c r="X404" i="4"/>
  <c r="V404" i="4"/>
  <c r="T404" i="4"/>
  <c r="R404" i="4"/>
  <c r="F405" i="4"/>
  <c r="P404" i="4"/>
  <c r="M404" i="4"/>
  <c r="R338" i="4"/>
  <c r="V350" i="4"/>
  <c r="T363" i="4"/>
  <c r="V374" i="4"/>
  <c r="F376" i="4"/>
  <c r="M376" i="4" s="1"/>
  <c r="T374" i="4"/>
  <c r="R374" i="4"/>
  <c r="M374" i="4"/>
  <c r="AB381" i="4"/>
  <c r="Z381" i="4"/>
  <c r="X381" i="4"/>
  <c r="V381" i="4"/>
  <c r="R381" i="4"/>
  <c r="F382" i="4"/>
  <c r="P381" i="4"/>
  <c r="AD388" i="4"/>
  <c r="AB388" i="4"/>
  <c r="Z388" i="4"/>
  <c r="K388" i="4"/>
  <c r="T388" i="4"/>
  <c r="X390" i="4"/>
  <c r="R390" i="4"/>
  <c r="F391" i="4"/>
  <c r="P390" i="4"/>
  <c r="M390" i="4"/>
  <c r="AF390" i="4"/>
  <c r="AD390" i="4"/>
  <c r="AD401" i="4"/>
  <c r="X401" i="4"/>
  <c r="V401" i="4"/>
  <c r="AB403" i="4"/>
  <c r="T401" i="4"/>
  <c r="R401" i="4"/>
  <c r="P401" i="4"/>
  <c r="M401" i="4"/>
  <c r="AF408" i="4"/>
  <c r="Z408" i="4"/>
  <c r="X408" i="4"/>
  <c r="V408" i="4"/>
  <c r="T408" i="4"/>
  <c r="R408" i="4"/>
  <c r="P408" i="4"/>
  <c r="M408" i="4"/>
  <c r="X303" i="4"/>
  <c r="AF329" i="4"/>
  <c r="T338" i="4"/>
  <c r="X341" i="4"/>
  <c r="M347" i="4"/>
  <c r="F348" i="4"/>
  <c r="P348" i="4" s="1"/>
  <c r="X350" i="4"/>
  <c r="V363" i="4"/>
  <c r="P374" i="4"/>
  <c r="G388" i="4"/>
  <c r="T390" i="4"/>
  <c r="Z401" i="4"/>
  <c r="AD408" i="4"/>
  <c r="P419" i="4"/>
  <c r="AD419" i="4"/>
  <c r="AB419" i="4"/>
  <c r="X419" i="4"/>
  <c r="V419" i="4"/>
  <c r="T419" i="4"/>
  <c r="R419" i="4"/>
  <c r="M419" i="4"/>
  <c r="AF419" i="4"/>
  <c r="V338" i="4"/>
  <c r="Z341" i="4"/>
  <c r="K342" i="4"/>
  <c r="P347" i="4"/>
  <c r="Z350" i="4"/>
  <c r="AK358" i="4"/>
  <c r="AD360" i="4"/>
  <c r="X363" i="4"/>
  <c r="X374" i="4"/>
  <c r="T381" i="4"/>
  <c r="AL382" i="4"/>
  <c r="AK382" i="4"/>
  <c r="AB385" i="4"/>
  <c r="Z385" i="4"/>
  <c r="M385" i="4"/>
  <c r="M387" i="4"/>
  <c r="AF387" i="4"/>
  <c r="AB387" i="4"/>
  <c r="Z387" i="4"/>
  <c r="V390" i="4"/>
  <c r="AK391" i="4"/>
  <c r="AB393" i="4"/>
  <c r="X393" i="4"/>
  <c r="V393" i="4"/>
  <c r="T393" i="4"/>
  <c r="R393" i="4"/>
  <c r="F394" i="4"/>
  <c r="T394" i="4" s="1"/>
  <c r="P393" i="4"/>
  <c r="AL394" i="4"/>
  <c r="X338" i="4"/>
  <c r="X342" i="4"/>
  <c r="R347" i="4"/>
  <c r="AB350" i="4"/>
  <c r="AL361" i="4"/>
  <c r="Z363" i="4"/>
  <c r="AF368" i="4"/>
  <c r="Z368" i="4"/>
  <c r="F372" i="4"/>
  <c r="P371" i="4"/>
  <c r="M371" i="4"/>
  <c r="AF371" i="4"/>
  <c r="AD371" i="4"/>
  <c r="Z374" i="4"/>
  <c r="AB375" i="4"/>
  <c r="M399" i="4"/>
  <c r="AB401" i="4"/>
  <c r="AF399" i="4"/>
  <c r="AD399" i="4"/>
  <c r="AB399" i="4"/>
  <c r="Z399" i="4"/>
  <c r="F402" i="4"/>
  <c r="X402" i="4" s="1"/>
  <c r="X399" i="4"/>
  <c r="V399" i="4"/>
  <c r="T399" i="4"/>
  <c r="R399" i="4"/>
  <c r="M329" i="4"/>
  <c r="Z338" i="4"/>
  <c r="AD341" i="4"/>
  <c r="T347" i="4"/>
  <c r="AD350" i="4"/>
  <c r="M368" i="4"/>
  <c r="R371" i="4"/>
  <c r="AB374" i="4"/>
  <c r="X378" i="4"/>
  <c r="V378" i="4"/>
  <c r="T378" i="4"/>
  <c r="R378" i="4"/>
  <c r="M378" i="4"/>
  <c r="AF381" i="4"/>
  <c r="AB390" i="4"/>
  <c r="P399" i="4"/>
  <c r="AF303" i="4"/>
  <c r="P329" i="4"/>
  <c r="AB338" i="4"/>
  <c r="AF341" i="4"/>
  <c r="Z342" i="4"/>
  <c r="V347" i="4"/>
  <c r="AK364" i="4"/>
  <c r="P368" i="4"/>
  <c r="X369" i="4"/>
  <c r="T371" i="4"/>
  <c r="AD374" i="4"/>
  <c r="P378" i="4"/>
  <c r="AF384" i="4"/>
  <c r="AD384" i="4"/>
  <c r="AB384" i="4"/>
  <c r="X384" i="4"/>
  <c r="V384" i="4"/>
  <c r="X385" i="4"/>
  <c r="T387" i="4"/>
  <c r="AD393" i="4"/>
  <c r="AF396" i="4"/>
  <c r="AB396" i="4"/>
  <c r="Z396" i="4"/>
  <c r="X396" i="4"/>
  <c r="V396" i="4"/>
  <c r="T396" i="4"/>
  <c r="F397" i="4"/>
  <c r="P396" i="4"/>
  <c r="M396" i="4"/>
  <c r="F436" i="4"/>
  <c r="X436" i="4" s="1"/>
  <c r="X433" i="4"/>
  <c r="T433" i="4"/>
  <c r="P433" i="4"/>
  <c r="AF433" i="4"/>
  <c r="R433" i="4"/>
  <c r="AB435" i="4"/>
  <c r="M433" i="4"/>
  <c r="AD433" i="4"/>
  <c r="Z433" i="4"/>
  <c r="V433" i="4"/>
  <c r="R329" i="4"/>
  <c r="AD338" i="4"/>
  <c r="AK342" i="4"/>
  <c r="AB342" i="4"/>
  <c r="X347" i="4"/>
  <c r="M360" i="4"/>
  <c r="F361" i="4"/>
  <c r="X361" i="4" s="1"/>
  <c r="AL364" i="4"/>
  <c r="P367" i="4"/>
  <c r="M367" i="4"/>
  <c r="AF367" i="4"/>
  <c r="AD367" i="4"/>
  <c r="R368" i="4"/>
  <c r="V371" i="4"/>
  <c r="AF374" i="4"/>
  <c r="Z378" i="4"/>
  <c r="M388" i="4"/>
  <c r="AK333" i="4"/>
  <c r="P342" i="4"/>
  <c r="Z347" i="4"/>
  <c r="AK361" i="4"/>
  <c r="T368" i="4"/>
  <c r="X371" i="4"/>
  <c r="M407" i="4"/>
  <c r="AB408" i="4"/>
  <c r="AF407" i="4"/>
  <c r="AD407" i="4"/>
  <c r="AB407" i="4"/>
  <c r="Z407" i="4"/>
  <c r="X407" i="4"/>
  <c r="V407" i="4"/>
  <c r="F409" i="4"/>
  <c r="T407" i="4"/>
  <c r="R407" i="4"/>
  <c r="M411" i="4"/>
  <c r="AF411" i="4"/>
  <c r="AD411" i="4"/>
  <c r="Z411" i="4"/>
  <c r="X411" i="4"/>
  <c r="V411" i="4"/>
  <c r="T411" i="4"/>
  <c r="R411" i="4"/>
  <c r="P412" i="4"/>
  <c r="AL412" i="4"/>
  <c r="AK412" i="4"/>
  <c r="AD342" i="4"/>
  <c r="AB347" i="4"/>
  <c r="M350" i="4"/>
  <c r="F351" i="4"/>
  <c r="P351" i="4" s="1"/>
  <c r="AL355" i="4"/>
  <c r="R360" i="4"/>
  <c r="T366" i="4"/>
  <c r="R366" i="4"/>
  <c r="P366" i="4"/>
  <c r="AB368" i="4"/>
  <c r="T367" i="4"/>
  <c r="V368" i="4"/>
  <c r="Z371" i="4"/>
  <c r="AD378" i="4"/>
  <c r="R384" i="4"/>
  <c r="AD385" i="4"/>
  <c r="AD387" i="4"/>
  <c r="P388" i="4"/>
  <c r="AF400" i="4"/>
  <c r="AB400" i="4"/>
  <c r="Z400" i="4"/>
  <c r="X400" i="4"/>
  <c r="V400" i="4"/>
  <c r="T400" i="4"/>
  <c r="R400" i="4"/>
  <c r="P400" i="4"/>
  <c r="M400" i="4"/>
  <c r="P407" i="4"/>
  <c r="P411" i="4"/>
  <c r="F364" i="4"/>
  <c r="M364" i="4" s="1"/>
  <c r="P363" i="4"/>
  <c r="AF363" i="4"/>
  <c r="AD363" i="4"/>
  <c r="X368" i="4"/>
  <c r="AK379" i="4"/>
  <c r="P379" i="4"/>
  <c r="AL379" i="4"/>
  <c r="X429" i="4"/>
  <c r="F431" i="4"/>
  <c r="P431" i="4" s="1"/>
  <c r="T429" i="4"/>
  <c r="P429" i="4"/>
  <c r="AB430" i="4"/>
  <c r="AF429" i="4"/>
  <c r="AD429" i="4"/>
  <c r="AB429" i="4"/>
  <c r="Z429" i="4"/>
  <c r="V429" i="4"/>
  <c r="R429" i="4"/>
  <c r="M429" i="4"/>
  <c r="X441" i="4"/>
  <c r="T441" i="4"/>
  <c r="F442" i="4"/>
  <c r="P441" i="4"/>
  <c r="AF441" i="4"/>
  <c r="AF450" i="4"/>
  <c r="AB450" i="4"/>
  <c r="Z450" i="4"/>
  <c r="X450" i="4"/>
  <c r="V450" i="4"/>
  <c r="T450" i="4"/>
  <c r="AF462" i="4"/>
  <c r="AD462" i="4"/>
  <c r="Z462" i="4"/>
  <c r="X462" i="4"/>
  <c r="V462" i="4"/>
  <c r="T462" i="4"/>
  <c r="AD464" i="4"/>
  <c r="Z464" i="4"/>
  <c r="AB467" i="4"/>
  <c r="X464" i="4"/>
  <c r="V464" i="4"/>
  <c r="T464" i="4"/>
  <c r="R464" i="4"/>
  <c r="P464" i="4"/>
  <c r="M464" i="4"/>
  <c r="AL369" i="4"/>
  <c r="Z414" i="4"/>
  <c r="X415" i="4"/>
  <c r="AF420" i="4"/>
  <c r="V423" i="4"/>
  <c r="R426" i="4"/>
  <c r="V430" i="4"/>
  <c r="M441" i="4"/>
  <c r="M450" i="4"/>
  <c r="T457" i="4"/>
  <c r="M462" i="4"/>
  <c r="AF464" i="4"/>
  <c r="AB414" i="4"/>
  <c r="Z415" i="4"/>
  <c r="X423" i="4"/>
  <c r="V426" i="4"/>
  <c r="X430" i="4"/>
  <c r="R441" i="4"/>
  <c r="P450" i="4"/>
  <c r="P462" i="4"/>
  <c r="T505" i="4"/>
  <c r="R505" i="4"/>
  <c r="AF505" i="4"/>
  <c r="AD505" i="4"/>
  <c r="Z505" i="4"/>
  <c r="X505" i="4"/>
  <c r="F506" i="4"/>
  <c r="V505" i="4"/>
  <c r="P505" i="4"/>
  <c r="M505" i="4"/>
  <c r="AD414" i="4"/>
  <c r="AB415" i="4"/>
  <c r="M418" i="4"/>
  <c r="Z423" i="4"/>
  <c r="X426" i="4"/>
  <c r="Z430" i="4"/>
  <c r="T438" i="4"/>
  <c r="F439" i="4"/>
  <c r="P438" i="4"/>
  <c r="AF438" i="4"/>
  <c r="V441" i="4"/>
  <c r="R450" i="4"/>
  <c r="R462" i="4"/>
  <c r="AD415" i="4"/>
  <c r="AB422" i="4"/>
  <c r="Z426" i="4"/>
  <c r="AD430" i="4"/>
  <c r="P435" i="4"/>
  <c r="AF435" i="4"/>
  <c r="X435" i="4"/>
  <c r="M438" i="4"/>
  <c r="Z441" i="4"/>
  <c r="AD450" i="4"/>
  <c r="F454" i="4"/>
  <c r="P453" i="4"/>
  <c r="M453" i="4"/>
  <c r="AF453" i="4"/>
  <c r="AD453" i="4"/>
  <c r="AB453" i="4"/>
  <c r="Z453" i="4"/>
  <c r="X453" i="4"/>
  <c r="X479" i="4"/>
  <c r="AF479" i="4"/>
  <c r="AB480" i="4"/>
  <c r="AD479" i="4"/>
  <c r="AB479" i="4"/>
  <c r="Z479" i="4"/>
  <c r="V479" i="4"/>
  <c r="T479" i="4"/>
  <c r="R479" i="4"/>
  <c r="F481" i="4"/>
  <c r="T481" i="4" s="1"/>
  <c r="P479" i="4"/>
  <c r="M479" i="4"/>
  <c r="AF415" i="4"/>
  <c r="R418" i="4"/>
  <c r="P420" i="4"/>
  <c r="F421" i="4"/>
  <c r="X421" i="4" s="1"/>
  <c r="AB426" i="4"/>
  <c r="M435" i="4"/>
  <c r="R438" i="4"/>
  <c r="AB441" i="4"/>
  <c r="R453" i="4"/>
  <c r="T456" i="4"/>
  <c r="R456" i="4"/>
  <c r="P456" i="4"/>
  <c r="M456" i="4"/>
  <c r="AB458" i="4"/>
  <c r="AF456" i="4"/>
  <c r="AD456" i="4"/>
  <c r="AB456" i="4"/>
  <c r="AF458" i="4"/>
  <c r="AD458" i="4"/>
  <c r="Z458" i="4"/>
  <c r="X458" i="4"/>
  <c r="V458" i="4"/>
  <c r="AB460" i="4"/>
  <c r="T458" i="4"/>
  <c r="R473" i="4"/>
  <c r="F474" i="4"/>
  <c r="P473" i="4"/>
  <c r="M473" i="4"/>
  <c r="AF473" i="4"/>
  <c r="AD473" i="4"/>
  <c r="AB473" i="4"/>
  <c r="Z473" i="4"/>
  <c r="X473" i="4"/>
  <c r="V473" i="4"/>
  <c r="T473" i="4"/>
  <c r="AK397" i="4"/>
  <c r="AK405" i="4"/>
  <c r="AK409" i="4"/>
  <c r="V418" i="4"/>
  <c r="AD426" i="4"/>
  <c r="T434" i="4"/>
  <c r="P434" i="4"/>
  <c r="AB434" i="4"/>
  <c r="R435" i="4"/>
  <c r="V438" i="4"/>
  <c r="AD441" i="4"/>
  <c r="AK442" i="4"/>
  <c r="AB444" i="4"/>
  <c r="X444" i="4"/>
  <c r="T444" i="4"/>
  <c r="R444" i="4"/>
  <c r="F445" i="4"/>
  <c r="X445" i="4" s="1"/>
  <c r="P444" i="4"/>
  <c r="M444" i="4"/>
  <c r="AB464" i="4"/>
  <c r="P461" i="4"/>
  <c r="M461" i="4"/>
  <c r="AF461" i="4"/>
  <c r="AD461" i="4"/>
  <c r="F465" i="4"/>
  <c r="Z461" i="4"/>
  <c r="X461" i="4"/>
  <c r="F416" i="4"/>
  <c r="T414" i="4"/>
  <c r="AL431" i="4"/>
  <c r="X456" i="4"/>
  <c r="P458" i="4"/>
  <c r="R461" i="4"/>
  <c r="F451" i="4"/>
  <c r="P451" i="4" s="1"/>
  <c r="AF463" i="4"/>
  <c r="AD463" i="4"/>
  <c r="AB463" i="4"/>
  <c r="Z463" i="4"/>
  <c r="AB466" i="4"/>
  <c r="X463" i="4"/>
  <c r="V463" i="4"/>
  <c r="T463" i="4"/>
  <c r="R463" i="4"/>
  <c r="P463" i="4"/>
  <c r="F424" i="4"/>
  <c r="M424" i="4" s="1"/>
  <c r="P423" i="4"/>
  <c r="AF423" i="4"/>
  <c r="AK427" i="4"/>
  <c r="AK439" i="4"/>
  <c r="AK445" i="4"/>
  <c r="V461" i="4"/>
  <c r="M463" i="4"/>
  <c r="F499" i="4"/>
  <c r="P498" i="4"/>
  <c r="X498" i="4"/>
  <c r="V498" i="4"/>
  <c r="T498" i="4"/>
  <c r="AF498" i="4"/>
  <c r="AD498" i="4"/>
  <c r="AB498" i="4"/>
  <c r="Z498" i="4"/>
  <c r="R498" i="4"/>
  <c r="M498" i="4"/>
  <c r="T430" i="4"/>
  <c r="P430" i="4"/>
  <c r="AF447" i="4"/>
  <c r="AB447" i="4"/>
  <c r="X447" i="4"/>
  <c r="V447" i="4"/>
  <c r="T447" i="4"/>
  <c r="R447" i="4"/>
  <c r="F448" i="4"/>
  <c r="X448" i="4" s="1"/>
  <c r="P447" i="4"/>
  <c r="AL448" i="4"/>
  <c r="V476" i="4"/>
  <c r="T476" i="4"/>
  <c r="R476" i="4"/>
  <c r="F477" i="4"/>
  <c r="X477" i="4" s="1"/>
  <c r="P476" i="4"/>
  <c r="M476" i="4"/>
  <c r="AF476" i="4"/>
  <c r="AD476" i="4"/>
  <c r="AB476" i="4"/>
  <c r="Z476" i="4"/>
  <c r="X476" i="4"/>
  <c r="T415" i="4"/>
  <c r="T426" i="4"/>
  <c r="F427" i="4"/>
  <c r="P426" i="4"/>
  <c r="M430" i="4"/>
  <c r="Z434" i="4"/>
  <c r="AD435" i="4"/>
  <c r="AK436" i="4"/>
  <c r="M447" i="4"/>
  <c r="P457" i="4"/>
  <c r="M457" i="4"/>
  <c r="AF457" i="4"/>
  <c r="AD457" i="4"/>
  <c r="AB457" i="4"/>
  <c r="Z457" i="4"/>
  <c r="X457" i="4"/>
  <c r="M470" i="4"/>
  <c r="AF470" i="4"/>
  <c r="AD470" i="4"/>
  <c r="AB470" i="4"/>
  <c r="Z470" i="4"/>
  <c r="X470" i="4"/>
  <c r="V470" i="4"/>
  <c r="T470" i="4"/>
  <c r="R470" i="4"/>
  <c r="F471" i="4"/>
  <c r="T471" i="4" s="1"/>
  <c r="P470" i="4"/>
  <c r="F503" i="4"/>
  <c r="T501" i="4"/>
  <c r="AB502" i="4"/>
  <c r="AF501" i="4"/>
  <c r="AB501" i="4"/>
  <c r="Z501" i="4"/>
  <c r="X501" i="4"/>
  <c r="V577" i="4"/>
  <c r="T577" i="4"/>
  <c r="R577" i="4"/>
  <c r="M577" i="4"/>
  <c r="AD577" i="4"/>
  <c r="Z577" i="4"/>
  <c r="X577" i="4"/>
  <c r="F578" i="4"/>
  <c r="P578" i="4" s="1"/>
  <c r="AF577" i="4"/>
  <c r="P577" i="4"/>
  <c r="M467" i="4"/>
  <c r="M489" i="4"/>
  <c r="F490" i="4"/>
  <c r="M490" i="4" s="1"/>
  <c r="F496" i="4"/>
  <c r="P496" i="4" s="1"/>
  <c r="P495" i="4"/>
  <c r="M501" i="4"/>
  <c r="P533" i="4"/>
  <c r="R533" i="4"/>
  <c r="M533" i="4"/>
  <c r="AF533" i="4"/>
  <c r="AD533" i="4"/>
  <c r="Z533" i="4"/>
  <c r="X533" i="4"/>
  <c r="V533" i="4"/>
  <c r="X544" i="4"/>
  <c r="AB544" i="4"/>
  <c r="AD544" i="4"/>
  <c r="Z544" i="4"/>
  <c r="V544" i="4"/>
  <c r="G544" i="4"/>
  <c r="T544" i="4"/>
  <c r="R544" i="4"/>
  <c r="M544" i="4"/>
  <c r="T588" i="4"/>
  <c r="AK588" i="4"/>
  <c r="AK454" i="4"/>
  <c r="P467" i="4"/>
  <c r="F468" i="4"/>
  <c r="AK474" i="4"/>
  <c r="P489" i="4"/>
  <c r="Z492" i="4"/>
  <c r="M495" i="4"/>
  <c r="P501" i="4"/>
  <c r="AL503" i="4"/>
  <c r="AK503" i="4"/>
  <c r="AL516" i="4"/>
  <c r="AK516" i="4"/>
  <c r="F530" i="4"/>
  <c r="T530" i="4" s="1"/>
  <c r="P529" i="4"/>
  <c r="AF529" i="4"/>
  <c r="AD529" i="4"/>
  <c r="AB529" i="4"/>
  <c r="Z529" i="4"/>
  <c r="X529" i="4"/>
  <c r="V529" i="4"/>
  <c r="T529" i="4"/>
  <c r="R529" i="4"/>
  <c r="M529" i="4"/>
  <c r="T533" i="4"/>
  <c r="M549" i="4"/>
  <c r="AB549" i="4"/>
  <c r="T549" i="4"/>
  <c r="F550" i="4"/>
  <c r="P549" i="4"/>
  <c r="R549" i="4"/>
  <c r="AF549" i="4"/>
  <c r="AD549" i="4"/>
  <c r="Z549" i="4"/>
  <c r="X549" i="4"/>
  <c r="AL454" i="4"/>
  <c r="R467" i="4"/>
  <c r="AL474" i="4"/>
  <c r="Z483" i="4"/>
  <c r="R489" i="4"/>
  <c r="AB492" i="4"/>
  <c r="R495" i="4"/>
  <c r="R501" i="4"/>
  <c r="AK451" i="4"/>
  <c r="AK459" i="4"/>
  <c r="T467" i="4"/>
  <c r="AK471" i="4"/>
  <c r="T489" i="4"/>
  <c r="AK490" i="4"/>
  <c r="T495" i="4"/>
  <c r="V501" i="4"/>
  <c r="AL506" i="4"/>
  <c r="AK506" i="4"/>
  <c r="AB512" i="4"/>
  <c r="AF511" i="4"/>
  <c r="AD511" i="4"/>
  <c r="AB511" i="4"/>
  <c r="Z511" i="4"/>
  <c r="X511" i="4"/>
  <c r="F513" i="4"/>
  <c r="P513" i="4" s="1"/>
  <c r="T511" i="4"/>
  <c r="R511" i="4"/>
  <c r="P511" i="4"/>
  <c r="M511" i="4"/>
  <c r="AF515" i="4"/>
  <c r="AD515" i="4"/>
  <c r="Z515" i="4"/>
  <c r="X515" i="4"/>
  <c r="V515" i="4"/>
  <c r="T515" i="4"/>
  <c r="R515" i="4"/>
  <c r="F516" i="4"/>
  <c r="P516" i="4" s="1"/>
  <c r="P515" i="4"/>
  <c r="M515" i="4"/>
  <c r="AL451" i="4"/>
  <c r="AL459" i="4"/>
  <c r="V467" i="4"/>
  <c r="P480" i="4"/>
  <c r="M486" i="4"/>
  <c r="F487" i="4"/>
  <c r="V489" i="4"/>
  <c r="V495" i="4"/>
  <c r="AD501" i="4"/>
  <c r="X508" i="4"/>
  <c r="V508" i="4"/>
  <c r="R508" i="4"/>
  <c r="F509" i="4"/>
  <c r="P508" i="4"/>
  <c r="AF508" i="4"/>
  <c r="AD508" i="4"/>
  <c r="AB508" i="4"/>
  <c r="AF523" i="4"/>
  <c r="M523" i="4"/>
  <c r="AD523" i="4"/>
  <c r="Z523" i="4"/>
  <c r="X523" i="4"/>
  <c r="V523" i="4"/>
  <c r="T523" i="4"/>
  <c r="R523" i="4"/>
  <c r="R540" i="4"/>
  <c r="AF540" i="4"/>
  <c r="X540" i="4"/>
  <c r="T540" i="4"/>
  <c r="M540" i="4"/>
  <c r="F541" i="4"/>
  <c r="AD540" i="4"/>
  <c r="Z540" i="4"/>
  <c r="V540" i="4"/>
  <c r="X467" i="4"/>
  <c r="AK468" i="4"/>
  <c r="R480" i="4"/>
  <c r="AK481" i="4"/>
  <c r="AF483" i="4"/>
  <c r="P486" i="4"/>
  <c r="X489" i="4"/>
  <c r="X495" i="4"/>
  <c r="M508" i="4"/>
  <c r="P523" i="4"/>
  <c r="P540" i="4"/>
  <c r="AD556" i="4"/>
  <c r="Z556" i="4"/>
  <c r="K556" i="4"/>
  <c r="T556" i="4"/>
  <c r="G556" i="4"/>
  <c r="R556" i="4"/>
  <c r="M556" i="4"/>
  <c r="AL592" i="4"/>
  <c r="Z467" i="4"/>
  <c r="V480" i="4"/>
  <c r="AK484" i="4"/>
  <c r="R486" i="4"/>
  <c r="Z489" i="4"/>
  <c r="Z495" i="4"/>
  <c r="T508" i="4"/>
  <c r="AB537" i="4"/>
  <c r="AF536" i="4"/>
  <c r="X536" i="4"/>
  <c r="F538" i="4"/>
  <c r="X538" i="4" s="1"/>
  <c r="T536" i="4"/>
  <c r="AD536" i="4"/>
  <c r="Z536" i="4"/>
  <c r="V536" i="4"/>
  <c r="R536" i="4"/>
  <c r="P536" i="4"/>
  <c r="M536" i="4"/>
  <c r="AB583" i="4"/>
  <c r="T582" i="4"/>
  <c r="G582" i="4"/>
  <c r="AD582" i="4"/>
  <c r="M582" i="4"/>
  <c r="K582" i="4"/>
  <c r="R582" i="4"/>
  <c r="AB582" i="4"/>
  <c r="AK465" i="4"/>
  <c r="T486" i="4"/>
  <c r="AK487" i="4"/>
  <c r="AB489" i="4"/>
  <c r="M492" i="4"/>
  <c r="F493" i="4"/>
  <c r="X493" i="4" s="1"/>
  <c r="AB495" i="4"/>
  <c r="AK499" i="4"/>
  <c r="Z508" i="4"/>
  <c r="Z512" i="4"/>
  <c r="X512" i="4"/>
  <c r="V512" i="4"/>
  <c r="T512" i="4"/>
  <c r="P512" i="4"/>
  <c r="M512" i="4"/>
  <c r="AF512" i="4"/>
  <c r="AB525" i="4"/>
  <c r="AD467" i="4"/>
  <c r="Z480" i="4"/>
  <c r="V486" i="4"/>
  <c r="AD489" i="4"/>
  <c r="P492" i="4"/>
  <c r="AD495" i="4"/>
  <c r="P502" i="4"/>
  <c r="X502" i="4"/>
  <c r="V502" i="4"/>
  <c r="T502" i="4"/>
  <c r="F534" i="4"/>
  <c r="T534" i="4" s="1"/>
  <c r="T532" i="4"/>
  <c r="R532" i="4"/>
  <c r="P532" i="4"/>
  <c r="M532" i="4"/>
  <c r="AF532" i="4"/>
  <c r="AB533" i="4"/>
  <c r="AD532" i="4"/>
  <c r="AB532" i="4"/>
  <c r="Z532" i="4"/>
  <c r="X532" i="4"/>
  <c r="M483" i="4"/>
  <c r="F484" i="4"/>
  <c r="P484" i="4" s="1"/>
  <c r="X486" i="4"/>
  <c r="R492" i="4"/>
  <c r="AK493" i="4"/>
  <c r="AF495" i="4"/>
  <c r="AK496" i="4"/>
  <c r="M502" i="4"/>
  <c r="AB556" i="4"/>
  <c r="AF518" i="4"/>
  <c r="AD518" i="4"/>
  <c r="AB518" i="4"/>
  <c r="Z518" i="4"/>
  <c r="X518" i="4"/>
  <c r="V518" i="4"/>
  <c r="T518" i="4"/>
  <c r="R518" i="4"/>
  <c r="F519" i="4"/>
  <c r="T519" i="4" s="1"/>
  <c r="P518" i="4"/>
  <c r="T537" i="4"/>
  <c r="P537" i="4"/>
  <c r="AF537" i="4"/>
  <c r="AD537" i="4"/>
  <c r="Z537" i="4"/>
  <c r="X537" i="4"/>
  <c r="V537" i="4"/>
  <c r="R537" i="4"/>
  <c r="R552" i="4"/>
  <c r="AF552" i="4"/>
  <c r="X552" i="4"/>
  <c r="T552" i="4"/>
  <c r="P552" i="4"/>
  <c r="M552" i="4"/>
  <c r="F553" i="4"/>
  <c r="AD552" i="4"/>
  <c r="AB552" i="4"/>
  <c r="Z552" i="4"/>
  <c r="X521" i="4"/>
  <c r="V522" i="4"/>
  <c r="Z543" i="4"/>
  <c r="AD555" i="4"/>
  <c r="AD561" i="4"/>
  <c r="Z561" i="4"/>
  <c r="V561" i="4"/>
  <c r="T561" i="4"/>
  <c r="M561" i="4"/>
  <c r="AF561" i="4"/>
  <c r="AL578" i="4"/>
  <c r="AK578" i="4"/>
  <c r="Z521" i="4"/>
  <c r="X522" i="4"/>
  <c r="AK524" i="4"/>
  <c r="AD526" i="4"/>
  <c r="Z527" i="4"/>
  <c r="AD543" i="4"/>
  <c r="AF555" i="4"/>
  <c r="P561" i="4"/>
  <c r="Z580" i="4"/>
  <c r="X580" i="4"/>
  <c r="V580" i="4"/>
  <c r="R580" i="4"/>
  <c r="P580" i="4"/>
  <c r="AB581" i="4"/>
  <c r="AF580" i="4"/>
  <c r="AD580" i="4"/>
  <c r="AB580" i="4"/>
  <c r="X588" i="4"/>
  <c r="K588" i="4"/>
  <c r="AD588" i="4"/>
  <c r="AB588" i="4"/>
  <c r="P601" i="4"/>
  <c r="M601" i="4"/>
  <c r="AB602" i="4"/>
  <c r="AF601" i="4"/>
  <c r="AD601" i="4"/>
  <c r="X601" i="4"/>
  <c r="V601" i="4"/>
  <c r="F603" i="4"/>
  <c r="P603" i="4" s="1"/>
  <c r="T601" i="4"/>
  <c r="R601" i="4"/>
  <c r="AB521" i="4"/>
  <c r="Z522" i="4"/>
  <c r="AL524" i="4"/>
  <c r="AF526" i="4"/>
  <c r="AB527" i="4"/>
  <c r="AF543" i="4"/>
  <c r="AK553" i="4"/>
  <c r="P556" i="4"/>
  <c r="AK556" i="4"/>
  <c r="R561" i="4"/>
  <c r="M565" i="4"/>
  <c r="R574" i="4"/>
  <c r="P574" i="4"/>
  <c r="M574" i="4"/>
  <c r="AF574" i="4"/>
  <c r="Z574" i="4"/>
  <c r="X574" i="4"/>
  <c r="V574" i="4"/>
  <c r="T574" i="4"/>
  <c r="M580" i="4"/>
  <c r="G588" i="4"/>
  <c r="AF598" i="4"/>
  <c r="Z598" i="4"/>
  <c r="T598" i="4"/>
  <c r="R598" i="4"/>
  <c r="P598" i="4"/>
  <c r="M598" i="4"/>
  <c r="Z601" i="4"/>
  <c r="X611" i="4"/>
  <c r="V611" i="4"/>
  <c r="T611" i="4"/>
  <c r="R611" i="4"/>
  <c r="F612" i="4"/>
  <c r="M612" i="4" s="1"/>
  <c r="P611" i="4"/>
  <c r="M611" i="4"/>
  <c r="AF611" i="4"/>
  <c r="AD611" i="4"/>
  <c r="Z611" i="4"/>
  <c r="AD521" i="4"/>
  <c r="AB522" i="4"/>
  <c r="P527" i="4"/>
  <c r="AK530" i="4"/>
  <c r="AK541" i="4"/>
  <c r="P544" i="4"/>
  <c r="AL544" i="4"/>
  <c r="X561" i="4"/>
  <c r="AL562" i="4"/>
  <c r="AL616" i="4"/>
  <c r="AF521" i="4"/>
  <c r="AD522" i="4"/>
  <c r="AD527" i="4"/>
  <c r="AK547" i="4"/>
  <c r="P550" i="4"/>
  <c r="T608" i="4"/>
  <c r="R608" i="4"/>
  <c r="F609" i="4"/>
  <c r="P608" i="4"/>
  <c r="M608" i="4"/>
  <c r="AB608" i="4"/>
  <c r="Z608" i="4"/>
  <c r="X608" i="4"/>
  <c r="V608" i="4"/>
  <c r="AF522" i="4"/>
  <c r="AB523" i="4"/>
  <c r="R527" i="4"/>
  <c r="AL565" i="4"/>
  <c r="AK565" i="4"/>
  <c r="AD598" i="4"/>
  <c r="F606" i="4"/>
  <c r="M606" i="4" s="1"/>
  <c r="P605" i="4"/>
  <c r="M605" i="4"/>
  <c r="AF605" i="4"/>
  <c r="AD605" i="4"/>
  <c r="X605" i="4"/>
  <c r="V605" i="4"/>
  <c r="T605" i="4"/>
  <c r="R605" i="4"/>
  <c r="AD608" i="4"/>
  <c r="V555" i="4"/>
  <c r="AB555" i="4"/>
  <c r="X555" i="4"/>
  <c r="V581" i="4"/>
  <c r="T581" i="4"/>
  <c r="R581" i="4"/>
  <c r="M581" i="4"/>
  <c r="AD581" i="4"/>
  <c r="Z581" i="4"/>
  <c r="X581" i="4"/>
  <c r="P582" i="4"/>
  <c r="AL582" i="4"/>
  <c r="AK582" i="4"/>
  <c r="Z584" i="4"/>
  <c r="X584" i="4"/>
  <c r="V584" i="4"/>
  <c r="R584" i="4"/>
  <c r="F585" i="4"/>
  <c r="P584" i="4"/>
  <c r="AF584" i="4"/>
  <c r="AD584" i="4"/>
  <c r="AD587" i="4"/>
  <c r="AB587" i="4"/>
  <c r="Z587" i="4"/>
  <c r="V587" i="4"/>
  <c r="T587" i="4"/>
  <c r="M587" i="4"/>
  <c r="AF587" i="4"/>
  <c r="M588" i="4"/>
  <c r="AF602" i="4"/>
  <c r="Z602" i="4"/>
  <c r="T602" i="4"/>
  <c r="R602" i="4"/>
  <c r="P602" i="4"/>
  <c r="M602" i="4"/>
  <c r="Z605" i="4"/>
  <c r="AF608" i="4"/>
  <c r="AD619" i="4"/>
  <c r="AB619" i="4"/>
  <c r="Z619" i="4"/>
  <c r="V619" i="4"/>
  <c r="T619" i="4"/>
  <c r="R619" i="4"/>
  <c r="P619" i="4"/>
  <c r="M619" i="4"/>
  <c r="V543" i="4"/>
  <c r="AB543" i="4"/>
  <c r="X543" i="4"/>
  <c r="M555" i="4"/>
  <c r="Z558" i="4"/>
  <c r="R558" i="4"/>
  <c r="F559" i="4"/>
  <c r="P558" i="4"/>
  <c r="AF558" i="4"/>
  <c r="AB558" i="4"/>
  <c r="P581" i="4"/>
  <c r="M584" i="4"/>
  <c r="P587" i="4"/>
  <c r="AD591" i="4"/>
  <c r="AB591" i="4"/>
  <c r="Z591" i="4"/>
  <c r="V591" i="4"/>
  <c r="T591" i="4"/>
  <c r="M591" i="4"/>
  <c r="X619" i="4"/>
  <c r="AK513" i="4"/>
  <c r="M521" i="4"/>
  <c r="M522" i="4"/>
  <c r="AK534" i="4"/>
  <c r="M543" i="4"/>
  <c r="P555" i="4"/>
  <c r="X556" i="4"/>
  <c r="M558" i="4"/>
  <c r="F562" i="4"/>
  <c r="P562" i="4" s="1"/>
  <c r="V573" i="4"/>
  <c r="F575" i="4"/>
  <c r="T573" i="4"/>
  <c r="R573" i="4"/>
  <c r="M573" i="4"/>
  <c r="AD573" i="4"/>
  <c r="AB573" i="4"/>
  <c r="Z573" i="4"/>
  <c r="X573" i="4"/>
  <c r="AF581" i="4"/>
  <c r="T584" i="4"/>
  <c r="R587" i="4"/>
  <c r="AL588" i="4"/>
  <c r="P591" i="4"/>
  <c r="X602" i="4"/>
  <c r="AB615" i="4"/>
  <c r="AD614" i="4"/>
  <c r="AB614" i="4"/>
  <c r="Z614" i="4"/>
  <c r="X614" i="4"/>
  <c r="V614" i="4"/>
  <c r="T614" i="4"/>
  <c r="F616" i="4"/>
  <c r="M616" i="4" s="1"/>
  <c r="P614" i="4"/>
  <c r="M614" i="4"/>
  <c r="R521" i="4"/>
  <c r="P522" i="4"/>
  <c r="V526" i="4"/>
  <c r="AK527" i="4"/>
  <c r="P543" i="4"/>
  <c r="X550" i="4"/>
  <c r="R555" i="4"/>
  <c r="T558" i="4"/>
  <c r="AK592" i="4"/>
  <c r="AF594" i="4"/>
  <c r="AB594" i="4"/>
  <c r="Z594" i="4"/>
  <c r="T594" i="4"/>
  <c r="R594" i="4"/>
  <c r="F595" i="4"/>
  <c r="P595" i="4" s="1"/>
  <c r="P594" i="4"/>
  <c r="M594" i="4"/>
  <c r="P597" i="4"/>
  <c r="M597" i="4"/>
  <c r="AB598" i="4"/>
  <c r="AF597" i="4"/>
  <c r="AD597" i="4"/>
  <c r="X597" i="4"/>
  <c r="V597" i="4"/>
  <c r="F599" i="4"/>
  <c r="X599" i="4" s="1"/>
  <c r="T597" i="4"/>
  <c r="R597" i="4"/>
  <c r="R614" i="4"/>
  <c r="T521" i="4"/>
  <c r="F524" i="4"/>
  <c r="P524" i="4" s="1"/>
  <c r="R543" i="4"/>
  <c r="T555" i="4"/>
  <c r="AL559" i="4"/>
  <c r="R570" i="4"/>
  <c r="F571" i="4"/>
  <c r="P570" i="4"/>
  <c r="M570" i="4"/>
  <c r="AF570" i="4"/>
  <c r="Z570" i="4"/>
  <c r="X570" i="4"/>
  <c r="V570" i="4"/>
  <c r="T570" i="4"/>
  <c r="P547" i="4"/>
  <c r="P565" i="4"/>
  <c r="P567" i="4"/>
  <c r="F568" i="4"/>
  <c r="AL612" i="4"/>
  <c r="AD615" i="4"/>
  <c r="P618" i="4"/>
  <c r="R618" i="4"/>
  <c r="R547" i="4"/>
  <c r="R565" i="4"/>
  <c r="T567" i="4"/>
  <c r="AK571" i="4"/>
  <c r="AK575" i="4"/>
  <c r="P588" i="4"/>
  <c r="P590" i="4"/>
  <c r="AL609" i="4"/>
  <c r="T618" i="4"/>
  <c r="V567" i="4"/>
  <c r="R590" i="4"/>
  <c r="F592" i="4"/>
  <c r="T592" i="4" s="1"/>
  <c r="V618" i="4"/>
  <c r="AB567" i="4"/>
  <c r="X590" i="4"/>
  <c r="AL595" i="4"/>
  <c r="AL599" i="4"/>
  <c r="AL603" i="4"/>
  <c r="R615" i="4"/>
  <c r="AD567" i="4"/>
  <c r="T615" i="4"/>
  <c r="AK616" i="4"/>
  <c r="AD618" i="4"/>
  <c r="F620" i="4"/>
  <c r="AF544" i="4" l="1"/>
  <c r="K527" i="4"/>
  <c r="P167" i="4"/>
  <c r="P106" i="4"/>
  <c r="M547" i="4"/>
  <c r="P15" i="4"/>
  <c r="K15" i="4"/>
  <c r="T15" i="4"/>
  <c r="Z15" i="4"/>
  <c r="T231" i="4"/>
  <c r="R304" i="4"/>
  <c r="G304" i="4"/>
  <c r="K304" i="4"/>
  <c r="T304" i="4"/>
  <c r="P199" i="4"/>
  <c r="M15" i="4"/>
  <c r="Z304" i="4"/>
  <c r="M199" i="4"/>
  <c r="AB15" i="4"/>
  <c r="G15" i="4"/>
  <c r="AD304" i="4"/>
  <c r="P300" i="4"/>
  <c r="AB371" i="4"/>
  <c r="K212" i="4"/>
  <c r="M196" i="4"/>
  <c r="Z126" i="4"/>
  <c r="T369" i="4"/>
  <c r="T342" i="4"/>
  <c r="M231" i="4"/>
  <c r="P212" i="4"/>
  <c r="T271" i="4"/>
  <c r="AB281" i="4"/>
  <c r="M205" i="4"/>
  <c r="P493" i="4"/>
  <c r="X431" i="4"/>
  <c r="X459" i="4"/>
  <c r="T339" i="4"/>
  <c r="AD281" i="4"/>
  <c r="M202" i="4"/>
  <c r="AB202" i="4"/>
  <c r="P459" i="4"/>
  <c r="P281" i="4"/>
  <c r="G281" i="4"/>
  <c r="P202" i="4"/>
  <c r="AB461" i="4"/>
  <c r="X499" i="4"/>
  <c r="T459" i="4"/>
  <c r="K459" i="4"/>
  <c r="X358" i="4"/>
  <c r="P307" i="4"/>
  <c r="P314" i="4"/>
  <c r="X297" i="4"/>
  <c r="AD202" i="4"/>
  <c r="P156" i="4"/>
  <c r="M167" i="4"/>
  <c r="P76" i="4"/>
  <c r="R202" i="4"/>
  <c r="P477" i="4"/>
  <c r="R459" i="4"/>
  <c r="K281" i="4"/>
  <c r="G202" i="4"/>
  <c r="T550" i="4"/>
  <c r="T445" i="4"/>
  <c r="AB459" i="4"/>
  <c r="X281" i="4"/>
  <c r="P265" i="4"/>
  <c r="K202" i="4"/>
  <c r="T431" i="4"/>
  <c r="X318" i="4"/>
  <c r="AD459" i="4"/>
  <c r="M459" i="4"/>
  <c r="T202" i="4"/>
  <c r="P291" i="4"/>
  <c r="R281" i="4"/>
  <c r="P99" i="4"/>
  <c r="P519" i="4"/>
  <c r="T358" i="4"/>
  <c r="T59" i="4"/>
  <c r="T184" i="4"/>
  <c r="T439" i="4"/>
  <c r="T538" i="4"/>
  <c r="P541" i="4"/>
  <c r="X215" i="4"/>
  <c r="P481" i="4"/>
  <c r="P436" i="4"/>
  <c r="P364" i="4"/>
  <c r="P402" i="4"/>
  <c r="X236" i="4"/>
  <c r="P205" i="4"/>
  <c r="P465" i="4"/>
  <c r="X132" i="4"/>
  <c r="M24" i="4"/>
  <c r="P361" i="4"/>
  <c r="P136" i="4"/>
  <c r="M76" i="4"/>
  <c r="T205" i="4"/>
  <c r="Z547" i="4"/>
  <c r="T506" i="4"/>
  <c r="P439" i="4"/>
  <c r="X205" i="4"/>
  <c r="P109" i="4"/>
  <c r="P59" i="4"/>
  <c r="X184" i="4"/>
  <c r="X506" i="4"/>
  <c r="T524" i="4"/>
  <c r="M541" i="4"/>
  <c r="M477" i="4"/>
  <c r="P424" i="4"/>
  <c r="P394" i="4"/>
  <c r="M181" i="4"/>
  <c r="M109" i="4"/>
  <c r="R15" i="4"/>
  <c r="M281" i="4"/>
  <c r="X534" i="4"/>
  <c r="P445" i="4"/>
  <c r="X481" i="4"/>
  <c r="M372" i="4"/>
  <c r="T228" i="4"/>
  <c r="X244" i="4"/>
  <c r="P244" i="4"/>
  <c r="X42" i="4"/>
  <c r="R212" i="4"/>
  <c r="M212" i="4"/>
  <c r="AD212" i="4"/>
  <c r="T451" i="4"/>
  <c r="R385" i="4"/>
  <c r="K385" i="4"/>
  <c r="G385" i="4"/>
  <c r="T385" i="4"/>
  <c r="R342" i="4"/>
  <c r="G342" i="4"/>
  <c r="X228" i="4"/>
  <c r="T119" i="4"/>
  <c r="P599" i="4"/>
  <c r="M519" i="4"/>
  <c r="P372" i="4"/>
  <c r="M391" i="4"/>
  <c r="P223" i="4"/>
  <c r="T187" i="4"/>
  <c r="X67" i="4"/>
  <c r="X15" i="4"/>
  <c r="P258" i="4"/>
  <c r="X439" i="4"/>
  <c r="T372" i="4"/>
  <c r="P193" i="4"/>
  <c r="M119" i="4"/>
  <c r="P42" i="4"/>
  <c r="M82" i="4"/>
  <c r="AB565" i="4"/>
  <c r="T565" i="4"/>
  <c r="AD565" i="4"/>
  <c r="K565" i="4"/>
  <c r="G565" i="4"/>
  <c r="M304" i="4"/>
  <c r="M348" i="4"/>
  <c r="AB547" i="4"/>
  <c r="AD547" i="4"/>
  <c r="K547" i="4"/>
  <c r="X547" i="4"/>
  <c r="G547" i="4"/>
  <c r="M530" i="4"/>
  <c r="X565" i="4"/>
  <c r="M571" i="4"/>
  <c r="T223" i="4"/>
  <c r="X193" i="4"/>
  <c r="X35" i="4"/>
  <c r="T76" i="4"/>
  <c r="M342" i="4"/>
  <c r="Z565" i="4"/>
  <c r="R427" i="4"/>
  <c r="G427" i="4"/>
  <c r="AD427" i="4"/>
  <c r="AB427" i="4"/>
  <c r="Z427" i="4"/>
  <c r="K427" i="4"/>
  <c r="AB123" i="4"/>
  <c r="Z123" i="4"/>
  <c r="K123" i="4"/>
  <c r="R123" i="4"/>
  <c r="AD123" i="4"/>
  <c r="AB124" i="4"/>
  <c r="X123" i="4"/>
  <c r="G123" i="4"/>
  <c r="P123" i="4"/>
  <c r="G94" i="4"/>
  <c r="P94" i="4"/>
  <c r="AB94" i="4"/>
  <c r="X94" i="4"/>
  <c r="K94" i="4"/>
  <c r="AB96" i="4"/>
  <c r="T94" i="4"/>
  <c r="R94" i="4"/>
  <c r="AD94" i="4"/>
  <c r="X616" i="4"/>
  <c r="M562" i="4"/>
  <c r="AB482" i="4"/>
  <c r="Z481" i="4"/>
  <c r="M481" i="4"/>
  <c r="K481" i="4"/>
  <c r="G481" i="4"/>
  <c r="R481" i="4"/>
  <c r="AD481" i="4"/>
  <c r="AB481" i="4"/>
  <c r="R436" i="4"/>
  <c r="Z436" i="4"/>
  <c r="AB438" i="4"/>
  <c r="AD436" i="4"/>
  <c r="AB436" i="4"/>
  <c r="K436" i="4"/>
  <c r="G436" i="4"/>
  <c r="T436" i="4"/>
  <c r="M436" i="4"/>
  <c r="X321" i="4"/>
  <c r="K321" i="4"/>
  <c r="G321" i="4"/>
  <c r="R321" i="4"/>
  <c r="AD321" i="4"/>
  <c r="AB321" i="4"/>
  <c r="M321" i="4"/>
  <c r="K274" i="4"/>
  <c r="R274" i="4"/>
  <c r="AD274" i="4"/>
  <c r="P274" i="4"/>
  <c r="AB274" i="4"/>
  <c r="Z274" i="4"/>
  <c r="G274" i="4"/>
  <c r="M274" i="4"/>
  <c r="G148" i="4"/>
  <c r="R148" i="4"/>
  <c r="AD148" i="4"/>
  <c r="P148" i="4"/>
  <c r="AB148" i="4"/>
  <c r="Z148" i="4"/>
  <c r="X148" i="4"/>
  <c r="K148" i="4"/>
  <c r="T148" i="4"/>
  <c r="T199" i="4"/>
  <c r="Z187" i="4"/>
  <c r="G187" i="4"/>
  <c r="R187" i="4"/>
  <c r="AD187" i="4"/>
  <c r="P187" i="4"/>
  <c r="AB187" i="4"/>
  <c r="K187" i="4"/>
  <c r="G167" i="4"/>
  <c r="R167" i="4"/>
  <c r="AD167" i="4"/>
  <c r="AB167" i="4"/>
  <c r="Z167" i="4"/>
  <c r="K167" i="4"/>
  <c r="AB157" i="4"/>
  <c r="T156" i="4"/>
  <c r="G156" i="4"/>
  <c r="R156" i="4"/>
  <c r="AD156" i="4"/>
  <c r="AB156" i="4"/>
  <c r="Z156" i="4"/>
  <c r="M156" i="4"/>
  <c r="X156" i="4"/>
  <c r="K156" i="4"/>
  <c r="AB153" i="4"/>
  <c r="T152" i="4"/>
  <c r="G152" i="4"/>
  <c r="R152" i="4"/>
  <c r="AD152" i="4"/>
  <c r="AB152" i="4"/>
  <c r="Z152" i="4"/>
  <c r="X152" i="4"/>
  <c r="K152" i="4"/>
  <c r="M152" i="4"/>
  <c r="R31" i="4"/>
  <c r="Z31" i="4"/>
  <c r="G31" i="4"/>
  <c r="AD31" i="4"/>
  <c r="AB31" i="4"/>
  <c r="K31" i="4"/>
  <c r="X31" i="4"/>
  <c r="AD85" i="4"/>
  <c r="AB85" i="4"/>
  <c r="Z85" i="4"/>
  <c r="M85" i="4"/>
  <c r="AF87" i="4"/>
  <c r="X85" i="4"/>
  <c r="K85" i="4"/>
  <c r="AB87" i="4"/>
  <c r="G85" i="4"/>
  <c r="R85" i="4"/>
  <c r="T85" i="4"/>
  <c r="K139" i="4"/>
  <c r="T139" i="4"/>
  <c r="G139" i="4"/>
  <c r="R139" i="4"/>
  <c r="AD139" i="4"/>
  <c r="P139" i="4"/>
  <c r="AB139" i="4"/>
  <c r="X139" i="4"/>
  <c r="M94" i="4"/>
  <c r="M12" i="4"/>
  <c r="AD88" i="4"/>
  <c r="G88" i="4"/>
  <c r="R88" i="4"/>
  <c r="AB88" i="4"/>
  <c r="P90" i="4"/>
  <c r="Z88" i="4"/>
  <c r="K88" i="4"/>
  <c r="T88" i="4"/>
  <c r="AB610" i="4"/>
  <c r="G609" i="4"/>
  <c r="R609" i="4"/>
  <c r="AD609" i="4"/>
  <c r="AB609" i="4"/>
  <c r="X609" i="4"/>
  <c r="K609" i="4"/>
  <c r="M609" i="4"/>
  <c r="AB603" i="4"/>
  <c r="Z603" i="4"/>
  <c r="K603" i="4"/>
  <c r="AB604" i="4"/>
  <c r="T603" i="4"/>
  <c r="G603" i="4"/>
  <c r="R603" i="4"/>
  <c r="AD603" i="4"/>
  <c r="M603" i="4"/>
  <c r="X513" i="4"/>
  <c r="M465" i="4"/>
  <c r="K465" i="4"/>
  <c r="G465" i="4"/>
  <c r="R465" i="4"/>
  <c r="AD465" i="4"/>
  <c r="AB465" i="4"/>
  <c r="Z465" i="4"/>
  <c r="X427" i="4"/>
  <c r="M416" i="4"/>
  <c r="X382" i="4"/>
  <c r="K382" i="4"/>
  <c r="G382" i="4"/>
  <c r="R382" i="4"/>
  <c r="Z382" i="4"/>
  <c r="T382" i="4"/>
  <c r="P382" i="4"/>
  <c r="AD382" i="4"/>
  <c r="M382" i="4"/>
  <c r="AB382" i="4"/>
  <c r="R228" i="4"/>
  <c r="G228" i="4"/>
  <c r="P228" i="4"/>
  <c r="AB230" i="4"/>
  <c r="AD228" i="4"/>
  <c r="M228" i="4"/>
  <c r="AB228" i="4"/>
  <c r="K228" i="4"/>
  <c r="Z228" i="4"/>
  <c r="R109" i="4"/>
  <c r="Z109" i="4"/>
  <c r="G109" i="4"/>
  <c r="AD109" i="4"/>
  <c r="AB109" i="4"/>
  <c r="K109" i="4"/>
  <c r="X109" i="4"/>
  <c r="M67" i="4"/>
  <c r="AB68" i="4"/>
  <c r="G67" i="4"/>
  <c r="R67" i="4"/>
  <c r="P67" i="4"/>
  <c r="AD67" i="4"/>
  <c r="K67" i="4"/>
  <c r="AB67" i="4"/>
  <c r="R39" i="4"/>
  <c r="Z39" i="4"/>
  <c r="AB39" i="4"/>
  <c r="K39" i="4"/>
  <c r="T39" i="4"/>
  <c r="G39" i="4"/>
  <c r="P39" i="4"/>
  <c r="AB40" i="4"/>
  <c r="AD39" i="4"/>
  <c r="M39" i="4"/>
  <c r="AB107" i="4"/>
  <c r="G106" i="4"/>
  <c r="R106" i="4"/>
  <c r="AD106" i="4"/>
  <c r="M106" i="4"/>
  <c r="AB106" i="4"/>
  <c r="Z106" i="4"/>
  <c r="K106" i="4"/>
  <c r="P48" i="4"/>
  <c r="AB29" i="4"/>
  <c r="Z28" i="4"/>
  <c r="K28" i="4"/>
  <c r="T28" i="4"/>
  <c r="G28" i="4"/>
  <c r="R28" i="4"/>
  <c r="AD28" i="4"/>
  <c r="AB28" i="4"/>
  <c r="Z524" i="4"/>
  <c r="R524" i="4"/>
  <c r="AD524" i="4"/>
  <c r="AB524" i="4"/>
  <c r="M524" i="4"/>
  <c r="X524" i="4"/>
  <c r="K524" i="4"/>
  <c r="AB526" i="4"/>
  <c r="G524" i="4"/>
  <c r="G620" i="4"/>
  <c r="R620" i="4"/>
  <c r="AD620" i="4"/>
  <c r="P620" i="4"/>
  <c r="AB620" i="4"/>
  <c r="M620" i="4"/>
  <c r="K620" i="4"/>
  <c r="M592" i="4"/>
  <c r="R592" i="4"/>
  <c r="AD592" i="4"/>
  <c r="P592" i="4"/>
  <c r="AB592" i="4"/>
  <c r="K592" i="4"/>
  <c r="G592" i="4"/>
  <c r="AD538" i="4"/>
  <c r="AB539" i="4"/>
  <c r="R538" i="4"/>
  <c r="G538" i="4"/>
  <c r="P538" i="4"/>
  <c r="M538" i="4"/>
  <c r="AB538" i="4"/>
  <c r="Z538" i="4"/>
  <c r="K538" i="4"/>
  <c r="R499" i="4"/>
  <c r="P499" i="4"/>
  <c r="AD499" i="4"/>
  <c r="AB499" i="4"/>
  <c r="Z499" i="4"/>
  <c r="K499" i="4"/>
  <c r="G499" i="4"/>
  <c r="G474" i="4"/>
  <c r="R474" i="4"/>
  <c r="AD474" i="4"/>
  <c r="AB474" i="4"/>
  <c r="Z474" i="4"/>
  <c r="X474" i="4"/>
  <c r="K474" i="4"/>
  <c r="T474" i="4"/>
  <c r="R439" i="4"/>
  <c r="Z439" i="4"/>
  <c r="M439" i="4"/>
  <c r="AD439" i="4"/>
  <c r="K439" i="4"/>
  <c r="AB439" i="4"/>
  <c r="G439" i="4"/>
  <c r="G506" i="4"/>
  <c r="AD506" i="4"/>
  <c r="Z506" i="4"/>
  <c r="M506" i="4"/>
  <c r="K506" i="4"/>
  <c r="R506" i="4"/>
  <c r="AB506" i="4"/>
  <c r="X333" i="4"/>
  <c r="K333" i="4"/>
  <c r="T333" i="4"/>
  <c r="G333" i="4"/>
  <c r="R333" i="4"/>
  <c r="AD333" i="4"/>
  <c r="AB333" i="4"/>
  <c r="Z333" i="4"/>
  <c r="M333" i="4"/>
  <c r="G355" i="4"/>
  <c r="R355" i="4"/>
  <c r="AB356" i="4"/>
  <c r="AD355" i="4"/>
  <c r="AB355" i="4"/>
  <c r="M355" i="4"/>
  <c r="Z355" i="4"/>
  <c r="K355" i="4"/>
  <c r="Z284" i="4"/>
  <c r="AB284" i="4"/>
  <c r="M284" i="4"/>
  <c r="G284" i="4"/>
  <c r="R284" i="4"/>
  <c r="AD284" i="4"/>
  <c r="P284" i="4"/>
  <c r="K284" i="4"/>
  <c r="G129" i="4"/>
  <c r="R129" i="4"/>
  <c r="AD129" i="4"/>
  <c r="P129" i="4"/>
  <c r="AB129" i="4"/>
  <c r="Z129" i="4"/>
  <c r="K129" i="4"/>
  <c r="X129" i="4"/>
  <c r="T129" i="4"/>
  <c r="Z247" i="4"/>
  <c r="T247" i="4"/>
  <c r="G247" i="4"/>
  <c r="R247" i="4"/>
  <c r="AD247" i="4"/>
  <c r="M247" i="4"/>
  <c r="AB247" i="4"/>
  <c r="K247" i="4"/>
  <c r="AF81" i="4"/>
  <c r="K79" i="4"/>
  <c r="AB81" i="4"/>
  <c r="T79" i="4"/>
  <c r="G79" i="4"/>
  <c r="R79" i="4"/>
  <c r="AD79" i="4"/>
  <c r="M79" i="4"/>
  <c r="AB79" i="4"/>
  <c r="Z79" i="4"/>
  <c r="Z63" i="4"/>
  <c r="AB64" i="4"/>
  <c r="G63" i="4"/>
  <c r="R63" i="4"/>
  <c r="P63" i="4"/>
  <c r="AD63" i="4"/>
  <c r="AB63" i="4"/>
  <c r="K63" i="4"/>
  <c r="Z55" i="4"/>
  <c r="AB56" i="4"/>
  <c r="G55" i="4"/>
  <c r="R55" i="4"/>
  <c r="P55" i="4"/>
  <c r="AD55" i="4"/>
  <c r="M55" i="4"/>
  <c r="AB55" i="4"/>
  <c r="K55" i="4"/>
  <c r="Z42" i="4"/>
  <c r="G42" i="4"/>
  <c r="R42" i="4"/>
  <c r="AD42" i="4"/>
  <c r="M42" i="4"/>
  <c r="AB42" i="4"/>
  <c r="K42" i="4"/>
  <c r="AB82" i="4"/>
  <c r="Z82" i="4"/>
  <c r="AF84" i="4"/>
  <c r="K82" i="4"/>
  <c r="AB84" i="4"/>
  <c r="G82" i="4"/>
  <c r="R82" i="4"/>
  <c r="P82" i="4"/>
  <c r="AD82" i="4"/>
  <c r="X88" i="4"/>
  <c r="P28" i="4"/>
  <c r="X63" i="4"/>
  <c r="P145" i="4"/>
  <c r="AB145" i="4"/>
  <c r="Z145" i="4"/>
  <c r="M145" i="4"/>
  <c r="K145" i="4"/>
  <c r="T145" i="4"/>
  <c r="G145" i="4"/>
  <c r="R145" i="4"/>
  <c r="AD145" i="4"/>
  <c r="K559" i="4"/>
  <c r="G559" i="4"/>
  <c r="R559" i="4"/>
  <c r="AB559" i="4"/>
  <c r="Z559" i="4"/>
  <c r="X559" i="4"/>
  <c r="AD559" i="4"/>
  <c r="M559" i="4"/>
  <c r="T559" i="4"/>
  <c r="P559" i="4"/>
  <c r="X487" i="4"/>
  <c r="R503" i="4"/>
  <c r="AD503" i="4"/>
  <c r="AB504" i="4"/>
  <c r="AB503" i="4"/>
  <c r="K503" i="4"/>
  <c r="Z503" i="4"/>
  <c r="G503" i="4"/>
  <c r="P503" i="4"/>
  <c r="M503" i="4"/>
  <c r="T427" i="4"/>
  <c r="M427" i="4"/>
  <c r="AB328" i="4"/>
  <c r="T326" i="4"/>
  <c r="G326" i="4"/>
  <c r="R326" i="4"/>
  <c r="AD326" i="4"/>
  <c r="P326" i="4"/>
  <c r="AB326" i="4"/>
  <c r="Z326" i="4"/>
  <c r="M326" i="4"/>
  <c r="K326" i="4"/>
  <c r="X416" i="4"/>
  <c r="R181" i="4"/>
  <c r="Z181" i="4"/>
  <c r="AD181" i="4"/>
  <c r="AB181" i="4"/>
  <c r="K181" i="4"/>
  <c r="X181" i="4"/>
  <c r="G181" i="4"/>
  <c r="AB182" i="4"/>
  <c r="AB225" i="4"/>
  <c r="K223" i="4"/>
  <c r="G223" i="4"/>
  <c r="R223" i="4"/>
  <c r="AD223" i="4"/>
  <c r="M223" i="4"/>
  <c r="AB223" i="4"/>
  <c r="Z223" i="4"/>
  <c r="P88" i="4"/>
  <c r="R161" i="4"/>
  <c r="AD161" i="4"/>
  <c r="AB161" i="4"/>
  <c r="Z161" i="4"/>
  <c r="K161" i="4"/>
  <c r="AB163" i="4"/>
  <c r="G161" i="4"/>
  <c r="X55" i="4"/>
  <c r="Z115" i="4"/>
  <c r="K115" i="4"/>
  <c r="R115" i="4"/>
  <c r="AD115" i="4"/>
  <c r="AB115" i="4"/>
  <c r="X115" i="4"/>
  <c r="G115" i="4"/>
  <c r="T115" i="4"/>
  <c r="T391" i="4"/>
  <c r="G391" i="4"/>
  <c r="R391" i="4"/>
  <c r="AD391" i="4"/>
  <c r="Z391" i="4"/>
  <c r="AB391" i="4"/>
  <c r="X391" i="4"/>
  <c r="K391" i="4"/>
  <c r="R294" i="4"/>
  <c r="P294" i="4"/>
  <c r="AD294" i="4"/>
  <c r="AB294" i="4"/>
  <c r="K294" i="4"/>
  <c r="T294" i="4"/>
  <c r="Z294" i="4"/>
  <c r="G294" i="4"/>
  <c r="R199" i="4"/>
  <c r="AD199" i="4"/>
  <c r="AB199" i="4"/>
  <c r="K199" i="4"/>
  <c r="G199" i="4"/>
  <c r="Z209" i="4"/>
  <c r="AB210" i="4"/>
  <c r="G209" i="4"/>
  <c r="R209" i="4"/>
  <c r="AD209" i="4"/>
  <c r="K209" i="4"/>
  <c r="AB209" i="4"/>
  <c r="X209" i="4"/>
  <c r="AB12" i="4"/>
  <c r="Z12" i="4"/>
  <c r="K12" i="4"/>
  <c r="G12" i="4"/>
  <c r="R12" i="4"/>
  <c r="AD12" i="4"/>
  <c r="P12" i="4"/>
  <c r="G51" i="4"/>
  <c r="R51" i="4"/>
  <c r="P51" i="4"/>
  <c r="AD51" i="4"/>
  <c r="M51" i="4"/>
  <c r="AB51" i="4"/>
  <c r="K51" i="4"/>
  <c r="X51" i="4"/>
  <c r="X509" i="4"/>
  <c r="G509" i="4"/>
  <c r="T509" i="4"/>
  <c r="AD509" i="4"/>
  <c r="P509" i="4"/>
  <c r="AB509" i="4"/>
  <c r="M509" i="4"/>
  <c r="Z509" i="4"/>
  <c r="R509" i="4"/>
  <c r="K509" i="4"/>
  <c r="R442" i="4"/>
  <c r="AD442" i="4"/>
  <c r="AB442" i="4"/>
  <c r="Z442" i="4"/>
  <c r="G442" i="4"/>
  <c r="M442" i="4"/>
  <c r="K442" i="4"/>
  <c r="AB397" i="4"/>
  <c r="Z397" i="4"/>
  <c r="X397" i="4"/>
  <c r="K397" i="4"/>
  <c r="R397" i="4"/>
  <c r="AD397" i="4"/>
  <c r="P397" i="4"/>
  <c r="M397" i="4"/>
  <c r="G397" i="4"/>
  <c r="T513" i="4"/>
  <c r="G553" i="4"/>
  <c r="Z553" i="4"/>
  <c r="T553" i="4"/>
  <c r="K553" i="4"/>
  <c r="R553" i="4"/>
  <c r="P553" i="4"/>
  <c r="AD553" i="4"/>
  <c r="AB553" i="4"/>
  <c r="G484" i="4"/>
  <c r="R484" i="4"/>
  <c r="AD484" i="4"/>
  <c r="AB484" i="4"/>
  <c r="Z484" i="4"/>
  <c r="K484" i="4"/>
  <c r="T484" i="4"/>
  <c r="AB535" i="4"/>
  <c r="R534" i="4"/>
  <c r="G534" i="4"/>
  <c r="P534" i="4"/>
  <c r="AD534" i="4"/>
  <c r="AB534" i="4"/>
  <c r="M534" i="4"/>
  <c r="Z534" i="4"/>
  <c r="K534" i="4"/>
  <c r="M553" i="4"/>
  <c r="AD550" i="4"/>
  <c r="R550" i="4"/>
  <c r="G550" i="4"/>
  <c r="M550" i="4"/>
  <c r="AB550" i="4"/>
  <c r="K550" i="4"/>
  <c r="Z550" i="4"/>
  <c r="X553" i="4"/>
  <c r="Z490" i="4"/>
  <c r="AD490" i="4"/>
  <c r="P490" i="4"/>
  <c r="AB490" i="4"/>
  <c r="X490" i="4"/>
  <c r="K490" i="4"/>
  <c r="T490" i="4"/>
  <c r="G490" i="4"/>
  <c r="R490" i="4"/>
  <c r="Z421" i="4"/>
  <c r="AB421" i="4"/>
  <c r="K421" i="4"/>
  <c r="T421" i="4"/>
  <c r="G421" i="4"/>
  <c r="AB423" i="4"/>
  <c r="R421" i="4"/>
  <c r="AD421" i="4"/>
  <c r="M421" i="4"/>
  <c r="R454" i="4"/>
  <c r="AD454" i="4"/>
  <c r="AB454" i="4"/>
  <c r="Z454" i="4"/>
  <c r="M454" i="4"/>
  <c r="X454" i="4"/>
  <c r="K454" i="4"/>
  <c r="G454" i="4"/>
  <c r="T454" i="4"/>
  <c r="P391" i="4"/>
  <c r="R253" i="4"/>
  <c r="Z253" i="4"/>
  <c r="X253" i="4"/>
  <c r="K253" i="4"/>
  <c r="AB253" i="4"/>
  <c r="G253" i="4"/>
  <c r="M253" i="4"/>
  <c r="AD253" i="4"/>
  <c r="X294" i="4"/>
  <c r="T218" i="4"/>
  <c r="G218" i="4"/>
  <c r="R218" i="4"/>
  <c r="AD218" i="4"/>
  <c r="P218" i="4"/>
  <c r="AB218" i="4"/>
  <c r="Z218" i="4"/>
  <c r="X218" i="4"/>
  <c r="K218" i="4"/>
  <c r="T164" i="4"/>
  <c r="G164" i="4"/>
  <c r="R164" i="4"/>
  <c r="AD164" i="4"/>
  <c r="AB164" i="4"/>
  <c r="Z164" i="4"/>
  <c r="M164" i="4"/>
  <c r="X164" i="4"/>
  <c r="K164" i="4"/>
  <c r="M123" i="4"/>
  <c r="X161" i="4"/>
  <c r="M161" i="4"/>
  <c r="Z516" i="4"/>
  <c r="X516" i="4"/>
  <c r="K516" i="4"/>
  <c r="T516" i="4"/>
  <c r="G516" i="4"/>
  <c r="R516" i="4"/>
  <c r="AD516" i="4"/>
  <c r="AB516" i="4"/>
  <c r="AB599" i="4"/>
  <c r="Z599" i="4"/>
  <c r="K599" i="4"/>
  <c r="AB600" i="4"/>
  <c r="T599" i="4"/>
  <c r="G599" i="4"/>
  <c r="R599" i="4"/>
  <c r="AD599" i="4"/>
  <c r="M599" i="4"/>
  <c r="K585" i="4"/>
  <c r="G585" i="4"/>
  <c r="R585" i="4"/>
  <c r="AB585" i="4"/>
  <c r="M585" i="4"/>
  <c r="X585" i="4"/>
  <c r="T585" i="4"/>
  <c r="P585" i="4"/>
  <c r="AD585" i="4"/>
  <c r="X620" i="4"/>
  <c r="R606" i="4"/>
  <c r="AD606" i="4"/>
  <c r="P606" i="4"/>
  <c r="AB606" i="4"/>
  <c r="Z606" i="4"/>
  <c r="T606" i="4"/>
  <c r="G606" i="4"/>
  <c r="X606" i="4"/>
  <c r="K606" i="4"/>
  <c r="P609" i="4"/>
  <c r="T499" i="4"/>
  <c r="T477" i="4"/>
  <c r="M484" i="4"/>
  <c r="T448" i="4"/>
  <c r="G448" i="4"/>
  <c r="R448" i="4"/>
  <c r="M448" i="4"/>
  <c r="AD448" i="4"/>
  <c r="K448" i="4"/>
  <c r="AB448" i="4"/>
  <c r="R424" i="4"/>
  <c r="Z424" i="4"/>
  <c r="G424" i="4"/>
  <c r="T424" i="4"/>
  <c r="AD424" i="4"/>
  <c r="AB424" i="4"/>
  <c r="K424" i="4"/>
  <c r="X424" i="4"/>
  <c r="P448" i="4"/>
  <c r="X484" i="4"/>
  <c r="AB432" i="4"/>
  <c r="R431" i="4"/>
  <c r="G431" i="4"/>
  <c r="AD431" i="4"/>
  <c r="M431" i="4"/>
  <c r="AB431" i="4"/>
  <c r="K431" i="4"/>
  <c r="Z431" i="4"/>
  <c r="R364" i="4"/>
  <c r="AD364" i="4"/>
  <c r="Z364" i="4"/>
  <c r="G364" i="4"/>
  <c r="T364" i="4"/>
  <c r="AB364" i="4"/>
  <c r="K364" i="4"/>
  <c r="X364" i="4"/>
  <c r="P355" i="4"/>
  <c r="M402" i="4"/>
  <c r="AB404" i="4"/>
  <c r="G402" i="4"/>
  <c r="R402" i="4"/>
  <c r="AD402" i="4"/>
  <c r="AB402" i="4"/>
  <c r="K402" i="4"/>
  <c r="Z402" i="4"/>
  <c r="AB405" i="4"/>
  <c r="Z405" i="4"/>
  <c r="X405" i="4"/>
  <c r="K405" i="4"/>
  <c r="T405" i="4"/>
  <c r="G405" i="4"/>
  <c r="R405" i="4"/>
  <c r="AD405" i="4"/>
  <c r="M405" i="4"/>
  <c r="P405" i="4"/>
  <c r="AB315" i="4"/>
  <c r="T314" i="4"/>
  <c r="G314" i="4"/>
  <c r="R314" i="4"/>
  <c r="Z314" i="4"/>
  <c r="AD314" i="4"/>
  <c r="K314" i="4"/>
  <c r="AB314" i="4"/>
  <c r="M314" i="4"/>
  <c r="AB297" i="4"/>
  <c r="AD297" i="4"/>
  <c r="M297" i="4"/>
  <c r="Z297" i="4"/>
  <c r="K297" i="4"/>
  <c r="G297" i="4"/>
  <c r="R297" i="4"/>
  <c r="P297" i="4"/>
  <c r="P321" i="4"/>
  <c r="R261" i="4"/>
  <c r="AD261" i="4"/>
  <c r="Z261" i="4"/>
  <c r="K261" i="4"/>
  <c r="G261" i="4"/>
  <c r="T261" i="4"/>
  <c r="M261" i="4"/>
  <c r="AB261" i="4"/>
  <c r="G268" i="4"/>
  <c r="R268" i="4"/>
  <c r="Z268" i="4"/>
  <c r="X268" i="4"/>
  <c r="K268" i="4"/>
  <c r="AD268" i="4"/>
  <c r="AB268" i="4"/>
  <c r="P261" i="4"/>
  <c r="X247" i="4"/>
  <c r="Z171" i="4"/>
  <c r="K171" i="4"/>
  <c r="T171" i="4"/>
  <c r="G171" i="4"/>
  <c r="AB172" i="4"/>
  <c r="R171" i="4"/>
  <c r="P171" i="4"/>
  <c r="AD171" i="4"/>
  <c r="AB171" i="4"/>
  <c r="M171" i="4"/>
  <c r="R184" i="4"/>
  <c r="AD184" i="4"/>
  <c r="P184" i="4"/>
  <c r="AB184" i="4"/>
  <c r="M184" i="4"/>
  <c r="K184" i="4"/>
  <c r="Z184" i="4"/>
  <c r="G184" i="4"/>
  <c r="Z231" i="4"/>
  <c r="G231" i="4"/>
  <c r="R231" i="4"/>
  <c r="P231" i="4"/>
  <c r="AD231" i="4"/>
  <c r="AB231" i="4"/>
  <c r="K231" i="4"/>
  <c r="T167" i="4"/>
  <c r="P161" i="4"/>
  <c r="G73" i="4"/>
  <c r="R73" i="4"/>
  <c r="AD73" i="4"/>
  <c r="AB73" i="4"/>
  <c r="Z73" i="4"/>
  <c r="M73" i="4"/>
  <c r="AF75" i="4"/>
  <c r="K73" i="4"/>
  <c r="AB75" i="4"/>
  <c r="R45" i="4"/>
  <c r="AD45" i="4"/>
  <c r="Z45" i="4"/>
  <c r="X45" i="4"/>
  <c r="G45" i="4"/>
  <c r="T45" i="4"/>
  <c r="AB45" i="4"/>
  <c r="K45" i="4"/>
  <c r="P115" i="4"/>
  <c r="K20" i="4"/>
  <c r="T20" i="4"/>
  <c r="G20" i="4"/>
  <c r="R20" i="4"/>
  <c r="AD20" i="4"/>
  <c r="AB20" i="4"/>
  <c r="Z20" i="4"/>
  <c r="X20" i="4"/>
  <c r="K562" i="4"/>
  <c r="AD562" i="4"/>
  <c r="Z562" i="4"/>
  <c r="X562" i="4"/>
  <c r="G562" i="4"/>
  <c r="R562" i="4"/>
  <c r="AB562" i="4"/>
  <c r="T578" i="4"/>
  <c r="G578" i="4"/>
  <c r="AD578" i="4"/>
  <c r="M578" i="4"/>
  <c r="K578" i="4"/>
  <c r="AB578" i="4"/>
  <c r="Z578" i="4"/>
  <c r="R578" i="4"/>
  <c r="T351" i="4"/>
  <c r="G351" i="4"/>
  <c r="R351" i="4"/>
  <c r="AD351" i="4"/>
  <c r="AB351" i="4"/>
  <c r="M351" i="4"/>
  <c r="K351" i="4"/>
  <c r="AB595" i="4"/>
  <c r="X595" i="4"/>
  <c r="K595" i="4"/>
  <c r="T595" i="4"/>
  <c r="G595" i="4"/>
  <c r="R595" i="4"/>
  <c r="AD595" i="4"/>
  <c r="M595" i="4"/>
  <c r="R496" i="4"/>
  <c r="AD496" i="4"/>
  <c r="M496" i="4"/>
  <c r="AB496" i="4"/>
  <c r="K496" i="4"/>
  <c r="Z496" i="4"/>
  <c r="X496" i="4"/>
  <c r="G496" i="4"/>
  <c r="T496" i="4"/>
  <c r="AD568" i="4"/>
  <c r="P568" i="4"/>
  <c r="AB568" i="4"/>
  <c r="M568" i="4"/>
  <c r="R568" i="4"/>
  <c r="K568" i="4"/>
  <c r="G568" i="4"/>
  <c r="G571" i="4"/>
  <c r="R571" i="4"/>
  <c r="AD571" i="4"/>
  <c r="AB571" i="4"/>
  <c r="Z571" i="4"/>
  <c r="K571" i="4"/>
  <c r="T571" i="4"/>
  <c r="X571" i="4"/>
  <c r="P571" i="4"/>
  <c r="T612" i="4"/>
  <c r="G612" i="4"/>
  <c r="R612" i="4"/>
  <c r="AD612" i="4"/>
  <c r="AB612" i="4"/>
  <c r="X612" i="4"/>
  <c r="K612" i="4"/>
  <c r="P612" i="4"/>
  <c r="X592" i="4"/>
  <c r="X568" i="4"/>
  <c r="AB451" i="4"/>
  <c r="Z451" i="4"/>
  <c r="K451" i="4"/>
  <c r="G451" i="4"/>
  <c r="R451" i="4"/>
  <c r="M451" i="4"/>
  <c r="AD451" i="4"/>
  <c r="P427" i="4"/>
  <c r="M474" i="4"/>
  <c r="Z361" i="4"/>
  <c r="T361" i="4"/>
  <c r="G361" i="4"/>
  <c r="R361" i="4"/>
  <c r="AD361" i="4"/>
  <c r="M361" i="4"/>
  <c r="AB361" i="4"/>
  <c r="K361" i="4"/>
  <c r="R372" i="4"/>
  <c r="AD372" i="4"/>
  <c r="Z372" i="4"/>
  <c r="AB372" i="4"/>
  <c r="K372" i="4"/>
  <c r="X372" i="4"/>
  <c r="G372" i="4"/>
  <c r="X351" i="4"/>
  <c r="Z358" i="4"/>
  <c r="AD358" i="4"/>
  <c r="AB358" i="4"/>
  <c r="M358" i="4"/>
  <c r="K358" i="4"/>
  <c r="G358" i="4"/>
  <c r="R358" i="4"/>
  <c r="P358" i="4"/>
  <c r="R265" i="4"/>
  <c r="AD265" i="4"/>
  <c r="K265" i="4"/>
  <c r="T265" i="4"/>
  <c r="M265" i="4"/>
  <c r="AB266" i="4"/>
  <c r="AB265" i="4"/>
  <c r="G265" i="4"/>
  <c r="T268" i="4"/>
  <c r="Z119" i="4"/>
  <c r="K119" i="4"/>
  <c r="R119" i="4"/>
  <c r="P119" i="4"/>
  <c r="AB120" i="4"/>
  <c r="AD119" i="4"/>
  <c r="AB119" i="4"/>
  <c r="G119" i="4"/>
  <c r="X119" i="4"/>
  <c r="X145" i="4"/>
  <c r="R35" i="4"/>
  <c r="Z35" i="4"/>
  <c r="G35" i="4"/>
  <c r="AB36" i="4"/>
  <c r="AD35" i="4"/>
  <c r="M35" i="4"/>
  <c r="AB35" i="4"/>
  <c r="K35" i="4"/>
  <c r="P35" i="4"/>
  <c r="T123" i="4"/>
  <c r="P85" i="4"/>
  <c r="AB468" i="4"/>
  <c r="Z468" i="4"/>
  <c r="M468" i="4"/>
  <c r="K468" i="4"/>
  <c r="T468" i="4"/>
  <c r="G468" i="4"/>
  <c r="R468" i="4"/>
  <c r="AD468" i="4"/>
  <c r="P468" i="4"/>
  <c r="K487" i="4"/>
  <c r="T487" i="4"/>
  <c r="G487" i="4"/>
  <c r="R487" i="4"/>
  <c r="AD487" i="4"/>
  <c r="P487" i="4"/>
  <c r="AB487" i="4"/>
  <c r="Z487" i="4"/>
  <c r="M487" i="4"/>
  <c r="G575" i="4"/>
  <c r="R575" i="4"/>
  <c r="AD575" i="4"/>
  <c r="AB575" i="4"/>
  <c r="K575" i="4"/>
  <c r="AB576" i="4"/>
  <c r="T575" i="4"/>
  <c r="X575" i="4"/>
  <c r="P575" i="4"/>
  <c r="T609" i="4"/>
  <c r="T616" i="4"/>
  <c r="T568" i="4"/>
  <c r="M499" i="4"/>
  <c r="P506" i="4"/>
  <c r="M516" i="4"/>
  <c r="AD471" i="4"/>
  <c r="AB471" i="4"/>
  <c r="Z471" i="4"/>
  <c r="M471" i="4"/>
  <c r="K471" i="4"/>
  <c r="G471" i="4"/>
  <c r="R471" i="4"/>
  <c r="X451" i="4"/>
  <c r="P471" i="4"/>
  <c r="P454" i="4"/>
  <c r="P421" i="4"/>
  <c r="X471" i="4"/>
  <c r="T402" i="4"/>
  <c r="P339" i="4"/>
  <c r="AB339" i="4"/>
  <c r="Z339" i="4"/>
  <c r="X339" i="4"/>
  <c r="K339" i="4"/>
  <c r="G339" i="4"/>
  <c r="R339" i="4"/>
  <c r="AD339" i="4"/>
  <c r="T345" i="4"/>
  <c r="G345" i="4"/>
  <c r="R345" i="4"/>
  <c r="AD345" i="4"/>
  <c r="P345" i="4"/>
  <c r="AB345" i="4"/>
  <c r="Z345" i="4"/>
  <c r="M345" i="4"/>
  <c r="K345" i="4"/>
  <c r="Z336" i="4"/>
  <c r="X336" i="4"/>
  <c r="K336" i="4"/>
  <c r="T336" i="4"/>
  <c r="G336" i="4"/>
  <c r="R336" i="4"/>
  <c r="AD336" i="4"/>
  <c r="AB336" i="4"/>
  <c r="P336" i="4"/>
  <c r="T310" i="4"/>
  <c r="G310" i="4"/>
  <c r="R310" i="4"/>
  <c r="Z310" i="4"/>
  <c r="X310" i="4"/>
  <c r="AD310" i="4"/>
  <c r="AB310" i="4"/>
  <c r="K310" i="4"/>
  <c r="Z258" i="4"/>
  <c r="AB260" i="4"/>
  <c r="T258" i="4"/>
  <c r="G258" i="4"/>
  <c r="R258" i="4"/>
  <c r="AD258" i="4"/>
  <c r="M258" i="4"/>
  <c r="AB258" i="4"/>
  <c r="K258" i="4"/>
  <c r="M268" i="4"/>
  <c r="P310" i="4"/>
  <c r="M294" i="4"/>
  <c r="M209" i="4"/>
  <c r="AB277" i="4"/>
  <c r="Z277" i="4"/>
  <c r="K277" i="4"/>
  <c r="G277" i="4"/>
  <c r="R277" i="4"/>
  <c r="X277" i="4"/>
  <c r="P277" i="4"/>
  <c r="AD277" i="4"/>
  <c r="G307" i="4"/>
  <c r="R307" i="4"/>
  <c r="AD307" i="4"/>
  <c r="Z307" i="4"/>
  <c r="M307" i="4"/>
  <c r="AB307" i="4"/>
  <c r="K307" i="4"/>
  <c r="T307" i="4"/>
  <c r="T209" i="4"/>
  <c r="R215" i="4"/>
  <c r="AD215" i="4"/>
  <c r="Z215" i="4"/>
  <c r="M215" i="4"/>
  <c r="K215" i="4"/>
  <c r="AB215" i="4"/>
  <c r="G215" i="4"/>
  <c r="T215" i="4"/>
  <c r="AB246" i="4"/>
  <c r="R244" i="4"/>
  <c r="AD244" i="4"/>
  <c r="M244" i="4"/>
  <c r="AB244" i="4"/>
  <c r="K244" i="4"/>
  <c r="Z244" i="4"/>
  <c r="G244" i="4"/>
  <c r="P152" i="4"/>
  <c r="X187" i="4"/>
  <c r="T161" i="4"/>
  <c r="AB78" i="4"/>
  <c r="G76" i="4"/>
  <c r="R76" i="4"/>
  <c r="AD76" i="4"/>
  <c r="AB76" i="4"/>
  <c r="Z76" i="4"/>
  <c r="AF78" i="4"/>
  <c r="K76" i="4"/>
  <c r="T55" i="4"/>
  <c r="X82" i="4"/>
  <c r="AB60" i="4"/>
  <c r="G59" i="4"/>
  <c r="R59" i="4"/>
  <c r="AD59" i="4"/>
  <c r="AB59" i="4"/>
  <c r="K59" i="4"/>
  <c r="P31" i="4"/>
  <c r="X106" i="4"/>
  <c r="X28" i="4"/>
  <c r="G394" i="4"/>
  <c r="R394" i="4"/>
  <c r="AB394" i="4"/>
  <c r="M394" i="4"/>
  <c r="AD394" i="4"/>
  <c r="K394" i="4"/>
  <c r="Z394" i="4"/>
  <c r="K513" i="4"/>
  <c r="AB514" i="4"/>
  <c r="R513" i="4"/>
  <c r="AD513" i="4"/>
  <c r="AB513" i="4"/>
  <c r="Z513" i="4"/>
  <c r="M513" i="4"/>
  <c r="G513" i="4"/>
  <c r="X578" i="4"/>
  <c r="AD519" i="4"/>
  <c r="AB519" i="4"/>
  <c r="Z519" i="4"/>
  <c r="X519" i="4"/>
  <c r="K519" i="4"/>
  <c r="G519" i="4"/>
  <c r="R519" i="4"/>
  <c r="X503" i="4"/>
  <c r="G541" i="4"/>
  <c r="Z541" i="4"/>
  <c r="T541" i="4"/>
  <c r="X541" i="4"/>
  <c r="R541" i="4"/>
  <c r="AD541" i="4"/>
  <c r="AB541" i="4"/>
  <c r="K541" i="4"/>
  <c r="T503" i="4"/>
  <c r="P442" i="4"/>
  <c r="R530" i="4"/>
  <c r="AB530" i="4"/>
  <c r="Z530" i="4"/>
  <c r="X530" i="4"/>
  <c r="K530" i="4"/>
  <c r="G530" i="4"/>
  <c r="AD530" i="4"/>
  <c r="P530" i="4"/>
  <c r="T442" i="4"/>
  <c r="R416" i="4"/>
  <c r="AB417" i="4"/>
  <c r="AD416" i="4"/>
  <c r="P416" i="4"/>
  <c r="AB416" i="4"/>
  <c r="Z416" i="4"/>
  <c r="K416" i="4"/>
  <c r="T416" i="4"/>
  <c r="G416" i="4"/>
  <c r="G445" i="4"/>
  <c r="R445" i="4"/>
  <c r="AD445" i="4"/>
  <c r="M445" i="4"/>
  <c r="K445" i="4"/>
  <c r="AB445" i="4"/>
  <c r="Z445" i="4"/>
  <c r="P474" i="4"/>
  <c r="T465" i="4"/>
  <c r="T397" i="4"/>
  <c r="X355" i="4"/>
  <c r="AB292" i="4"/>
  <c r="G291" i="4"/>
  <c r="R291" i="4"/>
  <c r="AB291" i="4"/>
  <c r="Z291" i="4"/>
  <c r="M291" i="4"/>
  <c r="K291" i="4"/>
  <c r="AD291" i="4"/>
  <c r="X291" i="4"/>
  <c r="AB331" i="4"/>
  <c r="T330" i="4"/>
  <c r="G330" i="4"/>
  <c r="R330" i="4"/>
  <c r="AD330" i="4"/>
  <c r="P330" i="4"/>
  <c r="AB330" i="4"/>
  <c r="Z330" i="4"/>
  <c r="M330" i="4"/>
  <c r="K330" i="4"/>
  <c r="P253" i="4"/>
  <c r="R177" i="4"/>
  <c r="Z177" i="4"/>
  <c r="AD177" i="4"/>
  <c r="M177" i="4"/>
  <c r="AB177" i="4"/>
  <c r="K177" i="4"/>
  <c r="X177" i="4"/>
  <c r="G177" i="4"/>
  <c r="T177" i="4"/>
  <c r="R193" i="4"/>
  <c r="AD193" i="4"/>
  <c r="M193" i="4"/>
  <c r="K193" i="4"/>
  <c r="AB193" i="4"/>
  <c r="G193" i="4"/>
  <c r="T181" i="4"/>
  <c r="P164" i="4"/>
  <c r="P79" i="4"/>
  <c r="X39" i="4"/>
  <c r="G48" i="4"/>
  <c r="R48" i="4"/>
  <c r="AD48" i="4"/>
  <c r="M48" i="4"/>
  <c r="AB48" i="4"/>
  <c r="K48" i="4"/>
  <c r="P45" i="4"/>
  <c r="AD99" i="4"/>
  <c r="T99" i="4"/>
  <c r="G99" i="4"/>
  <c r="R99" i="4"/>
  <c r="AB100" i="4"/>
  <c r="AB99" i="4"/>
  <c r="Z99" i="4"/>
  <c r="M99" i="4"/>
  <c r="K99" i="4"/>
  <c r="X79" i="4"/>
  <c r="P73" i="4"/>
  <c r="K24" i="4"/>
  <c r="AB25" i="4"/>
  <c r="T24" i="4"/>
  <c r="G24" i="4"/>
  <c r="R24" i="4"/>
  <c r="AD24" i="4"/>
  <c r="AB24" i="4"/>
  <c r="Z24" i="4"/>
  <c r="X24" i="4"/>
  <c r="M63" i="4"/>
  <c r="AB409" i="4"/>
  <c r="Z409" i="4"/>
  <c r="X409" i="4"/>
  <c r="K409" i="4"/>
  <c r="AB410" i="4"/>
  <c r="T409" i="4"/>
  <c r="G409" i="4"/>
  <c r="R409" i="4"/>
  <c r="AD409" i="4"/>
  <c r="M409" i="4"/>
  <c r="P409" i="4"/>
  <c r="K616" i="4"/>
  <c r="R616" i="4"/>
  <c r="AD616" i="4"/>
  <c r="P616" i="4"/>
  <c r="AB616" i="4"/>
  <c r="G616" i="4"/>
  <c r="AB617" i="4"/>
  <c r="T562" i="4"/>
  <c r="T620" i="4"/>
  <c r="X603" i="4"/>
  <c r="Z493" i="4"/>
  <c r="T493" i="4"/>
  <c r="G493" i="4"/>
  <c r="R493" i="4"/>
  <c r="AD493" i="4"/>
  <c r="AB493" i="4"/>
  <c r="M493" i="4"/>
  <c r="K493" i="4"/>
  <c r="M575" i="4"/>
  <c r="G477" i="4"/>
  <c r="R477" i="4"/>
  <c r="AD477" i="4"/>
  <c r="AB477" i="4"/>
  <c r="Z477" i="4"/>
  <c r="K477" i="4"/>
  <c r="X468" i="4"/>
  <c r="X465" i="4"/>
  <c r="X394" i="4"/>
  <c r="Z348" i="4"/>
  <c r="AB348" i="4"/>
  <c r="X348" i="4"/>
  <c r="K348" i="4"/>
  <c r="T348" i="4"/>
  <c r="G348" i="4"/>
  <c r="R348" i="4"/>
  <c r="AD348" i="4"/>
  <c r="AB377" i="4"/>
  <c r="T376" i="4"/>
  <c r="G376" i="4"/>
  <c r="R376" i="4"/>
  <c r="AD376" i="4"/>
  <c r="AB376" i="4"/>
  <c r="Z376" i="4"/>
  <c r="P376" i="4"/>
  <c r="K376" i="4"/>
  <c r="X376" i="4"/>
  <c r="X442" i="4"/>
  <c r="T355" i="4"/>
  <c r="AB319" i="4"/>
  <c r="T318" i="4"/>
  <c r="G318" i="4"/>
  <c r="R318" i="4"/>
  <c r="AD318" i="4"/>
  <c r="AB318" i="4"/>
  <c r="Z318" i="4"/>
  <c r="M318" i="4"/>
  <c r="K318" i="4"/>
  <c r="R271" i="4"/>
  <c r="AB271" i="4"/>
  <c r="Z271" i="4"/>
  <c r="K271" i="4"/>
  <c r="AD271" i="4"/>
  <c r="X271" i="4"/>
  <c r="G271" i="4"/>
  <c r="AB238" i="4"/>
  <c r="R236" i="4"/>
  <c r="AD236" i="4"/>
  <c r="AB236" i="4"/>
  <c r="K236" i="4"/>
  <c r="Z236" i="4"/>
  <c r="G236" i="4"/>
  <c r="P236" i="4"/>
  <c r="M236" i="4"/>
  <c r="X284" i="4"/>
  <c r="P209" i="4"/>
  <c r="M218" i="4"/>
  <c r="T132" i="4"/>
  <c r="G132" i="4"/>
  <c r="R132" i="4"/>
  <c r="AD132" i="4"/>
  <c r="AB132" i="4"/>
  <c r="K132" i="4"/>
  <c r="Z132" i="4"/>
  <c r="M132" i="4"/>
  <c r="AB137" i="4"/>
  <c r="T136" i="4"/>
  <c r="G136" i="4"/>
  <c r="R136" i="4"/>
  <c r="AD136" i="4"/>
  <c r="AB136" i="4"/>
  <c r="K136" i="4"/>
  <c r="M136" i="4"/>
  <c r="Z136" i="4"/>
  <c r="X73" i="4"/>
  <c r="X48" i="4"/>
  <c r="Z205" i="4"/>
  <c r="G205" i="4"/>
  <c r="R205" i="4"/>
  <c r="AD205" i="4"/>
  <c r="K205" i="4"/>
  <c r="AB205" i="4"/>
  <c r="T63" i="4"/>
  <c r="M59" i="4"/>
  <c r="M31" i="4"/>
  <c r="X76" i="4"/>
  <c r="X12" i="4"/>
  <c r="F622" i="4" l="1"/>
  <c r="D39" i="2" l="1"/>
  <c r="D10" i="2"/>
  <c r="D8" i="2"/>
  <c r="R100" i="1"/>
  <c r="Z351" i="4" s="1"/>
  <c r="R18" i="1"/>
  <c r="Z67" i="4" s="1"/>
  <c r="D86" i="1"/>
  <c r="Z459" i="4"/>
  <c r="R177" i="1"/>
  <c r="Z612" i="4" s="1"/>
  <c r="R176" i="1"/>
  <c r="Z609" i="4" s="1"/>
  <c r="R178" i="1"/>
  <c r="Z616" i="4" s="1"/>
  <c r="Z620" i="4"/>
  <c r="D168" i="1"/>
  <c r="Z321" i="4"/>
  <c r="Z59" i="4"/>
  <c r="R14" i="1"/>
  <c r="Z51" i="4" s="1"/>
  <c r="R13" i="1"/>
  <c r="R171" i="1"/>
  <c r="Z592" i="4" s="1"/>
  <c r="R168" i="1"/>
  <c r="Z582" i="4" s="1"/>
  <c r="R166" i="1"/>
  <c r="Z575" i="4" s="1"/>
  <c r="Z94" i="4"/>
  <c r="Z48" i="4" l="1"/>
  <c r="R172" i="1"/>
  <c r="Z595" i="4" s="1"/>
  <c r="R169" i="1"/>
  <c r="Z585" i="4" s="1"/>
  <c r="R57" i="1"/>
  <c r="Z202" i="4" s="1"/>
  <c r="R39" i="1"/>
  <c r="Z139" i="4" s="1"/>
  <c r="R54" i="1"/>
  <c r="Z193" i="4" s="1"/>
  <c r="R74" i="1"/>
  <c r="Z265" i="4" s="1"/>
  <c r="R164" i="1"/>
  <c r="Z568" i="4" s="1"/>
  <c r="R170" i="1"/>
  <c r="Z588" i="4" s="1"/>
  <c r="R56" i="1"/>
  <c r="Z199" i="4" s="1"/>
  <c r="R128" i="1"/>
  <c r="Z448" i="4" s="1"/>
  <c r="R31" i="1"/>
  <c r="Z112" i="4" s="1"/>
  <c r="Y622" i="4" l="1"/>
  <c r="F3" i="1"/>
  <c r="M3" i="1" s="1"/>
  <c r="F4" i="1"/>
  <c r="M4" i="1" s="1"/>
  <c r="U15" i="4" s="1"/>
  <c r="F5" i="1"/>
  <c r="M5" i="1" s="1"/>
  <c r="U20" i="4" s="1"/>
  <c r="F6" i="1"/>
  <c r="M6" i="1" s="1"/>
  <c r="U24" i="4" s="1"/>
  <c r="F7" i="1"/>
  <c r="M7" i="1" s="1"/>
  <c r="U28" i="4" s="1"/>
  <c r="F8" i="1"/>
  <c r="M8" i="1" s="1"/>
  <c r="U31" i="4" s="1"/>
  <c r="F9" i="1"/>
  <c r="M9" i="1" s="1"/>
  <c r="U35" i="4" s="1"/>
  <c r="F10" i="1"/>
  <c r="M10" i="1" s="1"/>
  <c r="U39" i="4" s="1"/>
  <c r="F11" i="1"/>
  <c r="M11" i="1" s="1"/>
  <c r="U42" i="4" s="1"/>
  <c r="F12" i="1"/>
  <c r="M12" i="1" s="1"/>
  <c r="U45" i="4" s="1"/>
  <c r="F13" i="1"/>
  <c r="M13" i="1" s="1"/>
  <c r="U48" i="4" s="1"/>
  <c r="F14" i="1"/>
  <c r="M14" i="1" s="1"/>
  <c r="U51" i="4" s="1"/>
  <c r="F15" i="1"/>
  <c r="M15" i="1" s="1"/>
  <c r="U55" i="4" s="1"/>
  <c r="F16" i="1"/>
  <c r="M16" i="1" s="1"/>
  <c r="U59" i="4" s="1"/>
  <c r="F17" i="1"/>
  <c r="M17" i="1" s="1"/>
  <c r="U63" i="4" s="1"/>
  <c r="F18" i="1"/>
  <c r="M18" i="1" s="1"/>
  <c r="U67" i="4" s="1"/>
  <c r="F19" i="1"/>
  <c r="M19" i="1" s="1"/>
  <c r="U70" i="4" s="1"/>
  <c r="F20" i="1"/>
  <c r="M20" i="1" s="1"/>
  <c r="U73" i="4" s="1"/>
  <c r="F21" i="1"/>
  <c r="M21" i="1" s="1"/>
  <c r="U76" i="4" s="1"/>
  <c r="F22" i="1"/>
  <c r="M22" i="1" s="1"/>
  <c r="U79" i="4" s="1"/>
  <c r="F23" i="1"/>
  <c r="M23" i="1" s="1"/>
  <c r="U82" i="4" s="1"/>
  <c r="F24" i="1"/>
  <c r="M24" i="1" s="1"/>
  <c r="U85" i="4" s="1"/>
  <c r="F25" i="1"/>
  <c r="M25" i="1" s="1"/>
  <c r="U88" i="4" s="1"/>
  <c r="F26" i="1"/>
  <c r="M26" i="1" s="1"/>
  <c r="U94" i="4" s="1"/>
  <c r="F27" i="1"/>
  <c r="M27" i="1" s="1"/>
  <c r="U99" i="4" s="1"/>
  <c r="F28" i="1"/>
  <c r="M28" i="1" s="1"/>
  <c r="U102" i="4" s="1"/>
  <c r="F29" i="1"/>
  <c r="M29" i="1" s="1"/>
  <c r="U106" i="4" s="1"/>
  <c r="F30" i="1"/>
  <c r="M30" i="1" s="1"/>
  <c r="U109" i="4" s="1"/>
  <c r="F31" i="1"/>
  <c r="M31" i="1" s="1"/>
  <c r="U112" i="4" s="1"/>
  <c r="F32" i="1"/>
  <c r="M32" i="1" s="1"/>
  <c r="U115" i="4" s="1"/>
  <c r="F33" i="1"/>
  <c r="M33" i="1" s="1"/>
  <c r="U119" i="4" s="1"/>
  <c r="F34" i="1"/>
  <c r="M34" i="1" s="1"/>
  <c r="U123" i="4" s="1"/>
  <c r="F35" i="1"/>
  <c r="M35" i="1" s="1"/>
  <c r="U126" i="4" s="1"/>
  <c r="F36" i="1"/>
  <c r="M36" i="1" s="1"/>
  <c r="U129" i="4" s="1"/>
  <c r="F37" i="1"/>
  <c r="M37" i="1" s="1"/>
  <c r="U132" i="4" s="1"/>
  <c r="F38" i="1"/>
  <c r="M38" i="1" s="1"/>
  <c r="U136" i="4" s="1"/>
  <c r="F39" i="1"/>
  <c r="M39" i="1" s="1"/>
  <c r="U139" i="4" s="1"/>
  <c r="F40" i="1"/>
  <c r="M40" i="1" s="1"/>
  <c r="U145" i="4" s="1"/>
  <c r="F41" i="1"/>
  <c r="M41" i="1" s="1"/>
  <c r="U148" i="4" s="1"/>
  <c r="F42" i="1"/>
  <c r="M42" i="1" s="1"/>
  <c r="U152" i="4" s="1"/>
  <c r="F43" i="1"/>
  <c r="M43" i="1" s="1"/>
  <c r="U156" i="4" s="1"/>
  <c r="F44" i="1"/>
  <c r="M44" i="1" s="1"/>
  <c r="U161" i="4" s="1"/>
  <c r="F45" i="1"/>
  <c r="M45" i="1" s="1"/>
  <c r="U164" i="4" s="1"/>
  <c r="F46" i="1"/>
  <c r="M46" i="1" s="1"/>
  <c r="U167" i="4" s="1"/>
  <c r="F47" i="1"/>
  <c r="M47" i="1" s="1"/>
  <c r="U171" i="4" s="1"/>
  <c r="F48" i="1"/>
  <c r="M48" i="1" s="1"/>
  <c r="U174" i="4" s="1"/>
  <c r="F49" i="1"/>
  <c r="M49" i="1" s="1"/>
  <c r="U177" i="4" s="1"/>
  <c r="F50" i="1"/>
  <c r="M50" i="1" s="1"/>
  <c r="U181" i="4" s="1"/>
  <c r="F51" i="1"/>
  <c r="M51" i="1" s="1"/>
  <c r="U184" i="4" s="1"/>
  <c r="F52" i="1"/>
  <c r="M52" i="1" s="1"/>
  <c r="U187" i="4" s="1"/>
  <c r="F53" i="1"/>
  <c r="M53" i="1" s="1"/>
  <c r="U190" i="4" s="1"/>
  <c r="F54" i="1"/>
  <c r="M54" i="1" s="1"/>
  <c r="U193" i="4" s="1"/>
  <c r="F55" i="1"/>
  <c r="M55" i="1" s="1"/>
  <c r="U196" i="4" s="1"/>
  <c r="F56" i="1"/>
  <c r="M56" i="1" s="1"/>
  <c r="U199" i="4" s="1"/>
  <c r="F57" i="1"/>
  <c r="M57" i="1" s="1"/>
  <c r="U202" i="4" s="1"/>
  <c r="F58" i="1"/>
  <c r="M58" i="1" s="1"/>
  <c r="U205" i="4" s="1"/>
  <c r="F59" i="1"/>
  <c r="M59" i="1" s="1"/>
  <c r="U209" i="4" s="1"/>
  <c r="F60" i="1"/>
  <c r="M60" i="1" s="1"/>
  <c r="U212" i="4" s="1"/>
  <c r="F61" i="1"/>
  <c r="M61" i="1" s="1"/>
  <c r="U215" i="4" s="1"/>
  <c r="F62" i="1"/>
  <c r="M62" i="1" s="1"/>
  <c r="U218" i="4" s="1"/>
  <c r="F63" i="1"/>
  <c r="M63" i="1" s="1"/>
  <c r="U223" i="4" s="1"/>
  <c r="F64" i="1"/>
  <c r="M64" i="1" s="1"/>
  <c r="U228" i="4" s="1"/>
  <c r="F65" i="1"/>
  <c r="M65" i="1" s="1"/>
  <c r="U231" i="4" s="1"/>
  <c r="F66" i="1"/>
  <c r="M66" i="1" s="1"/>
  <c r="U236" i="4" s="1"/>
  <c r="F67" i="1"/>
  <c r="M67" i="1" s="1"/>
  <c r="U239" i="4" s="1"/>
  <c r="F68" i="1"/>
  <c r="M68" i="1" s="1"/>
  <c r="U244" i="4" s="1"/>
  <c r="F69" i="1"/>
  <c r="M69" i="1" s="1"/>
  <c r="U247" i="4" s="1"/>
  <c r="F70" i="1"/>
  <c r="M70" i="1" s="1"/>
  <c r="U250" i="4" s="1"/>
  <c r="F71" i="1"/>
  <c r="M71" i="1" s="1"/>
  <c r="U253" i="4" s="1"/>
  <c r="F72" i="1"/>
  <c r="M72" i="1" s="1"/>
  <c r="U258" i="4" s="1"/>
  <c r="F73" i="1"/>
  <c r="M73" i="1" s="1"/>
  <c r="U261" i="4" s="1"/>
  <c r="F74" i="1"/>
  <c r="M74" i="1" s="1"/>
  <c r="U265" i="4" s="1"/>
  <c r="F75" i="1"/>
  <c r="M75" i="1" s="1"/>
  <c r="U268" i="4" s="1"/>
  <c r="F76" i="1"/>
  <c r="M76" i="1" s="1"/>
  <c r="U271" i="4" s="1"/>
  <c r="F77" i="1"/>
  <c r="M77" i="1" s="1"/>
  <c r="U274" i="4" s="1"/>
  <c r="F78" i="1"/>
  <c r="M78" i="1" s="1"/>
  <c r="U277" i="4" s="1"/>
  <c r="F79" i="1"/>
  <c r="M79" i="1" s="1"/>
  <c r="U281" i="4" s="1"/>
  <c r="F80" i="1"/>
  <c r="M80" i="1" s="1"/>
  <c r="U284" i="4" s="1"/>
  <c r="F81" i="1"/>
  <c r="M81" i="1" s="1"/>
  <c r="U287" i="4" s="1"/>
  <c r="F82" i="1"/>
  <c r="M82" i="1" s="1"/>
  <c r="U291" i="4" s="1"/>
  <c r="F83" i="1"/>
  <c r="M83" i="1" s="1"/>
  <c r="U294" i="4" s="1"/>
  <c r="F84" i="1"/>
  <c r="M84" i="1" s="1"/>
  <c r="U297" i="4" s="1"/>
  <c r="F85" i="1"/>
  <c r="M85" i="1" s="1"/>
  <c r="U300" i="4" s="1"/>
  <c r="F86" i="1"/>
  <c r="M86" i="1" s="1"/>
  <c r="U304" i="4" s="1"/>
  <c r="F87" i="1"/>
  <c r="M87" i="1" s="1"/>
  <c r="U307" i="4" s="1"/>
  <c r="F88" i="1"/>
  <c r="M88" i="1" s="1"/>
  <c r="U310" i="4" s="1"/>
  <c r="F89" i="1"/>
  <c r="M89" i="1" s="1"/>
  <c r="U314" i="4" s="1"/>
  <c r="F90" i="1"/>
  <c r="M90" i="1" s="1"/>
  <c r="U318" i="4" s="1"/>
  <c r="F91" i="1"/>
  <c r="M91" i="1" s="1"/>
  <c r="U321" i="4" s="1"/>
  <c r="F92" i="1"/>
  <c r="M92" i="1" s="1"/>
  <c r="U326" i="4" s="1"/>
  <c r="F93" i="1"/>
  <c r="U330" i="4" s="1"/>
  <c r="F94" i="1"/>
  <c r="M94" i="1" s="1"/>
  <c r="U333" i="4" s="1"/>
  <c r="F95" i="1"/>
  <c r="M95" i="1" s="1"/>
  <c r="U336" i="4" s="1"/>
  <c r="F96" i="1"/>
  <c r="M96" i="1" s="1"/>
  <c r="U339" i="4" s="1"/>
  <c r="F97" i="1"/>
  <c r="M97" i="1" s="1"/>
  <c r="U342" i="4" s="1"/>
  <c r="F98" i="1"/>
  <c r="M98" i="1" s="1"/>
  <c r="U345" i="4" s="1"/>
  <c r="F99" i="1"/>
  <c r="M99" i="1" s="1"/>
  <c r="U348" i="4" s="1"/>
  <c r="F100" i="1"/>
  <c r="M100" i="1" s="1"/>
  <c r="U351" i="4" s="1"/>
  <c r="F101" i="1"/>
  <c r="M101" i="1" s="1"/>
  <c r="U355" i="4" s="1"/>
  <c r="F102" i="1"/>
  <c r="M102" i="1" s="1"/>
  <c r="U358" i="4" s="1"/>
  <c r="F103" i="1"/>
  <c r="M103" i="1" s="1"/>
  <c r="U361" i="4" s="1"/>
  <c r="F104" i="1"/>
  <c r="M104" i="1" s="1"/>
  <c r="U364" i="4" s="1"/>
  <c r="F105" i="1"/>
  <c r="M105" i="1" s="1"/>
  <c r="U369" i="4" s="1"/>
  <c r="M106" i="1"/>
  <c r="U372" i="4" s="1"/>
  <c r="F107" i="1"/>
  <c r="M107" i="1" s="1"/>
  <c r="U376" i="4" s="1"/>
  <c r="M108" i="1"/>
  <c r="U379" i="4" s="1"/>
  <c r="F109" i="1"/>
  <c r="M109" i="1" s="1"/>
  <c r="U382" i="4" s="1"/>
  <c r="F110" i="1"/>
  <c r="M110" i="1" s="1"/>
  <c r="U385" i="4" s="1"/>
  <c r="F111" i="1"/>
  <c r="M111" i="1" s="1"/>
  <c r="U388" i="4" s="1"/>
  <c r="F112" i="1"/>
  <c r="M112" i="1" s="1"/>
  <c r="U391" i="4" s="1"/>
  <c r="F113" i="1"/>
  <c r="M113" i="1" s="1"/>
  <c r="U394" i="4" s="1"/>
  <c r="F114" i="1"/>
  <c r="M114" i="1" s="1"/>
  <c r="U397" i="4" s="1"/>
  <c r="F115" i="1"/>
  <c r="M115" i="1" s="1"/>
  <c r="U402" i="4" s="1"/>
  <c r="F116" i="1"/>
  <c r="M116" i="1" s="1"/>
  <c r="U405" i="4" s="1"/>
  <c r="F117" i="1"/>
  <c r="M117" i="1" s="1"/>
  <c r="U409" i="4" s="1"/>
  <c r="F118" i="1"/>
  <c r="M118" i="1" s="1"/>
  <c r="U412" i="4" s="1"/>
  <c r="F119" i="1"/>
  <c r="M119" i="1" s="1"/>
  <c r="U416" i="4" s="1"/>
  <c r="F120" i="1"/>
  <c r="M120" i="1" s="1"/>
  <c r="U421" i="4" s="1"/>
  <c r="F121" i="1"/>
  <c r="M121" i="1" s="1"/>
  <c r="U424" i="4" s="1"/>
  <c r="F122" i="1"/>
  <c r="M122" i="1" s="1"/>
  <c r="U427" i="4" s="1"/>
  <c r="F123" i="1"/>
  <c r="M123" i="1" s="1"/>
  <c r="U431" i="4" s="1"/>
  <c r="F124" i="1"/>
  <c r="M124" i="1" s="1"/>
  <c r="U436" i="4" s="1"/>
  <c r="F125" i="1"/>
  <c r="M125" i="1" s="1"/>
  <c r="U439" i="4" s="1"/>
  <c r="F126" i="1"/>
  <c r="M126" i="1" s="1"/>
  <c r="U442" i="4" s="1"/>
  <c r="F127" i="1"/>
  <c r="M127" i="1" s="1"/>
  <c r="U445" i="4" s="1"/>
  <c r="F128" i="1"/>
  <c r="M128" i="1" s="1"/>
  <c r="U448" i="4" s="1"/>
  <c r="F129" i="1"/>
  <c r="M129" i="1" s="1"/>
  <c r="U451" i="4" s="1"/>
  <c r="F130" i="1"/>
  <c r="M130" i="1" s="1"/>
  <c r="U454" i="4" s="1"/>
  <c r="F131" i="1"/>
  <c r="M131" i="1" s="1"/>
  <c r="U459" i="4" s="1"/>
  <c r="F132" i="1"/>
  <c r="M132" i="1" s="1"/>
  <c r="U465" i="4" s="1"/>
  <c r="F133" i="1"/>
  <c r="M133" i="1" s="1"/>
  <c r="U468" i="4" s="1"/>
  <c r="F134" i="1"/>
  <c r="M134" i="1" s="1"/>
  <c r="U471" i="4" s="1"/>
  <c r="F135" i="1"/>
  <c r="M135" i="1" s="1"/>
  <c r="U474" i="4" s="1"/>
  <c r="F136" i="1"/>
  <c r="M136" i="1" s="1"/>
  <c r="U477" i="4" s="1"/>
  <c r="F137" i="1"/>
  <c r="M137" i="1" s="1"/>
  <c r="U481" i="4" s="1"/>
  <c r="F138" i="1"/>
  <c r="M138" i="1" s="1"/>
  <c r="U484" i="4" s="1"/>
  <c r="F139" i="1"/>
  <c r="M139" i="1" s="1"/>
  <c r="U487" i="4" s="1"/>
  <c r="F140" i="1"/>
  <c r="M140" i="1" s="1"/>
  <c r="U490" i="4" s="1"/>
  <c r="F141" i="1"/>
  <c r="M141" i="1" s="1"/>
  <c r="U493" i="4" s="1"/>
  <c r="F142" i="1"/>
  <c r="M142" i="1" s="1"/>
  <c r="U496" i="4" s="1"/>
  <c r="F143" i="1"/>
  <c r="M143" i="1" s="1"/>
  <c r="U499" i="4" s="1"/>
  <c r="F144" i="1"/>
  <c r="M144" i="1" s="1"/>
  <c r="U503" i="4" s="1"/>
  <c r="F145" i="1"/>
  <c r="M145" i="1" s="1"/>
  <c r="U506" i="4" s="1"/>
  <c r="F146" i="1"/>
  <c r="M146" i="1" s="1"/>
  <c r="U509" i="4" s="1"/>
  <c r="F147" i="1"/>
  <c r="M147" i="1" s="1"/>
  <c r="U513" i="4" s="1"/>
  <c r="F148" i="1"/>
  <c r="M148" i="1" s="1"/>
  <c r="U516" i="4" s="1"/>
  <c r="F149" i="1"/>
  <c r="M149" i="1" s="1"/>
  <c r="U519" i="4" s="1"/>
  <c r="F150" i="1"/>
  <c r="M150" i="1" s="1"/>
  <c r="U524" i="4" s="1"/>
  <c r="F151" i="1"/>
  <c r="M151" i="1" s="1"/>
  <c r="U527" i="4" s="1"/>
  <c r="F152" i="1"/>
  <c r="M152" i="1" s="1"/>
  <c r="U530" i="4" s="1"/>
  <c r="F153" i="1"/>
  <c r="M153" i="1" s="1"/>
  <c r="U534" i="4" s="1"/>
  <c r="F154" i="1"/>
  <c r="M154" i="1" s="1"/>
  <c r="U538" i="4" s="1"/>
  <c r="F155" i="1"/>
  <c r="M155" i="1" s="1"/>
  <c r="U541" i="4" s="1"/>
  <c r="F156" i="1"/>
  <c r="M156" i="1" s="1"/>
  <c r="F157" i="1"/>
  <c r="M157" i="1" s="1"/>
  <c r="U547" i="4" s="1"/>
  <c r="F158" i="1"/>
  <c r="M158" i="1" s="1"/>
  <c r="U550" i="4" s="1"/>
  <c r="F159" i="1"/>
  <c r="M159" i="1" s="1"/>
  <c r="U553" i="4" s="1"/>
  <c r="F160" i="1"/>
  <c r="M160" i="1" s="1"/>
  <c r="U556" i="4" s="1"/>
  <c r="F161" i="1"/>
  <c r="M161" i="1" s="1"/>
  <c r="U559" i="4" s="1"/>
  <c r="F162" i="1"/>
  <c r="M162" i="1" s="1"/>
  <c r="U562" i="4" s="1"/>
  <c r="F163" i="1"/>
  <c r="M163" i="1" s="1"/>
  <c r="U565" i="4" s="1"/>
  <c r="F164" i="1"/>
  <c r="M164" i="1" s="1"/>
  <c r="U568" i="4" s="1"/>
  <c r="F165" i="1"/>
  <c r="M165" i="1" s="1"/>
  <c r="U571" i="4" s="1"/>
  <c r="F166" i="1"/>
  <c r="M166" i="1" s="1"/>
  <c r="U575" i="4" s="1"/>
  <c r="F167" i="1"/>
  <c r="M167" i="1" s="1"/>
  <c r="U578" i="4" s="1"/>
  <c r="F168" i="1"/>
  <c r="M168" i="1" s="1"/>
  <c r="U582" i="4" s="1"/>
  <c r="F169" i="1"/>
  <c r="M169" i="1" s="1"/>
  <c r="U585" i="4" s="1"/>
  <c r="F170" i="1"/>
  <c r="M170" i="1" s="1"/>
  <c r="U588" i="4" s="1"/>
  <c r="F171" i="1"/>
  <c r="M171" i="1" s="1"/>
  <c r="U592" i="4" s="1"/>
  <c r="F172" i="1"/>
  <c r="M172" i="1" s="1"/>
  <c r="U595" i="4" s="1"/>
  <c r="F173" i="1"/>
  <c r="M173" i="1" s="1"/>
  <c r="U599" i="4" s="1"/>
  <c r="F174" i="1"/>
  <c r="M174" i="1" s="1"/>
  <c r="U603" i="4" s="1"/>
  <c r="F175" i="1"/>
  <c r="M175" i="1" s="1"/>
  <c r="U606" i="4" s="1"/>
  <c r="F176" i="1"/>
  <c r="M176" i="1" s="1"/>
  <c r="U609" i="4" s="1"/>
  <c r="F177" i="1"/>
  <c r="M177" i="1" s="1"/>
  <c r="U612" i="4" s="1"/>
  <c r="F178" i="1"/>
  <c r="M178" i="1" s="1"/>
  <c r="U616" i="4" s="1"/>
  <c r="F179" i="1"/>
  <c r="M179" i="1" s="1"/>
  <c r="U620" i="4" s="1"/>
  <c r="F2" i="1"/>
  <c r="U8" i="4" s="1"/>
  <c r="U12" i="4" l="1"/>
  <c r="AE12" i="4" s="1"/>
  <c r="D28" i="2"/>
  <c r="AE565" i="4"/>
  <c r="V565" i="4"/>
  <c r="AE487" i="4"/>
  <c r="V487" i="4"/>
  <c r="AE562" i="4"/>
  <c r="V562" i="4"/>
  <c r="AE484" i="4"/>
  <c r="V484" i="4"/>
  <c r="AE397" i="4"/>
  <c r="V397" i="4"/>
  <c r="AE236" i="4"/>
  <c r="V236" i="4"/>
  <c r="AE152" i="4"/>
  <c r="V152" i="4"/>
  <c r="AE519" i="4"/>
  <c r="V519" i="4"/>
  <c r="AE481" i="4"/>
  <c r="V481" i="4"/>
  <c r="AE439" i="4"/>
  <c r="V439" i="4"/>
  <c r="AE394" i="4"/>
  <c r="V394" i="4"/>
  <c r="AE274" i="4"/>
  <c r="V274" i="4"/>
  <c r="AE231" i="4"/>
  <c r="V231" i="4"/>
  <c r="AE148" i="4"/>
  <c r="V148" i="4"/>
  <c r="V556" i="4"/>
  <c r="AE556" i="4"/>
  <c r="AE477" i="4"/>
  <c r="V477" i="4"/>
  <c r="AE436" i="4"/>
  <c r="V436" i="4"/>
  <c r="AE391" i="4"/>
  <c r="V391" i="4"/>
  <c r="AE310" i="4"/>
  <c r="V310" i="4"/>
  <c r="AE187" i="4"/>
  <c r="V187" i="4"/>
  <c r="AE145" i="4"/>
  <c r="V145" i="4"/>
  <c r="V102" i="4"/>
  <c r="AE102" i="4"/>
  <c r="AE15" i="4"/>
  <c r="V15" i="4"/>
  <c r="AE559" i="4"/>
  <c r="V559" i="4"/>
  <c r="AE513" i="4"/>
  <c r="V513" i="4"/>
  <c r="AE431" i="4"/>
  <c r="V431" i="4"/>
  <c r="AE348" i="4"/>
  <c r="V348" i="4"/>
  <c r="AE307" i="4"/>
  <c r="V307" i="4"/>
  <c r="AE268" i="4"/>
  <c r="V268" i="4"/>
  <c r="AE184" i="4"/>
  <c r="V184" i="4"/>
  <c r="AE99" i="4"/>
  <c r="V99" i="4"/>
  <c r="AE516" i="4"/>
  <c r="V516" i="4"/>
  <c r="AE550" i="4"/>
  <c r="V550" i="4"/>
  <c r="AE471" i="4"/>
  <c r="V471" i="4"/>
  <c r="AE345" i="4"/>
  <c r="V345" i="4"/>
  <c r="AE218" i="4"/>
  <c r="V218" i="4"/>
  <c r="AE181" i="4"/>
  <c r="V181" i="4"/>
  <c r="AE547" i="4"/>
  <c r="V547" i="4"/>
  <c r="AE468" i="4"/>
  <c r="V468" i="4"/>
  <c r="AE424" i="4"/>
  <c r="V424" i="4"/>
  <c r="AE382" i="4"/>
  <c r="V382" i="4"/>
  <c r="AE342" i="4"/>
  <c r="V342" i="4"/>
  <c r="V300" i="4"/>
  <c r="AE300" i="4"/>
  <c r="AE261" i="4"/>
  <c r="V261" i="4"/>
  <c r="AE177" i="4"/>
  <c r="V177" i="4"/>
  <c r="AE132" i="4"/>
  <c r="V132" i="4"/>
  <c r="AE538" i="4"/>
  <c r="V538" i="4"/>
  <c r="AE506" i="4"/>
  <c r="V506" i="4"/>
  <c r="V8" i="4"/>
  <c r="AE8" i="4"/>
  <c r="V379" i="4"/>
  <c r="AE379" i="4"/>
  <c r="AE339" i="4"/>
  <c r="V339" i="4"/>
  <c r="AE297" i="4"/>
  <c r="V297" i="4"/>
  <c r="AE258" i="4"/>
  <c r="V258" i="4"/>
  <c r="AE174" i="4"/>
  <c r="V174" i="4"/>
  <c r="AE129" i="4"/>
  <c r="V129" i="4"/>
  <c r="AE85" i="4"/>
  <c r="V85" i="4"/>
  <c r="AE541" i="4"/>
  <c r="V541" i="4"/>
  <c r="AE499" i="4"/>
  <c r="V499" i="4"/>
  <c r="AE376" i="4"/>
  <c r="V376" i="4"/>
  <c r="AE294" i="4"/>
  <c r="V294" i="4"/>
  <c r="AE253" i="4"/>
  <c r="V253" i="4"/>
  <c r="AE209" i="4"/>
  <c r="V209" i="4"/>
  <c r="AE171" i="4"/>
  <c r="V171" i="4"/>
  <c r="AE126" i="4"/>
  <c r="V126" i="4"/>
  <c r="AE82" i="4"/>
  <c r="V82" i="4"/>
  <c r="AE454" i="4"/>
  <c r="V454" i="4"/>
  <c r="AE412" i="4"/>
  <c r="V412" i="4"/>
  <c r="AE372" i="4"/>
  <c r="V372" i="4"/>
  <c r="AE333" i="4"/>
  <c r="V333" i="4"/>
  <c r="AE291" i="4"/>
  <c r="V291" i="4"/>
  <c r="V250" i="4"/>
  <c r="AE250" i="4"/>
  <c r="AE205" i="4"/>
  <c r="V205" i="4"/>
  <c r="AE167" i="4"/>
  <c r="V167" i="4"/>
  <c r="AE123" i="4"/>
  <c r="V123" i="4"/>
  <c r="AE79" i="4"/>
  <c r="V79" i="4"/>
  <c r="AE39" i="4"/>
  <c r="V39" i="4"/>
  <c r="AE534" i="4"/>
  <c r="V534" i="4"/>
  <c r="AE451" i="4"/>
  <c r="V451" i="4"/>
  <c r="AE409" i="4"/>
  <c r="V409" i="4"/>
  <c r="AE369" i="4"/>
  <c r="V369" i="4"/>
  <c r="V287" i="4"/>
  <c r="AE287" i="4"/>
  <c r="AE247" i="4"/>
  <c r="V247" i="4"/>
  <c r="AE164" i="4"/>
  <c r="V164" i="4"/>
  <c r="AE119" i="4"/>
  <c r="V119" i="4"/>
  <c r="AE76" i="4"/>
  <c r="V76" i="4"/>
  <c r="AE35" i="4"/>
  <c r="V35" i="4"/>
  <c r="AE493" i="4"/>
  <c r="V493" i="4"/>
  <c r="AE530" i="4"/>
  <c r="V530" i="4"/>
  <c r="AE490" i="4"/>
  <c r="V490" i="4"/>
  <c r="AE364" i="4"/>
  <c r="V364" i="4"/>
  <c r="AE284" i="4"/>
  <c r="V284" i="4"/>
  <c r="AE244" i="4"/>
  <c r="V244" i="4"/>
  <c r="AE115" i="4"/>
  <c r="V115" i="4"/>
  <c r="AE73" i="4"/>
  <c r="V73" i="4"/>
  <c r="AE31" i="4"/>
  <c r="V31" i="4"/>
  <c r="V527" i="4"/>
  <c r="AE527" i="4"/>
  <c r="AE445" i="4"/>
  <c r="V445" i="4"/>
  <c r="AE402" i="4"/>
  <c r="V402" i="4"/>
  <c r="AE361" i="4"/>
  <c r="V361" i="4"/>
  <c r="AE281" i="4"/>
  <c r="V281" i="4"/>
  <c r="AE239" i="4"/>
  <c r="V239" i="4"/>
  <c r="AE196" i="4"/>
  <c r="V196" i="4"/>
  <c r="AE156" i="4"/>
  <c r="V156" i="4"/>
  <c r="V70" i="4"/>
  <c r="AE70" i="4"/>
  <c r="AE609" i="4"/>
  <c r="V609" i="4"/>
  <c r="AE448" i="4"/>
  <c r="V448" i="4"/>
  <c r="AE405" i="4"/>
  <c r="V405" i="4"/>
  <c r="AE326" i="4"/>
  <c r="V326" i="4"/>
  <c r="AE199" i="4"/>
  <c r="V199" i="4"/>
  <c r="AE330" i="4"/>
  <c r="V330" i="4"/>
  <c r="AE568" i="4"/>
  <c r="V568" i="4"/>
  <c r="AE606" i="4"/>
  <c r="V606" i="4"/>
  <c r="AE321" i="4"/>
  <c r="V321" i="4"/>
  <c r="AE112" i="4"/>
  <c r="V112" i="4"/>
  <c r="AE28" i="4"/>
  <c r="V28" i="4"/>
  <c r="AE603" i="4"/>
  <c r="V603" i="4"/>
  <c r="AE358" i="4"/>
  <c r="V358" i="4"/>
  <c r="AE318" i="4"/>
  <c r="V318" i="4"/>
  <c r="AE277" i="4"/>
  <c r="V277" i="4"/>
  <c r="AE193" i="4"/>
  <c r="V193" i="4"/>
  <c r="AE109" i="4"/>
  <c r="V109" i="4"/>
  <c r="AE67" i="4"/>
  <c r="V67" i="4"/>
  <c r="AE24" i="4"/>
  <c r="V24" i="4"/>
  <c r="AE571" i="4"/>
  <c r="V571" i="4"/>
  <c r="AE599" i="4"/>
  <c r="V599" i="4"/>
  <c r="AE355" i="4"/>
  <c r="V355" i="4"/>
  <c r="AE314" i="4"/>
  <c r="V314" i="4"/>
  <c r="V190" i="4"/>
  <c r="AE190" i="4"/>
  <c r="AE106" i="4"/>
  <c r="V106" i="4"/>
  <c r="AE63" i="4"/>
  <c r="V63" i="4"/>
  <c r="AE20" i="4"/>
  <c r="V20" i="4"/>
  <c r="AE442" i="4"/>
  <c r="V442" i="4"/>
  <c r="AE595" i="4"/>
  <c r="V595" i="4"/>
  <c r="AE351" i="4"/>
  <c r="V351" i="4"/>
  <c r="AE228" i="4"/>
  <c r="V228" i="4"/>
  <c r="AE59" i="4"/>
  <c r="V59" i="4"/>
  <c r="AE202" i="4"/>
  <c r="V202" i="4"/>
  <c r="AE592" i="4"/>
  <c r="V592" i="4"/>
  <c r="AE474" i="4"/>
  <c r="V474" i="4"/>
  <c r="AE223" i="4"/>
  <c r="V223" i="4"/>
  <c r="AE139" i="4"/>
  <c r="V139" i="4"/>
  <c r="AE55" i="4"/>
  <c r="V55" i="4"/>
  <c r="AE612" i="4"/>
  <c r="V612" i="4"/>
  <c r="AE524" i="4"/>
  <c r="V524" i="4"/>
  <c r="AE385" i="4"/>
  <c r="V385" i="4"/>
  <c r="AE304" i="4"/>
  <c r="V304" i="4"/>
  <c r="AE265" i="4"/>
  <c r="V265" i="4"/>
  <c r="AE136" i="4"/>
  <c r="V136" i="4"/>
  <c r="AE94" i="4"/>
  <c r="V94" i="4"/>
  <c r="AE51" i="4"/>
  <c r="V51" i="4"/>
  <c r="V588" i="4"/>
  <c r="AE588" i="4"/>
  <c r="AE427" i="4"/>
  <c r="V427" i="4"/>
  <c r="AE585" i="4"/>
  <c r="V585" i="4"/>
  <c r="AE88" i="4"/>
  <c r="V88" i="4"/>
  <c r="AE48" i="4"/>
  <c r="V48" i="4"/>
  <c r="AE553" i="4"/>
  <c r="V553" i="4"/>
  <c r="AE503" i="4"/>
  <c r="V503" i="4"/>
  <c r="AE465" i="4"/>
  <c r="V465" i="4"/>
  <c r="AE421" i="4"/>
  <c r="V421" i="4"/>
  <c r="AE212" i="4"/>
  <c r="V212" i="4"/>
  <c r="AE45" i="4"/>
  <c r="V45" i="4"/>
  <c r="AE620" i="4"/>
  <c r="AH620" i="4" s="1"/>
  <c r="AI620" i="4" s="1"/>
  <c r="V620" i="4"/>
  <c r="AE578" i="4"/>
  <c r="V578" i="4"/>
  <c r="AE459" i="4"/>
  <c r="V459" i="4"/>
  <c r="AE416" i="4"/>
  <c r="V416" i="4"/>
  <c r="AE42" i="4"/>
  <c r="V42" i="4"/>
  <c r="V582" i="4"/>
  <c r="AE582" i="4"/>
  <c r="AE616" i="4"/>
  <c r="AH616" i="4" s="1"/>
  <c r="AI616" i="4" s="1"/>
  <c r="V616" i="4"/>
  <c r="AE575" i="4"/>
  <c r="V575" i="4"/>
  <c r="AE496" i="4"/>
  <c r="V496" i="4"/>
  <c r="AE509" i="4"/>
  <c r="V509" i="4"/>
  <c r="AE388" i="4"/>
  <c r="V388" i="4"/>
  <c r="AE336" i="4"/>
  <c r="V336" i="4"/>
  <c r="AE271" i="4"/>
  <c r="V271" i="4"/>
  <c r="AE215" i="4"/>
  <c r="V215" i="4"/>
  <c r="AE161" i="4"/>
  <c r="V161" i="4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E181" i="1"/>
  <c r="F181" i="1"/>
  <c r="D181" i="1"/>
  <c r="V12" i="4" l="1"/>
  <c r="U622" i="4"/>
  <c r="AH336" i="4"/>
  <c r="AI336" i="4" s="1"/>
  <c r="AF336" i="4"/>
  <c r="AH45" i="4"/>
  <c r="AI45" i="4" s="1"/>
  <c r="AF45" i="4"/>
  <c r="AH48" i="4"/>
  <c r="AI48" i="4" s="1"/>
  <c r="AF48" i="4"/>
  <c r="AH94" i="4"/>
  <c r="AI94" i="4" s="1"/>
  <c r="AF94" i="4"/>
  <c r="AH612" i="4"/>
  <c r="AI612" i="4" s="1"/>
  <c r="AF612" i="4"/>
  <c r="AH202" i="4"/>
  <c r="AI202" i="4" s="1"/>
  <c r="AF202" i="4"/>
  <c r="AH20" i="4"/>
  <c r="AI20" i="4" s="1"/>
  <c r="AF20" i="4"/>
  <c r="AH599" i="4"/>
  <c r="AI599" i="4" s="1"/>
  <c r="AF599" i="4"/>
  <c r="AH277" i="4"/>
  <c r="AI277" i="4" s="1"/>
  <c r="AF277" i="4"/>
  <c r="AH321" i="4"/>
  <c r="AI321" i="4" s="1"/>
  <c r="AF321" i="4"/>
  <c r="AH405" i="4"/>
  <c r="AI405" i="4" s="1"/>
  <c r="AF405" i="4"/>
  <c r="AH239" i="4"/>
  <c r="AI239" i="4" s="1"/>
  <c r="AF239" i="4"/>
  <c r="AH31" i="4"/>
  <c r="AI31" i="4" s="1"/>
  <c r="AF31" i="4"/>
  <c r="AH490" i="4"/>
  <c r="AI490" i="4" s="1"/>
  <c r="AF490" i="4"/>
  <c r="AH164" i="4"/>
  <c r="AI164" i="4" s="1"/>
  <c r="AF164" i="4"/>
  <c r="AH534" i="4"/>
  <c r="AI534" i="4" s="1"/>
  <c r="AF534" i="4"/>
  <c r="AH82" i="4"/>
  <c r="AI82" i="4" s="1"/>
  <c r="AF82" i="4"/>
  <c r="AH376" i="4"/>
  <c r="AI376" i="4" s="1"/>
  <c r="AF376" i="4"/>
  <c r="AH258" i="4"/>
  <c r="AI258" i="4" s="1"/>
  <c r="AF258" i="4"/>
  <c r="AH538" i="4"/>
  <c r="AI538" i="4" s="1"/>
  <c r="AF538" i="4"/>
  <c r="AH382" i="4"/>
  <c r="AI382" i="4" s="1"/>
  <c r="AF382" i="4"/>
  <c r="AH345" i="4"/>
  <c r="AI345" i="4" s="1"/>
  <c r="AF345" i="4"/>
  <c r="AH184" i="4"/>
  <c r="AI184" i="4" s="1"/>
  <c r="AF184" i="4"/>
  <c r="AH559" i="4"/>
  <c r="AI559" i="4" s="1"/>
  <c r="AF559" i="4"/>
  <c r="AH391" i="4"/>
  <c r="AI391" i="4" s="1"/>
  <c r="AF391" i="4"/>
  <c r="AH274" i="4"/>
  <c r="AI274" i="4" s="1"/>
  <c r="AF274" i="4"/>
  <c r="AH236" i="4"/>
  <c r="AI236" i="4" s="1"/>
  <c r="AF236" i="4"/>
  <c r="AH388" i="4"/>
  <c r="AI388" i="4" s="1"/>
  <c r="AF388" i="4"/>
  <c r="AH42" i="4"/>
  <c r="AI42" i="4" s="1"/>
  <c r="AF42" i="4"/>
  <c r="AH212" i="4"/>
  <c r="AI212" i="4" s="1"/>
  <c r="AF212" i="4"/>
  <c r="AH88" i="4"/>
  <c r="AI88" i="4" s="1"/>
  <c r="AF88" i="4"/>
  <c r="AH136" i="4"/>
  <c r="AI136" i="4" s="1"/>
  <c r="AF136" i="4"/>
  <c r="AH55" i="4"/>
  <c r="AI55" i="4" s="1"/>
  <c r="AF55" i="4"/>
  <c r="AH59" i="4"/>
  <c r="AI59" i="4" s="1"/>
  <c r="AF59" i="4"/>
  <c r="AH63" i="4"/>
  <c r="AI63" i="4" s="1"/>
  <c r="AF63" i="4"/>
  <c r="AH571" i="4"/>
  <c r="AI571" i="4" s="1"/>
  <c r="AF571" i="4"/>
  <c r="AH318" i="4"/>
  <c r="AI318" i="4" s="1"/>
  <c r="AF318" i="4"/>
  <c r="AH606" i="4"/>
  <c r="AI606" i="4" s="1"/>
  <c r="AF606" i="4"/>
  <c r="AH448" i="4"/>
  <c r="AI448" i="4" s="1"/>
  <c r="AF448" i="4"/>
  <c r="AH281" i="4"/>
  <c r="AI281" i="4" s="1"/>
  <c r="AF281" i="4"/>
  <c r="AH73" i="4"/>
  <c r="AI73" i="4" s="1"/>
  <c r="AF73" i="4"/>
  <c r="AH530" i="4"/>
  <c r="AI530" i="4" s="1"/>
  <c r="AF530" i="4"/>
  <c r="AH247" i="4"/>
  <c r="AI247" i="4" s="1"/>
  <c r="AF247" i="4"/>
  <c r="AH39" i="4"/>
  <c r="AI39" i="4" s="1"/>
  <c r="AF39" i="4"/>
  <c r="AH291" i="4"/>
  <c r="AI291" i="4" s="1"/>
  <c r="AF291" i="4"/>
  <c r="AH126" i="4"/>
  <c r="AI126" i="4" s="1"/>
  <c r="AF126" i="4"/>
  <c r="AH499" i="4"/>
  <c r="AI499" i="4" s="1"/>
  <c r="AF499" i="4"/>
  <c r="AH297" i="4"/>
  <c r="AI297" i="4" s="1"/>
  <c r="AF297" i="4"/>
  <c r="AH287" i="4"/>
  <c r="AI287" i="4" s="1"/>
  <c r="AF287" i="4"/>
  <c r="AH132" i="4"/>
  <c r="AI132" i="4" s="1"/>
  <c r="AF132" i="4"/>
  <c r="AH424" i="4"/>
  <c r="AI424" i="4" s="1"/>
  <c r="AF424" i="4"/>
  <c r="AH471" i="4"/>
  <c r="AI471" i="4" s="1"/>
  <c r="AF471" i="4"/>
  <c r="AH268" i="4"/>
  <c r="AI268" i="4" s="1"/>
  <c r="AF268" i="4"/>
  <c r="AH15" i="4"/>
  <c r="AI15" i="4" s="1"/>
  <c r="AF15" i="4"/>
  <c r="AH436" i="4"/>
  <c r="AI436" i="4" s="1"/>
  <c r="AF436" i="4"/>
  <c r="AH394" i="4"/>
  <c r="AI394" i="4" s="1"/>
  <c r="AF394" i="4"/>
  <c r="AH397" i="4"/>
  <c r="AI397" i="4" s="1"/>
  <c r="AF397" i="4"/>
  <c r="AH509" i="4"/>
  <c r="AI509" i="4" s="1"/>
  <c r="AF509" i="4"/>
  <c r="AH416" i="4"/>
  <c r="AI416" i="4" s="1"/>
  <c r="AF416" i="4"/>
  <c r="AH421" i="4"/>
  <c r="AI421" i="4" s="1"/>
  <c r="AF421" i="4"/>
  <c r="AH585" i="4"/>
  <c r="AI585" i="4" s="1"/>
  <c r="AF585" i="4"/>
  <c r="AH265" i="4"/>
  <c r="AI265" i="4" s="1"/>
  <c r="AF265" i="4"/>
  <c r="AH139" i="4"/>
  <c r="AI139" i="4" s="1"/>
  <c r="AF139" i="4"/>
  <c r="AH228" i="4"/>
  <c r="AI228" i="4" s="1"/>
  <c r="AF228" i="4"/>
  <c r="AH106" i="4"/>
  <c r="AI106" i="4" s="1"/>
  <c r="AF106" i="4"/>
  <c r="AH24" i="4"/>
  <c r="AI24" i="4" s="1"/>
  <c r="AF24" i="4"/>
  <c r="AH358" i="4"/>
  <c r="AI358" i="4" s="1"/>
  <c r="AF358" i="4"/>
  <c r="AH568" i="4"/>
  <c r="AI568" i="4" s="1"/>
  <c r="AF568" i="4"/>
  <c r="AH609" i="4"/>
  <c r="AI609" i="4" s="1"/>
  <c r="AF609" i="4"/>
  <c r="AH361" i="4"/>
  <c r="AI361" i="4" s="1"/>
  <c r="AF361" i="4"/>
  <c r="AH115" i="4"/>
  <c r="AI115" i="4" s="1"/>
  <c r="AF115" i="4"/>
  <c r="AH493" i="4"/>
  <c r="AI493" i="4" s="1"/>
  <c r="AF493" i="4"/>
  <c r="AH79" i="4"/>
  <c r="AI79" i="4" s="1"/>
  <c r="AF79" i="4"/>
  <c r="AH333" i="4"/>
  <c r="AI333" i="4" s="1"/>
  <c r="AF333" i="4"/>
  <c r="AH171" i="4"/>
  <c r="AI171" i="4" s="1"/>
  <c r="AF171" i="4"/>
  <c r="AH541" i="4"/>
  <c r="AI541" i="4" s="1"/>
  <c r="AF541" i="4"/>
  <c r="AH339" i="4"/>
  <c r="AI339" i="4" s="1"/>
  <c r="AF339" i="4"/>
  <c r="AH102" i="4"/>
  <c r="AI102" i="4" s="1"/>
  <c r="AF102" i="4"/>
  <c r="AH190" i="4"/>
  <c r="AI190" i="4" s="1"/>
  <c r="AF190" i="4"/>
  <c r="AH70" i="4"/>
  <c r="AI70" i="4" s="1"/>
  <c r="AF70" i="4"/>
  <c r="AH379" i="4"/>
  <c r="AI379" i="4" s="1"/>
  <c r="AF379" i="4"/>
  <c r="AH177" i="4"/>
  <c r="AI177" i="4" s="1"/>
  <c r="AF177" i="4"/>
  <c r="AH468" i="4"/>
  <c r="AI468" i="4" s="1"/>
  <c r="AF468" i="4"/>
  <c r="AH550" i="4"/>
  <c r="AI550" i="4" s="1"/>
  <c r="AF550" i="4"/>
  <c r="AH307" i="4"/>
  <c r="AI307" i="4" s="1"/>
  <c r="AF307" i="4"/>
  <c r="AH477" i="4"/>
  <c r="AI477" i="4" s="1"/>
  <c r="AF477" i="4"/>
  <c r="AH439" i="4"/>
  <c r="AI439" i="4" s="1"/>
  <c r="AF439" i="4"/>
  <c r="AH484" i="4"/>
  <c r="AI484" i="4" s="1"/>
  <c r="AF484" i="4"/>
  <c r="AH161" i="4"/>
  <c r="AI161" i="4" s="1"/>
  <c r="AF161" i="4"/>
  <c r="AH496" i="4"/>
  <c r="AI496" i="4" s="1"/>
  <c r="AF496" i="4"/>
  <c r="AH459" i="4"/>
  <c r="AI459" i="4" s="1"/>
  <c r="AF459" i="4"/>
  <c r="AH465" i="4"/>
  <c r="AI465" i="4" s="1"/>
  <c r="AF465" i="4"/>
  <c r="AH427" i="4"/>
  <c r="AI427" i="4" s="1"/>
  <c r="AF427" i="4"/>
  <c r="AH304" i="4"/>
  <c r="AI304" i="4" s="1"/>
  <c r="AF304" i="4"/>
  <c r="AH223" i="4"/>
  <c r="AI223" i="4" s="1"/>
  <c r="AF223" i="4"/>
  <c r="AH351" i="4"/>
  <c r="AI351" i="4" s="1"/>
  <c r="AF351" i="4"/>
  <c r="AH67" i="4"/>
  <c r="AI67" i="4" s="1"/>
  <c r="AF67" i="4"/>
  <c r="AH603" i="4"/>
  <c r="AI603" i="4" s="1"/>
  <c r="AF603" i="4"/>
  <c r="AH330" i="4"/>
  <c r="AI330" i="4" s="1"/>
  <c r="AF330" i="4"/>
  <c r="AH402" i="4"/>
  <c r="AI402" i="4" s="1"/>
  <c r="AF402" i="4"/>
  <c r="AH244" i="4"/>
  <c r="AI244" i="4" s="1"/>
  <c r="AF244" i="4"/>
  <c r="AH35" i="4"/>
  <c r="AI35" i="4" s="1"/>
  <c r="AF35" i="4"/>
  <c r="AH369" i="4"/>
  <c r="AI369" i="4" s="1"/>
  <c r="AF369" i="4"/>
  <c r="AH123" i="4"/>
  <c r="AI123" i="4" s="1"/>
  <c r="AF123" i="4"/>
  <c r="AH372" i="4"/>
  <c r="AI372" i="4" s="1"/>
  <c r="AF372" i="4"/>
  <c r="AH209" i="4"/>
  <c r="AI209" i="4" s="1"/>
  <c r="AF209" i="4"/>
  <c r="AH85" i="4"/>
  <c r="AI85" i="4" s="1"/>
  <c r="AF85" i="4"/>
  <c r="AH556" i="4"/>
  <c r="AI556" i="4" s="1"/>
  <c r="AF556" i="4"/>
  <c r="AH588" i="4"/>
  <c r="AI588" i="4" s="1"/>
  <c r="AF588" i="4"/>
  <c r="AF8" i="4"/>
  <c r="AE622" i="4"/>
  <c r="AH8" i="4"/>
  <c r="AI8" i="4" s="1"/>
  <c r="AH261" i="4"/>
  <c r="AI261" i="4" s="1"/>
  <c r="AF261" i="4"/>
  <c r="AH547" i="4"/>
  <c r="AI547" i="4" s="1"/>
  <c r="AF547" i="4"/>
  <c r="AH516" i="4"/>
  <c r="AI516" i="4" s="1"/>
  <c r="AF516" i="4"/>
  <c r="AH348" i="4"/>
  <c r="AI348" i="4" s="1"/>
  <c r="AF348" i="4"/>
  <c r="AH145" i="4"/>
  <c r="AI145" i="4" s="1"/>
  <c r="AF145" i="4"/>
  <c r="AH481" i="4"/>
  <c r="AI481" i="4" s="1"/>
  <c r="AF481" i="4"/>
  <c r="AH562" i="4"/>
  <c r="AI562" i="4" s="1"/>
  <c r="AF562" i="4"/>
  <c r="AH215" i="4"/>
  <c r="AI215" i="4" s="1"/>
  <c r="AF215" i="4"/>
  <c r="AH575" i="4"/>
  <c r="AI575" i="4" s="1"/>
  <c r="AF575" i="4"/>
  <c r="AH578" i="4"/>
  <c r="AI578" i="4" s="1"/>
  <c r="AF578" i="4"/>
  <c r="AH503" i="4"/>
  <c r="AI503" i="4" s="1"/>
  <c r="AF503" i="4"/>
  <c r="AH385" i="4"/>
  <c r="AI385" i="4" s="1"/>
  <c r="AF385" i="4"/>
  <c r="AH474" i="4"/>
  <c r="AI474" i="4" s="1"/>
  <c r="AF474" i="4"/>
  <c r="AH595" i="4"/>
  <c r="AI595" i="4" s="1"/>
  <c r="AF595" i="4"/>
  <c r="AH314" i="4"/>
  <c r="AI314" i="4" s="1"/>
  <c r="AF314" i="4"/>
  <c r="AH109" i="4"/>
  <c r="AI109" i="4" s="1"/>
  <c r="AF109" i="4"/>
  <c r="AH28" i="4"/>
  <c r="AI28" i="4" s="1"/>
  <c r="AF28" i="4"/>
  <c r="AH199" i="4"/>
  <c r="AI199" i="4" s="1"/>
  <c r="AF199" i="4"/>
  <c r="AH156" i="4"/>
  <c r="AI156" i="4" s="1"/>
  <c r="AF156" i="4"/>
  <c r="AH445" i="4"/>
  <c r="AI445" i="4" s="1"/>
  <c r="AF445" i="4"/>
  <c r="AH284" i="4"/>
  <c r="AI284" i="4" s="1"/>
  <c r="AF284" i="4"/>
  <c r="AH76" i="4"/>
  <c r="AI76" i="4" s="1"/>
  <c r="AF76" i="4"/>
  <c r="AH409" i="4"/>
  <c r="AI409" i="4" s="1"/>
  <c r="AF409" i="4"/>
  <c r="AH167" i="4"/>
  <c r="AI167" i="4" s="1"/>
  <c r="AF167" i="4"/>
  <c r="AH412" i="4"/>
  <c r="AI412" i="4" s="1"/>
  <c r="AF412" i="4"/>
  <c r="AH253" i="4"/>
  <c r="AI253" i="4" s="1"/>
  <c r="AF253" i="4"/>
  <c r="AH129" i="4"/>
  <c r="AI129" i="4" s="1"/>
  <c r="AF129" i="4"/>
  <c r="AH300" i="4"/>
  <c r="AI300" i="4" s="1"/>
  <c r="AF300" i="4"/>
  <c r="AH527" i="4"/>
  <c r="AI527" i="4" s="1"/>
  <c r="AF527" i="4"/>
  <c r="AH181" i="4"/>
  <c r="AI181" i="4" s="1"/>
  <c r="AF181" i="4"/>
  <c r="AH12" i="4"/>
  <c r="AI12" i="4" s="1"/>
  <c r="AF12" i="4"/>
  <c r="AH431" i="4"/>
  <c r="AI431" i="4" s="1"/>
  <c r="AF431" i="4"/>
  <c r="AH187" i="4"/>
  <c r="AI187" i="4" s="1"/>
  <c r="AF187" i="4"/>
  <c r="AH148" i="4"/>
  <c r="AI148" i="4" s="1"/>
  <c r="AF148" i="4"/>
  <c r="AH519" i="4"/>
  <c r="AI519" i="4" s="1"/>
  <c r="AF519" i="4"/>
  <c r="AH487" i="4"/>
  <c r="AI487" i="4" s="1"/>
  <c r="AF487" i="4"/>
  <c r="AH271" i="4"/>
  <c r="AI271" i="4" s="1"/>
  <c r="AF271" i="4"/>
  <c r="AH553" i="4"/>
  <c r="AI553" i="4" s="1"/>
  <c r="AF553" i="4"/>
  <c r="AH51" i="4"/>
  <c r="AI51" i="4" s="1"/>
  <c r="AF51" i="4"/>
  <c r="AH524" i="4"/>
  <c r="AI524" i="4" s="1"/>
  <c r="AF524" i="4"/>
  <c r="AH592" i="4"/>
  <c r="AI592" i="4" s="1"/>
  <c r="AF592" i="4"/>
  <c r="AH442" i="4"/>
  <c r="AI442" i="4" s="1"/>
  <c r="AF442" i="4"/>
  <c r="AH355" i="4"/>
  <c r="AI355" i="4" s="1"/>
  <c r="AF355" i="4"/>
  <c r="AH193" i="4"/>
  <c r="AI193" i="4" s="1"/>
  <c r="AF193" i="4"/>
  <c r="AH112" i="4"/>
  <c r="AI112" i="4" s="1"/>
  <c r="AF112" i="4"/>
  <c r="AH326" i="4"/>
  <c r="AI326" i="4" s="1"/>
  <c r="AF326" i="4"/>
  <c r="AH196" i="4"/>
  <c r="AI196" i="4" s="1"/>
  <c r="AF196" i="4"/>
  <c r="AH364" i="4"/>
  <c r="AI364" i="4" s="1"/>
  <c r="AF364" i="4"/>
  <c r="AH119" i="4"/>
  <c r="AI119" i="4" s="1"/>
  <c r="AF119" i="4"/>
  <c r="AH451" i="4"/>
  <c r="AI451" i="4" s="1"/>
  <c r="AF451" i="4"/>
  <c r="AH205" i="4"/>
  <c r="AI205" i="4" s="1"/>
  <c r="AF205" i="4"/>
  <c r="AH454" i="4"/>
  <c r="AI454" i="4" s="1"/>
  <c r="AF454" i="4"/>
  <c r="AH294" i="4"/>
  <c r="AI294" i="4" s="1"/>
  <c r="AF294" i="4"/>
  <c r="AH174" i="4"/>
  <c r="AI174" i="4" s="1"/>
  <c r="AF174" i="4"/>
  <c r="AH582" i="4"/>
  <c r="AI582" i="4" s="1"/>
  <c r="AF582" i="4"/>
  <c r="AH250" i="4"/>
  <c r="AI250" i="4" s="1"/>
  <c r="AF250" i="4"/>
  <c r="AH506" i="4"/>
  <c r="AI506" i="4" s="1"/>
  <c r="AF506" i="4"/>
  <c r="AH342" i="4"/>
  <c r="AI342" i="4" s="1"/>
  <c r="AF342" i="4"/>
  <c r="AH218" i="4"/>
  <c r="AI218" i="4" s="1"/>
  <c r="AF218" i="4"/>
  <c r="AH99" i="4"/>
  <c r="AI99" i="4" s="1"/>
  <c r="AF99" i="4"/>
  <c r="AH513" i="4"/>
  <c r="AI513" i="4" s="1"/>
  <c r="AF513" i="4"/>
  <c r="AH310" i="4"/>
  <c r="AI310" i="4" s="1"/>
  <c r="AF310" i="4"/>
  <c r="AH231" i="4"/>
  <c r="AI231" i="4" s="1"/>
  <c r="AF231" i="4"/>
  <c r="AH152" i="4"/>
  <c r="AI152" i="4" s="1"/>
  <c r="AF152" i="4"/>
  <c r="AF565" i="4"/>
  <c r="AH565" i="4"/>
  <c r="AI565" i="4" s="1"/>
  <c r="P182" i="3" l="1"/>
  <c r="O182" i="3"/>
  <c r="N182" i="3"/>
  <c r="M182" i="3"/>
  <c r="L182" i="3"/>
  <c r="K182" i="3"/>
  <c r="J182" i="3"/>
  <c r="I182" i="3"/>
  <c r="H182" i="3"/>
  <c r="G182" i="3"/>
  <c r="F182" i="3"/>
  <c r="E182" i="3"/>
  <c r="Q182" i="3" s="1"/>
  <c r="D47" i="2" l="1"/>
  <c r="D45" i="2"/>
  <c r="D15" i="2"/>
  <c r="F12" i="2" l="1"/>
  <c r="F19" i="2" l="1"/>
  <c r="F30" i="2" s="1"/>
  <c r="F41" i="2" s="1"/>
  <c r="F49" i="2"/>
  <c r="D49" i="2" l="1"/>
  <c r="D12" i="2"/>
  <c r="D19" i="2" s="1"/>
  <c r="D30" i="2" s="1"/>
  <c r="D41" i="2" s="1"/>
  <c r="F3" i="2"/>
  <c r="A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L86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 xml:space="preserve">Fixed at 3.515
</t>
        </r>
      </text>
    </comment>
  </commentList>
</comments>
</file>

<file path=xl/sharedStrings.xml><?xml version="1.0" encoding="utf-8"?>
<sst xmlns="http://schemas.openxmlformats.org/spreadsheetml/2006/main" count="2728" uniqueCount="881">
  <si>
    <t>COUNTY</t>
  </si>
  <si>
    <t>DISTRICT</t>
  </si>
  <si>
    <t>TIF</t>
  </si>
  <si>
    <t>GENERAL FUND MILL</t>
  </si>
  <si>
    <t>CATEGORICAL</t>
  </si>
  <si>
    <t>HOLD HARMLESS OVERRIDE</t>
  </si>
  <si>
    <t>EXCESS OVERRIDE</t>
  </si>
  <si>
    <t>VOTER APPROVED OVERRIDE</t>
  </si>
  <si>
    <t>ABATEMENT mill</t>
  </si>
  <si>
    <t>FULL TOTAL PROGRAM MILL</t>
  </si>
  <si>
    <t>STATE SHARE FUND</t>
  </si>
  <si>
    <t xml:space="preserve"> ABATE AMOUNT</t>
  </si>
  <si>
    <t>TRANSP</t>
  </si>
  <si>
    <t>SPEC BLDG</t>
  </si>
  <si>
    <t>Other</t>
  </si>
  <si>
    <t>0010</t>
  </si>
  <si>
    <t>ADAMS</t>
  </si>
  <si>
    <t>0020</t>
  </si>
  <si>
    <t>ADAMS 12 FIVE STAR</t>
  </si>
  <si>
    <t>0030</t>
  </si>
  <si>
    <t>0040</t>
  </si>
  <si>
    <t>0050</t>
  </si>
  <si>
    <t>0060</t>
  </si>
  <si>
    <t>0070</t>
  </si>
  <si>
    <t>0100</t>
  </si>
  <si>
    <t>ALAMOSA</t>
  </si>
  <si>
    <t>0110</t>
  </si>
  <si>
    <t>0120</t>
  </si>
  <si>
    <t>ARAPAHOE</t>
  </si>
  <si>
    <t>0123</t>
  </si>
  <si>
    <t>0130</t>
  </si>
  <si>
    <t>0140</t>
  </si>
  <si>
    <t>0170</t>
  </si>
  <si>
    <t>0180</t>
  </si>
  <si>
    <t>0190</t>
  </si>
  <si>
    <t>0220</t>
  </si>
  <si>
    <t>ARCHULETA</t>
  </si>
  <si>
    <t>0230</t>
  </si>
  <si>
    <t>BACA</t>
  </si>
  <si>
    <t>0240</t>
  </si>
  <si>
    <t>0250</t>
  </si>
  <si>
    <t>0260</t>
  </si>
  <si>
    <t>0270</t>
  </si>
  <si>
    <t>0290</t>
  </si>
  <si>
    <t>BENT</t>
  </si>
  <si>
    <t>LAS ANIMAS</t>
  </si>
  <si>
    <t>0310</t>
  </si>
  <si>
    <t>0470</t>
  </si>
  <si>
    <t>BOULDER</t>
  </si>
  <si>
    <t>0480</t>
  </si>
  <si>
    <t>0490</t>
  </si>
  <si>
    <t>CHAFFEE</t>
  </si>
  <si>
    <t>0500</t>
  </si>
  <si>
    <t>0510</t>
  </si>
  <si>
    <t>CHEYENNE</t>
  </si>
  <si>
    <t>KIT CARSON</t>
  </si>
  <si>
    <t>0520</t>
  </si>
  <si>
    <t>0540</t>
  </si>
  <si>
    <t>CLEAR CREEK</t>
  </si>
  <si>
    <t>0550</t>
  </si>
  <si>
    <t>CONEJOS</t>
  </si>
  <si>
    <t>0560</t>
  </si>
  <si>
    <t>0580</t>
  </si>
  <si>
    <t>0640</t>
  </si>
  <si>
    <t>COSTILLA</t>
  </si>
  <si>
    <t>0740</t>
  </si>
  <si>
    <t>0770</t>
  </si>
  <si>
    <t>CROWLEY</t>
  </si>
  <si>
    <t>0860</t>
  </si>
  <si>
    <t>CUSTER</t>
  </si>
  <si>
    <t>0870</t>
  </si>
  <si>
    <t>DELTA</t>
  </si>
  <si>
    <t>0880</t>
  </si>
  <si>
    <t>DENVER</t>
  </si>
  <si>
    <t>0890</t>
  </si>
  <si>
    <t>DOLORES</t>
  </si>
  <si>
    <t>0900</t>
  </si>
  <si>
    <t>DOUGLAS</t>
  </si>
  <si>
    <t>0910</t>
  </si>
  <si>
    <t>EAGLE</t>
  </si>
  <si>
    <t>0920</t>
  </si>
  <si>
    <t>ELBERT</t>
  </si>
  <si>
    <t>0930</t>
  </si>
  <si>
    <t>KIOWA</t>
  </si>
  <si>
    <t>0940</t>
  </si>
  <si>
    <t>0950</t>
  </si>
  <si>
    <t>0960</t>
  </si>
  <si>
    <t>0970</t>
  </si>
  <si>
    <t>EL PASO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</si>
  <si>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</si>
  <si>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</si>
  <si>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</si>
  <si>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</si>
  <si>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</si>
  <si>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</si>
  <si>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</si>
  <si>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</si>
  <si>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</si>
  <si>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</si>
  <si>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</si>
  <si>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</si>
  <si>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</si>
  <si>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</si>
  <si>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</si>
  <si>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FREMONT</t>
  </si>
  <si>
    <t>1150</t>
  </si>
  <si>
    <t>FREMONT RE-2</t>
  </si>
  <si>
    <t>1160</t>
  </si>
  <si>
    <t>1180</t>
  </si>
  <si>
    <t>GARFIELD</t>
  </si>
  <si>
    <t>1195</t>
  </si>
  <si>
    <t>1220</t>
  </si>
  <si>
    <t>1330</t>
  </si>
  <si>
    <t>GILPIN</t>
  </si>
  <si>
    <t>1340</t>
  </si>
  <si>
    <t>GRAND</t>
  </si>
  <si>
    <t>1350</t>
  </si>
  <si>
    <t>1360</t>
  </si>
  <si>
    <t>GUNNISON</t>
  </si>
  <si>
    <t>1380</t>
  </si>
  <si>
    <t>HINSDALE</t>
  </si>
  <si>
    <t>1390</t>
  </si>
  <si>
    <t>HUERFANO</t>
  </si>
  <si>
    <t>1400</t>
  </si>
  <si>
    <t>1410</t>
  </si>
  <si>
    <t>JACKSON</t>
  </si>
  <si>
    <t>1420</t>
  </si>
  <si>
    <t>JEFFERSON</t>
  </si>
  <si>
    <t>1430</t>
  </si>
  <si>
    <t>1440</t>
  </si>
  <si>
    <t>1450</t>
  </si>
  <si>
    <t>1460</t>
  </si>
  <si>
    <t>1480</t>
  </si>
  <si>
    <t>1490</t>
  </si>
  <si>
    <t>1500</t>
  </si>
  <si>
    <t>1510</t>
  </si>
  <si>
    <t>LAKE</t>
  </si>
  <si>
    <t>1520</t>
  </si>
  <si>
    <t>LA PLATA</t>
  </si>
  <si>
    <t>1530</t>
  </si>
  <si>
    <t>1540</t>
  </si>
  <si>
    <t>1550</t>
  </si>
  <si>
    <t>LARIMER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</si>
  <si>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</si>
  <si>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</si>
  <si>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</si>
  <si>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</si>
  <si>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</si>
  <si>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</si>
  <si>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</si>
  <si>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</si>
  <si>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</si>
  <si>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LINCOLN</t>
  </si>
  <si>
    <t>1790</t>
  </si>
  <si>
    <t>1810</t>
  </si>
  <si>
    <t>1828</t>
  </si>
  <si>
    <t>LOGAN</t>
  </si>
  <si>
    <t>1850</t>
  </si>
  <si>
    <t>1860</t>
  </si>
  <si>
    <t>1870</t>
  </si>
  <si>
    <t>1980</t>
  </si>
  <si>
    <t>MESA</t>
  </si>
  <si>
    <t>1990</t>
  </si>
  <si>
    <t>2000</t>
  </si>
  <si>
    <t>2010</t>
  </si>
  <si>
    <t>MINERAL</t>
  </si>
  <si>
    <t>2020</t>
  </si>
  <si>
    <t>MOFFAT</t>
  </si>
  <si>
    <t>2035</t>
  </si>
  <si>
    <t>MONTEZUMA</t>
  </si>
  <si>
    <t>2055</t>
  </si>
  <si>
    <t>2070</t>
  </si>
  <si>
    <t>2180</t>
  </si>
  <si>
    <t>MONTROSE</t>
  </si>
  <si>
    <t>2190</t>
  </si>
  <si>
    <t>2395</t>
  </si>
  <si>
    <t>MORGAN</t>
  </si>
  <si>
    <t>2405</t>
  </si>
  <si>
    <t>2505</t>
  </si>
  <si>
    <t>2515</t>
  </si>
  <si>
    <t>2520</t>
  </si>
  <si>
    <t>OTERO</t>
  </si>
  <si>
    <t>2530</t>
  </si>
  <si>
    <t>2535</t>
  </si>
  <si>
    <t>2540</t>
  </si>
  <si>
    <t>2560</t>
  </si>
  <si>
    <t>2570</t>
  </si>
  <si>
    <t>2580</t>
  </si>
  <si>
    <t>OURAY</t>
  </si>
  <si>
    <t>2590</t>
  </si>
  <si>
    <t>2600</t>
  </si>
  <si>
    <t>PARK</t>
  </si>
  <si>
    <t>2610</t>
  </si>
  <si>
    <t>2620</t>
  </si>
  <si>
    <t>PHILLIPS</t>
  </si>
  <si>
    <t>2630</t>
  </si>
  <si>
    <t>2640</t>
  </si>
  <si>
    <t>PITKIN</t>
  </si>
  <si>
    <t>2650</t>
  </si>
  <si>
    <t>PROWERS</t>
  </si>
  <si>
    <t>2660</t>
  </si>
  <si>
    <t>2670</t>
  </si>
  <si>
    <t>2680</t>
  </si>
  <si>
    <t>2690</t>
  </si>
  <si>
    <t>PUEBLO</t>
  </si>
  <si>
    <t>2700</t>
  </si>
  <si>
    <t>2710</t>
  </si>
  <si>
    <t>RIO BLANCO</t>
  </si>
  <si>
    <t>2720</t>
  </si>
  <si>
    <t>2730</t>
  </si>
  <si>
    <t>RIO GRANDE</t>
  </si>
  <si>
    <t>2740</t>
  </si>
  <si>
    <t>2750</t>
  </si>
  <si>
    <t>2760</t>
  </si>
  <si>
    <t>ROUTT</t>
  </si>
  <si>
    <t>2770</t>
  </si>
  <si>
    <t>2780</t>
  </si>
  <si>
    <t>2790</t>
  </si>
  <si>
    <t>SAGUACHE</t>
  </si>
  <si>
    <t>2800</t>
  </si>
  <si>
    <t>2810</t>
  </si>
  <si>
    <t>2820</t>
  </si>
  <si>
    <t>SAN JUAN</t>
  </si>
  <si>
    <t>2830</t>
  </si>
  <si>
    <t>SAN MIGUEL</t>
  </si>
  <si>
    <t>2840</t>
  </si>
  <si>
    <t>2862</t>
  </si>
  <si>
    <t>SEDGWICK</t>
  </si>
  <si>
    <t>2865</t>
  </si>
  <si>
    <t>3000</t>
  </si>
  <si>
    <t>SUMMIT</t>
  </si>
  <si>
    <t>3010</t>
  </si>
  <si>
    <t>TELLER</t>
  </si>
  <si>
    <t>3020</t>
  </si>
  <si>
    <t>3030</t>
  </si>
  <si>
    <t>WASHINGTON</t>
  </si>
  <si>
    <t>3040</t>
  </si>
  <si>
    <t>3050</t>
  </si>
  <si>
    <t>3060</t>
  </si>
  <si>
    <t>3070</t>
  </si>
  <si>
    <t>3080</t>
  </si>
  <si>
    <t>WELD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</si>
  <si>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</si>
  <si>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</si>
  <si>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</si>
  <si>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</si>
  <si>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</si>
  <si>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</si>
  <si>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</si>
  <si>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</si>
  <si>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</si>
  <si>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</si>
  <si>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</si>
  <si>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</si>
  <si>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YUMA</t>
  </si>
  <si>
    <t>YUMA 1</t>
  </si>
  <si>
    <t>3210</t>
  </si>
  <si>
    <t>WRAY RD-2</t>
  </si>
  <si>
    <t>3220</t>
  </si>
  <si>
    <t>IDALIA RJ-3</t>
  </si>
  <si>
    <t>3230</t>
  </si>
  <si>
    <t>LIBERTY J-4</t>
  </si>
  <si>
    <t>Certification of Mill Levies</t>
  </si>
  <si>
    <t>County</t>
  </si>
  <si>
    <t>School District</t>
  </si>
  <si>
    <t>School District Final Mill Levy Certified as of</t>
  </si>
  <si>
    <t>CATEGORY</t>
  </si>
  <si>
    <t xml:space="preserve"> 2.  Categorical Buyout</t>
  </si>
  <si>
    <t xml:space="preserve">      a.  Voter-approved</t>
  </si>
  <si>
    <t xml:space="preserve">      b.  Hold harmless </t>
  </si>
  <si>
    <t xml:space="preserve">      c.  Excess hold harmless</t>
  </si>
  <si>
    <t xml:space="preserve"> </t>
  </si>
  <si>
    <t xml:space="preserve">      Technology Fund</t>
  </si>
  <si>
    <t>Assessed Valuation</t>
  </si>
  <si>
    <t>Gross Assessed Valuation</t>
  </si>
  <si>
    <t>Tax Increment Financing</t>
  </si>
  <si>
    <t>Net Assessed Valuation</t>
  </si>
  <si>
    <t>Abatements</t>
  </si>
  <si>
    <t>(Total across all counties)</t>
  </si>
  <si>
    <t>Form completed by</t>
  </si>
  <si>
    <t>Phone Number</t>
  </si>
  <si>
    <t>Division of School Finance and Operations</t>
  </si>
  <si>
    <t>Colorado Department of Education</t>
  </si>
  <si>
    <t>201 E. Colfax Avenue; Room 206</t>
  </si>
  <si>
    <t xml:space="preserve">Denver, CO 80203        </t>
  </si>
  <si>
    <t>kahle_t@cde.state.co.us</t>
  </si>
  <si>
    <t>District Code</t>
  </si>
  <si>
    <t>&lt;= Type district code here to populate form.</t>
  </si>
  <si>
    <t>MAPLETON</t>
  </si>
  <si>
    <t>COMMERCE CITY</t>
  </si>
  <si>
    <t>BRIGHTON</t>
  </si>
  <si>
    <t>BENNETT</t>
  </si>
  <si>
    <t>STRASBURG</t>
  </si>
  <si>
    <t>WESTMINSTER</t>
  </si>
  <si>
    <t>SANGRE DE CRISTO</t>
  </si>
  <si>
    <t>ENGLEWOOD</t>
  </si>
  <si>
    <t>SHERIDAN</t>
  </si>
  <si>
    <t>CHERRY CREEK</t>
  </si>
  <si>
    <t>LITTLETON</t>
  </si>
  <si>
    <t>DEER TRAIL</t>
  </si>
  <si>
    <t>AURORA</t>
  </si>
  <si>
    <t>BYERS</t>
  </si>
  <si>
    <t>WALSH</t>
  </si>
  <si>
    <t>PRITCHETT</t>
  </si>
  <si>
    <t>SPRINGFIELD</t>
  </si>
  <si>
    <t>VILAS</t>
  </si>
  <si>
    <t>CAMPO</t>
  </si>
  <si>
    <t>MCCLAVE</t>
  </si>
  <si>
    <t>ST VRAIN</t>
  </si>
  <si>
    <t>BUENA VISTA</t>
  </si>
  <si>
    <t>SALIDA</t>
  </si>
  <si>
    <t>NORTH CONEJOS</t>
  </si>
  <si>
    <t>SANFORD</t>
  </si>
  <si>
    <t>SOUTH CONEJOS</t>
  </si>
  <si>
    <t>CENTENNIAL</t>
  </si>
  <si>
    <t>SIERRA GRANDE</t>
  </si>
  <si>
    <t>WESTCLIFFE</t>
  </si>
  <si>
    <t>ELIZABETH</t>
  </si>
  <si>
    <t>BIG SANDY</t>
  </si>
  <si>
    <t>AGATE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</si>
  <si>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</si>
  <si>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</si>
  <si>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</si>
  <si>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</si>
  <si>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</si>
  <si>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</si>
  <si>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</si>
  <si>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</si>
  <si>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</si>
  <si>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</si>
  <si>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</si>
  <si>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</si>
  <si>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</si>
  <si>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</si>
  <si>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</si>
  <si>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CANON CITY</t>
  </si>
  <si>
    <t>COTOPAXI</t>
  </si>
  <si>
    <t>ROARING FORK</t>
  </si>
  <si>
    <t>RIFLE</t>
  </si>
  <si>
    <t>PARACHUTE</t>
  </si>
  <si>
    <t>WEST GRAND</t>
  </si>
  <si>
    <t>EAST GRAND</t>
  </si>
  <si>
    <t>LA VETA</t>
  </si>
  <si>
    <t>NORTH PARK</t>
  </si>
  <si>
    <t>EADS</t>
  </si>
  <si>
    <t>PLAINVIEW</t>
  </si>
  <si>
    <t>ARRIBA-FLAGLER</t>
  </si>
  <si>
    <t>HI PLAINS</t>
  </si>
  <si>
    <t>STRATTON</t>
  </si>
  <si>
    <t>BETHUNE</t>
  </si>
  <si>
    <t>BURLINGTON</t>
  </si>
  <si>
    <t>DURANGO</t>
  </si>
  <si>
    <t>BAYFIELD</t>
  </si>
  <si>
    <t>IGNACIO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</si>
  <si>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</si>
  <si>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</si>
  <si>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</si>
  <si>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</si>
  <si>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</si>
  <si>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</si>
  <si>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</si>
  <si>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</si>
  <si>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</si>
  <si>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GENOA-HUGO</t>
  </si>
  <si>
    <t>LIMON</t>
  </si>
  <si>
    <t>KARVAL</t>
  </si>
  <si>
    <t>VALLEY</t>
  </si>
  <si>
    <t>FRENCHMAN</t>
  </si>
  <si>
    <t>BUFFALO</t>
  </si>
  <si>
    <t>PLATEAU</t>
  </si>
  <si>
    <t>DEBEQUE</t>
  </si>
  <si>
    <t>PLATEAU VALLEY</t>
  </si>
  <si>
    <t>MESA VALLEY</t>
  </si>
  <si>
    <t>CREEDE</t>
  </si>
  <si>
    <t>MANCOS</t>
  </si>
  <si>
    <t>WEST END</t>
  </si>
  <si>
    <t>BRUSH</t>
  </si>
  <si>
    <t>FT. MORGAN</t>
  </si>
  <si>
    <t>WELDON</t>
  </si>
  <si>
    <t>WIGGINS</t>
  </si>
  <si>
    <t>EAST OTERO</t>
  </si>
  <si>
    <t>ROCKY FORD</t>
  </si>
  <si>
    <t>MANZANOLA</t>
  </si>
  <si>
    <t>FOWLER</t>
  </si>
  <si>
    <t>CHERAW</t>
  </si>
  <si>
    <t>SWINK</t>
  </si>
  <si>
    <t>RIDGWAY</t>
  </si>
  <si>
    <t>PLATTE CANYON</t>
  </si>
  <si>
    <t>HOLYOKE</t>
  </si>
  <si>
    <t>HAXTUN</t>
  </si>
  <si>
    <t>ASPEN</t>
  </si>
  <si>
    <t>GRANADA</t>
  </si>
  <si>
    <t>LAMAR</t>
  </si>
  <si>
    <t>HOLLY</t>
  </si>
  <si>
    <t>WILEY</t>
  </si>
  <si>
    <t>PUEBLO CITY</t>
  </si>
  <si>
    <t>PUEBLO RURAL</t>
  </si>
  <si>
    <t>MEEKER</t>
  </si>
  <si>
    <t>RANGELY</t>
  </si>
  <si>
    <t>DEL NORTE</t>
  </si>
  <si>
    <t>MONTE VISTA</t>
  </si>
  <si>
    <t>SARGENT</t>
  </si>
  <si>
    <t>HAYDEN</t>
  </si>
  <si>
    <t>STEAMBOAT SPRINGS</t>
  </si>
  <si>
    <t>SOUTH ROUTT</t>
  </si>
  <si>
    <t>MOUNTAIN VALLEY</t>
  </si>
  <si>
    <t>CENTER</t>
  </si>
  <si>
    <t>SILVERTON</t>
  </si>
  <si>
    <t>TELLURIDE</t>
  </si>
  <si>
    <t>NORWOOD</t>
  </si>
  <si>
    <t>JULESBURG</t>
  </si>
  <si>
    <t>PLATTE VALLEY</t>
  </si>
  <si>
    <t>CRIPPLE CREEK</t>
  </si>
  <si>
    <t>WOODLAND PARK</t>
  </si>
  <si>
    <t>AKRON</t>
  </si>
  <si>
    <t>ARICKAREE</t>
  </si>
  <si>
    <t>OTIS</t>
  </si>
  <si>
    <t>LONE STAR</t>
  </si>
  <si>
    <t>WOODLIN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</si>
  <si>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</si>
  <si>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</si>
  <si>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</si>
  <si>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</si>
  <si>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</si>
  <si>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</si>
  <si>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</si>
  <si>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</si>
  <si>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</si>
  <si>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</si>
  <si>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</si>
  <si>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BOND</t>
  </si>
  <si>
    <t>Total Mills</t>
  </si>
  <si>
    <t>REVERE</t>
  </si>
  <si>
    <t>DIST</t>
  </si>
  <si>
    <t>Information provided by state for certification to county treasurer:</t>
  </si>
  <si>
    <t xml:space="preserve">    1a.  HB20-1418 Tax Credit</t>
  </si>
  <si>
    <t>* The district's school board will need to grant this tax credit by resolution per HB20-1418.</t>
  </si>
  <si>
    <t>(amt collected by county)</t>
  </si>
  <si>
    <t>GROSS ASSESSED VALUATION</t>
  </si>
  <si>
    <t>NET ASSESSED VALUATION</t>
  </si>
  <si>
    <t>Projected Gross Funding from State</t>
  </si>
  <si>
    <t>Total Prog Reserve</t>
  </si>
  <si>
    <t xml:space="preserve"> 3. Total Program Reserve Fund</t>
  </si>
  <si>
    <t xml:space="preserve"> 5.  Overrides:</t>
  </si>
  <si>
    <t xml:space="preserve"> 6.  Abatement</t>
  </si>
  <si>
    <t xml:space="preserve"> 4.  Total Program Mill</t>
  </si>
  <si>
    <t xml:space="preserve"> 1.  Mill Levy per HB20-1418</t>
  </si>
  <si>
    <t xml:space="preserve">    1b.  HB20-1418 Net Mill Levy</t>
  </si>
  <si>
    <t>Year Prior to Tabor Election</t>
  </si>
  <si>
    <t>NORTHGLENN</t>
  </si>
  <si>
    <t>CONSOLIDATED</t>
  </si>
  <si>
    <t>FLORENCE</t>
  </si>
  <si>
    <t>LIBERTY</t>
  </si>
  <si>
    <t>WRAY</t>
  </si>
  <si>
    <t>IDALIA</t>
  </si>
  <si>
    <t>Note:  All districts except Cherry Creek, Harrison, Colorado Springs, and Steamboat Springs have passed TABOR elections.</t>
  </si>
  <si>
    <t xml:space="preserve"> 7.  Total General Fund</t>
  </si>
  <si>
    <t xml:space="preserve"> 8.  Bond Redemption Fund</t>
  </si>
  <si>
    <t xml:space="preserve"> 9.  Transportation Fund</t>
  </si>
  <si>
    <t xml:space="preserve"> 10.  Special Building and </t>
  </si>
  <si>
    <t>11. Other (Loan, Charter School)</t>
  </si>
  <si>
    <t>12. Total</t>
  </si>
  <si>
    <t>DISTRICT 49</t>
  </si>
  <si>
    <t>Property Tax Year 2021</t>
  </si>
  <si>
    <t>As of December 15, 2021</t>
  </si>
  <si>
    <t>COMPLETE AND RETURN TO TIM KAHLE BY DECEMBER 21, 2021:</t>
  </si>
  <si>
    <t>December 15, 2021</t>
  </si>
  <si>
    <t>Colorado Department of Education (CDE)  Mill Levy Estimated as of</t>
  </si>
  <si>
    <t>* Changes should be made directly in the form as information the district has may be more current than what CDE has populated in this version of the form.  Column F is the districts final certified numbers and should be populated by district personnel.</t>
  </si>
  <si>
    <t>* Column F of this form may be used to certify with your county/counties.  Column D does not need to match column F as these are estimated numbers only.</t>
  </si>
  <si>
    <t>* A final copy of this form should be emailed back to CDE once district has certified with the necessary counties no later than December 21, 2021.</t>
  </si>
  <si>
    <t>* District is responsible for calculating the voter-approved mill levy. Please verify your voter-approved override mill based on your ballot question. Your MLO may be fixed mill or fixed dollar or a combination.</t>
  </si>
  <si>
    <t>* District is responsible for calculating the bond redemption mill levy</t>
  </si>
  <si>
    <t>TOTAL MILLS</t>
  </si>
  <si>
    <t>TOTAL PRG</t>
  </si>
  <si>
    <t>* when printed,  the form will print without these comments</t>
  </si>
  <si>
    <t>EXCESS</t>
  </si>
  <si>
    <t xml:space="preserve">TOTAL </t>
  </si>
  <si>
    <t xml:space="preserve">HOLD </t>
  </si>
  <si>
    <t>HOLD</t>
  </si>
  <si>
    <t>VOTER</t>
  </si>
  <si>
    <t>SPECIAL</t>
  </si>
  <si>
    <t>COUNTY OF</t>
  </si>
  <si>
    <t>NET</t>
  </si>
  <si>
    <t>HB20-1418</t>
  </si>
  <si>
    <t>TEMP</t>
  </si>
  <si>
    <t>NET TOTAL</t>
  </si>
  <si>
    <t xml:space="preserve">CAT </t>
  </si>
  <si>
    <t>PROGRAM</t>
  </si>
  <si>
    <t>HARMLESS</t>
  </si>
  <si>
    <t>APPROVED</t>
  </si>
  <si>
    <t>BLDG.</t>
  </si>
  <si>
    <t>TOTAL</t>
  </si>
  <si>
    <t>SOT</t>
  </si>
  <si>
    <t>ASSESSED</t>
  </si>
  <si>
    <t>TOTAL PRGM</t>
  </si>
  <si>
    <t>TAX</t>
  </si>
  <si>
    <t>PRGM</t>
  </si>
  <si>
    <t>BUYOUT</t>
  </si>
  <si>
    <t>RESERVE</t>
  </si>
  <si>
    <t>OVERRIDE</t>
  </si>
  <si>
    <t>ABATE</t>
  </si>
  <si>
    <t>REDEMP.</t>
  </si>
  <si>
    <t>TRANSP.</t>
  </si>
  <si>
    <t>&amp; TECH</t>
  </si>
  <si>
    <t>OTHER</t>
  </si>
  <si>
    <t>MILL</t>
  </si>
  <si>
    <t>Calculation</t>
  </si>
  <si>
    <t>NUMBER</t>
  </si>
  <si>
    <t>VALUATION</t>
  </si>
  <si>
    <t>SCHOOL DISTRICT</t>
  </si>
  <si>
    <t>MILLS</t>
  </si>
  <si>
    <t>CREDIT</t>
  </si>
  <si>
    <t>LEVY</t>
  </si>
  <si>
    <t>MAPLETON 1</t>
  </si>
  <si>
    <t>Dist</t>
  </si>
  <si>
    <t>Perc</t>
  </si>
  <si>
    <t>Revenue</t>
  </si>
  <si>
    <t xml:space="preserve">           MAPLETON 1 TOTAL</t>
  </si>
  <si>
    <t>BROOMFIELD</t>
  </si>
  <si>
    <t xml:space="preserve">          ADAMS 12 FIVE STAR TOTAL</t>
  </si>
  <si>
    <t>ADAMS 14</t>
  </si>
  <si>
    <t xml:space="preserve">           ADAMS 14 TOTAL</t>
  </si>
  <si>
    <t>BRIGHTON 27J</t>
  </si>
  <si>
    <t xml:space="preserve">           BRIGHTON 27J TOTAL</t>
  </si>
  <si>
    <t>BENNETT 29J</t>
  </si>
  <si>
    <t xml:space="preserve">           BENNETT 29J TOTAL</t>
  </si>
  <si>
    <t>STRASBURG 31J</t>
  </si>
  <si>
    <t xml:space="preserve">           STRASBURG 31J TOTAL</t>
  </si>
  <si>
    <t>WESTMINSTER 50</t>
  </si>
  <si>
    <t xml:space="preserve">           WESTMINSTER 50 TOTAL</t>
  </si>
  <si>
    <t>ALAMOSA RE-11J</t>
  </si>
  <si>
    <t xml:space="preserve">           ALAMOSA RE-11J TOTAL</t>
  </si>
  <si>
    <t>SANGRE DE CRISTO RE-22J</t>
  </si>
  <si>
    <t xml:space="preserve">           SANGRE DE CRISTO RE-22J TOTAL</t>
  </si>
  <si>
    <t>ENGLEWOOD 1</t>
  </si>
  <si>
    <t xml:space="preserve">           ENGLEWOOD 1 TOTAL</t>
  </si>
  <si>
    <t>SHERIDAN 2</t>
  </si>
  <si>
    <t xml:space="preserve">           SHERIDAN 2 TOTAL</t>
  </si>
  <si>
    <t>CHERRY CREEK 5</t>
  </si>
  <si>
    <t xml:space="preserve">           CHERRY CREEK  5 TOTAL</t>
  </si>
  <si>
    <t>LITTLETON 6</t>
  </si>
  <si>
    <t xml:space="preserve">           LITTLETON 6 TOTAL</t>
  </si>
  <si>
    <t>DEER TRAIL 26J</t>
  </si>
  <si>
    <t xml:space="preserve">           DEER TRAIL 26J TOTAL</t>
  </si>
  <si>
    <t>ADAMS-ARAPAHOE 28J</t>
  </si>
  <si>
    <t xml:space="preserve">           ADAMS-ARAPAHOE 28J TOTAL</t>
  </si>
  <si>
    <t>BYERS 32J</t>
  </si>
  <si>
    <t xml:space="preserve">           BYERS 32J TOTAL</t>
  </si>
  <si>
    <t>ARCHULETA COUNTY 50 JT</t>
  </si>
  <si>
    <t xml:space="preserve">           ARCHULETA COUNTY 50 JT TOTAL</t>
  </si>
  <si>
    <t>WALSH RE-1</t>
  </si>
  <si>
    <t xml:space="preserve">           WALSH RE-1 TOTAL</t>
  </si>
  <si>
    <t>PRITCHETT RE-3</t>
  </si>
  <si>
    <t xml:space="preserve">           PRITCHETT RE-3 TOTAL</t>
  </si>
  <si>
    <t>SPRINGFIELD RE-4</t>
  </si>
  <si>
    <t xml:space="preserve">           SPRINGFIELD RE-4 TOTAL</t>
  </si>
  <si>
    <t>VILAS RE-5</t>
  </si>
  <si>
    <t xml:space="preserve">           VILAS RE-5 TOTAL</t>
  </si>
  <si>
    <t>CAMPO RE-6</t>
  </si>
  <si>
    <t xml:space="preserve">           CAMPO RE-6 TOTAL</t>
  </si>
  <si>
    <t>LAS ANIMAS RE-1</t>
  </si>
  <si>
    <t xml:space="preserve">           LAS ANIMAS RE-1 TOTAL</t>
  </si>
  <si>
    <t>MCCLAVE RE-2</t>
  </si>
  <si>
    <t xml:space="preserve">           MCCLAVE RE-2 TOTAL</t>
  </si>
  <si>
    <t>ST VRAIN VALLEY RE-1J</t>
  </si>
  <si>
    <t xml:space="preserve">           ST VRAIN VALLEY RE-1J TOTAL</t>
  </si>
  <si>
    <t>BOULDER VALLEY RE- 2</t>
  </si>
  <si>
    <t xml:space="preserve">           BOULDER VALLEY RE- 2 TOTAL</t>
  </si>
  <si>
    <t>BUENA VISTA R-31</t>
  </si>
  <si>
    <t xml:space="preserve">           BUENA VISTA R-31 TOTAL</t>
  </si>
  <si>
    <t>SALIDA R-32(J)</t>
  </si>
  <si>
    <t xml:space="preserve">           SALIDA R-32(J) TOTAL</t>
  </si>
  <si>
    <t>KIT CARSON R-1</t>
  </si>
  <si>
    <t xml:space="preserve">           KIT CARSON R-1 TOTAL</t>
  </si>
  <si>
    <t>CHEYENNE RE-5</t>
  </si>
  <si>
    <t xml:space="preserve">           CHEYENNE RE-5 TOTAL</t>
  </si>
  <si>
    <t>CLEAR CREEK RE-1</t>
  </si>
  <si>
    <t xml:space="preserve">           CLEAR CREEK RE-1 TOTAL</t>
  </si>
  <si>
    <t>NORTH CONEJOS RE-1J</t>
  </si>
  <si>
    <t xml:space="preserve">           NORTH CONEJOS RE-1J TOTAL</t>
  </si>
  <si>
    <t xml:space="preserve">SANFORD 6J </t>
  </si>
  <si>
    <t xml:space="preserve">           SANFORD 6J  TOTAL</t>
  </si>
  <si>
    <t>SOUTH CONEJOS RE-10</t>
  </si>
  <si>
    <t xml:space="preserve">           SOUTH CONEJOS RE-10 TOTAL</t>
  </si>
  <si>
    <t>CENTENNIAL R-1</t>
  </si>
  <si>
    <t xml:space="preserve">           CENTENNIAL R-1  TOTAL</t>
  </si>
  <si>
    <t>SIERRA GRANDE R-30</t>
  </si>
  <si>
    <t xml:space="preserve">           SIERRA GRANDE R-30 TOTAL</t>
  </si>
  <si>
    <t>CROWLEY COUNTY RE-1-J</t>
  </si>
  <si>
    <t xml:space="preserve">           CROWLEY COUNTY RE-1-J TOTAL</t>
  </si>
  <si>
    <t>CUSTER COUNTY C1</t>
  </si>
  <si>
    <t xml:space="preserve">           CONSOLIDATED C-1 TOTAL</t>
  </si>
  <si>
    <t>DELTA COUNTY 50(J)</t>
  </si>
  <si>
    <t xml:space="preserve">           DELTA COUNTY 50(J) TOTAL</t>
  </si>
  <si>
    <t>DENVER COUNTY 1</t>
  </si>
  <si>
    <t xml:space="preserve">           DENVER COUNTY 1 TOTAL</t>
  </si>
  <si>
    <t>DOLORES RE NO.2</t>
  </si>
  <si>
    <t xml:space="preserve">           DOLORES COUNTY RE-2 TOTAL</t>
  </si>
  <si>
    <t>DOUGLAS COUNTY RE-1</t>
  </si>
  <si>
    <t xml:space="preserve">           DOUGLAS COUNTY RE-1 TOTAL</t>
  </si>
  <si>
    <t>EAGLE COUNTY RE 50</t>
  </si>
  <si>
    <t xml:space="preserve">           EAGLE COUNTY RE-50 TOTAL</t>
  </si>
  <si>
    <t>ELIZABETH C-1</t>
  </si>
  <si>
    <t xml:space="preserve">           ELIZABETH C-1 TOTAL</t>
  </si>
  <si>
    <t>KIOWA C-2</t>
  </si>
  <si>
    <t xml:space="preserve">           KIOWA C-2 TOTAL</t>
  </si>
  <si>
    <t>BIG SANDY 100J</t>
  </si>
  <si>
    <t xml:space="preserve">           BIG SANDY 100J TOTAL</t>
  </si>
  <si>
    <t>ELBERT 200</t>
  </si>
  <si>
    <t xml:space="preserve">           ELBERT 200 TOTAL</t>
  </si>
  <si>
    <t>AGATE 300</t>
  </si>
  <si>
    <t xml:space="preserve">           AGATE 300 TOTAL</t>
  </si>
  <si>
    <t>CALHAN RJ1</t>
  </si>
  <si>
    <t xml:space="preserve">           CALHAN RJ-1 TOTAL</t>
  </si>
  <si>
    <t>HARRISON 2</t>
  </si>
  <si>
    <t xml:space="preserve">           HARRISON 2 TOTAL</t>
  </si>
  <si>
    <t>WIDEFIELD 3</t>
  </si>
  <si>
    <t xml:space="preserve">           WIDEFIELD 3 TOTAL</t>
  </si>
  <si>
    <t>FOUNTAIN 8</t>
  </si>
  <si>
    <t xml:space="preserve">           FOUNTAIN 8 TOTAL</t>
  </si>
  <si>
    <t>COLORADO SPRINGS 11</t>
  </si>
  <si>
    <t xml:space="preserve">           COLORADO SPRINGS 11 TOTAL</t>
  </si>
  <si>
    <t>CHEYENNE MOUNTAIN 12</t>
  </si>
  <si>
    <t xml:space="preserve">           CHEYENNE MOUNTAIN 12 TOTAL</t>
  </si>
  <si>
    <t>MANITOU SPRINGS 14</t>
  </si>
  <si>
    <t xml:space="preserve">           MANITOU SPRINGS 14 TOTAL</t>
  </si>
  <si>
    <t>ACADEMY 20</t>
  </si>
  <si>
    <t xml:space="preserve">           ACADEMY 20 TOTAL</t>
  </si>
  <si>
    <t>ELLICOTT 22</t>
  </si>
  <si>
    <t xml:space="preserve">           ELLICOTT 22 TOTAL</t>
  </si>
  <si>
    <t>PEYTON 23JT</t>
  </si>
  <si>
    <t xml:space="preserve">           PEYTON 23JT TOTAL</t>
  </si>
  <si>
    <t>HANOVER 28</t>
  </si>
  <si>
    <t xml:space="preserve">           HANOVER 28 TOTAL</t>
  </si>
  <si>
    <t>LEWIS-PALMER 38</t>
  </si>
  <si>
    <t xml:space="preserve">           LEWIS-PALMER 38 TOTAL</t>
  </si>
  <si>
    <t xml:space="preserve">           FALCON 49 TOTAL</t>
  </si>
  <si>
    <t>EDISON 54JT</t>
  </si>
  <si>
    <t xml:space="preserve">           EDISON 54JT TOTAL</t>
  </si>
  <si>
    <t>MIAMI-YODER 60</t>
  </si>
  <si>
    <t xml:space="preserve">           MIAMI-YODER 60 TOTAL</t>
  </si>
  <si>
    <t>CANON CITY RE-1</t>
  </si>
  <si>
    <t xml:space="preserve">           CANON CITY RE-1 TOTAL</t>
  </si>
  <si>
    <t>FLORENCE RE-2</t>
  </si>
  <si>
    <t xml:space="preserve">           FLORENCE RE-2 TOTAL</t>
  </si>
  <si>
    <t>COTOPAXI RE-3</t>
  </si>
  <si>
    <t xml:space="preserve">           COTOPAXI RE-3 TOTAL</t>
  </si>
  <si>
    <t>ROARING FORK RE-1</t>
  </si>
  <si>
    <t xml:space="preserve">           ROARING FORK RE-1 TOTAL</t>
  </si>
  <si>
    <t>GARFIELD RE-2</t>
  </si>
  <si>
    <t xml:space="preserve">           GARFIELD RE-2 TOTAL</t>
  </si>
  <si>
    <t>GARFIELD 16</t>
  </si>
  <si>
    <t xml:space="preserve">           GARFIELD 16 TOTAL</t>
  </si>
  <si>
    <t>GILPIN COUNTY RE-1</t>
  </si>
  <si>
    <t xml:space="preserve">           GILPIN COUNTY RE-1 TOTAL</t>
  </si>
  <si>
    <t>WEST GRAND 1-JT</t>
  </si>
  <si>
    <t xml:space="preserve">           WEST GRAND 1-JT TOTAL</t>
  </si>
  <si>
    <t>EAST GRAND 2</t>
  </si>
  <si>
    <t xml:space="preserve">           EAST GRAND 2 TOTAL</t>
  </si>
  <si>
    <t>GUNNISON WATERSHED RE-1J</t>
  </si>
  <si>
    <t xml:space="preserve">           GUNNISON WATERSHED RE-1J TOTAL</t>
  </si>
  <si>
    <t>HINSDALE COUNTY RE-1</t>
  </si>
  <si>
    <t xml:space="preserve">           HINSDALE COUNTY RE-1 TOTAL</t>
  </si>
  <si>
    <t>HUERFANO RE-1</t>
  </si>
  <si>
    <t xml:space="preserve">           HUERFANO RE-1 TOTAL</t>
  </si>
  <si>
    <t>LA VETA RE-2</t>
  </si>
  <si>
    <t xml:space="preserve">           LA VETA RE-2 TOTAL</t>
  </si>
  <si>
    <t>NORTH PARK R-1</t>
  </si>
  <si>
    <t xml:space="preserve">           NORTH PARK R-1 TOTAL</t>
  </si>
  <si>
    <t>JEFFERSON COUNTY R-1</t>
  </si>
  <si>
    <t xml:space="preserve">           JEFFERSON COUNTY R-1 TOTAL</t>
  </si>
  <si>
    <t>EADS RE-1</t>
  </si>
  <si>
    <t xml:space="preserve">           EADS RE-1 TOTAL</t>
  </si>
  <si>
    <t>PLAINVIEW RE-2</t>
  </si>
  <si>
    <t xml:space="preserve">           PLAINVIEW RE-2 TOTAL</t>
  </si>
  <si>
    <t>ARRIBA-FLAGLER C-20</t>
  </si>
  <si>
    <t xml:space="preserve">           ARRIBA-FLAGLER C-20 TOTAL</t>
  </si>
  <si>
    <t>HI PLAINS R-23</t>
  </si>
  <si>
    <t xml:space="preserve">           HI PLAINS R-23 TOTAL</t>
  </si>
  <si>
    <t>STRATTON R-4</t>
  </si>
  <si>
    <t xml:space="preserve">           STRATTON R-4 TOTAL</t>
  </si>
  <si>
    <t>BETHUNE R-5</t>
  </si>
  <si>
    <t xml:space="preserve">           BETHUNE R-5 TOTAL</t>
  </si>
  <si>
    <t>BURLINGTON RE-6J</t>
  </si>
  <si>
    <t xml:space="preserve">           BURLINGTON RE-6J TOTAL</t>
  </si>
  <si>
    <t>LAKE COUNTY R-1</t>
  </si>
  <si>
    <t xml:space="preserve">           LAKE COUNTY R-1 TOTAL</t>
  </si>
  <si>
    <t>DURANGO 9-R</t>
  </si>
  <si>
    <t xml:space="preserve">           DURANGO 9-R TOTAL</t>
  </si>
  <si>
    <t>BAYFIELD 10 JT-R</t>
  </si>
  <si>
    <t xml:space="preserve">           BAYFIELD 10 JT-R TOTAL</t>
  </si>
  <si>
    <t>IGNACIO 11 JT</t>
  </si>
  <si>
    <t xml:space="preserve">           IGNACIO 11 JT TOTAL</t>
  </si>
  <si>
    <t>POUDRE R-1</t>
  </si>
  <si>
    <t xml:space="preserve">           POUDRE R-1 TOTAL</t>
  </si>
  <si>
    <t>THOMPSON R-2J</t>
  </si>
  <si>
    <t xml:space="preserve">           THOMPSON R-2J TOTAL</t>
  </si>
  <si>
    <t>PARK (ESTES PARK) R-3</t>
  </si>
  <si>
    <t xml:space="preserve">           PARK (ESTES PARK) R-3 TOTAL</t>
  </si>
  <si>
    <t>TRINIDAD 1</t>
  </si>
  <si>
    <t xml:space="preserve">           TRINIDAD 1 TOTAL</t>
  </si>
  <si>
    <t>PRIMERO REORGANIZED 2</t>
  </si>
  <si>
    <t xml:space="preserve">           PRIMERO REORGANIZED 2 TOTAL</t>
  </si>
  <si>
    <t>HOEHNE REORGANIZED 3</t>
  </si>
  <si>
    <t xml:space="preserve">           HOEHNE REORGANIZED 3 TOTAL</t>
  </si>
  <si>
    <t>AGUILAR REORGANIZED 6</t>
  </si>
  <si>
    <t xml:space="preserve">           AGUILAR REORGANIZED 6 TOTAL</t>
  </si>
  <si>
    <t>BRANSON REORGANIZED 82</t>
  </si>
  <si>
    <t xml:space="preserve">           BRANSON REORGANIZED 82 TOTAL</t>
  </si>
  <si>
    <t>KIM REORGANIZED 88</t>
  </si>
  <si>
    <t xml:space="preserve">           KIM REORGANIZED 88 TOTAL</t>
  </si>
  <si>
    <t>GENOA-HUGO C113</t>
  </si>
  <si>
    <t xml:space="preserve">           GENOA-HUGO C113 TOTAL</t>
  </si>
  <si>
    <t>LIMON RE-4J</t>
  </si>
  <si>
    <t xml:space="preserve">           LIMON RE-4J TOTAL</t>
  </si>
  <si>
    <t>KARVAL RE-23</t>
  </si>
  <si>
    <t xml:space="preserve">           KARVAL RE-23 TOTAL</t>
  </si>
  <si>
    <t>VALLEY RE-1</t>
  </si>
  <si>
    <t xml:space="preserve">           VALLEY RE-1 TOTAL</t>
  </si>
  <si>
    <t>FRENCHMAN RE-3</t>
  </si>
  <si>
    <t xml:space="preserve">           FRENCHMAN RE-3 TOTAL</t>
  </si>
  <si>
    <t>BUFFALO RE-4</t>
  </si>
  <si>
    <t xml:space="preserve">           BUFFALO RE-4 TOTAL</t>
  </si>
  <si>
    <t>PLATEAU RE-5</t>
  </si>
  <si>
    <t xml:space="preserve">           PLATEAU RE-5 TOTAL</t>
  </si>
  <si>
    <t>DE BEQUE 49JT</t>
  </si>
  <si>
    <t xml:space="preserve">           DE BEQUE 49JT TOTAL</t>
  </si>
  <si>
    <t>PLATEAU VALLEY 50</t>
  </si>
  <si>
    <t xml:space="preserve">           PLATEAU VALLEY 50 TOTAL</t>
  </si>
  <si>
    <t>MESA COUNTY VALLEY 51</t>
  </si>
  <si>
    <t xml:space="preserve">           MESA COUNTY VALLEY 51 TOTAL</t>
  </si>
  <si>
    <t>CREEDE CONSOLIDATED 1</t>
  </si>
  <si>
    <t xml:space="preserve">           CREEDE CONSOLIDATED 1 TOTAL</t>
  </si>
  <si>
    <t>MOFFAT COUNTY RE-1</t>
  </si>
  <si>
    <t xml:space="preserve">           MOFFAT COUNTY RE-1 TOTAL</t>
  </si>
  <si>
    <t>MONTEZUMA-CORTEZ RE-1</t>
  </si>
  <si>
    <t xml:space="preserve">           MONTEZUMA-CORTEZ RE-1 TOTAL</t>
  </si>
  <si>
    <t>DOLORES RE-4A</t>
  </si>
  <si>
    <t xml:space="preserve">           DOLORES RE-4A TOTAL</t>
  </si>
  <si>
    <t>MANCOS RE-6</t>
  </si>
  <si>
    <t xml:space="preserve">           MANCOS RE-6 TOTAL</t>
  </si>
  <si>
    <t>MONTROSE RE-1J</t>
  </si>
  <si>
    <t xml:space="preserve">           MONTROSE RE-1J TOTAL</t>
  </si>
  <si>
    <t>WEST END RE-2</t>
  </si>
  <si>
    <t xml:space="preserve">           WEST END RE-2 TOTAL</t>
  </si>
  <si>
    <t>BRUSH RE-2(J)</t>
  </si>
  <si>
    <t xml:space="preserve">           BRUSH RE-2(J) TOTAL</t>
  </si>
  <si>
    <t>FT. MORGAN RE-3</t>
  </si>
  <si>
    <t xml:space="preserve">          FT. MORGAN RE-3 TOTAL</t>
  </si>
  <si>
    <t>WELDON VALLEY RE-20(J)</t>
  </si>
  <si>
    <t xml:space="preserve">           WELDON VALLEY RE-20(J) TOTAL</t>
  </si>
  <si>
    <t>WIGGINS RE-50(J)</t>
  </si>
  <si>
    <t xml:space="preserve">           WIGGINS RE-50(J) TOTAL</t>
  </si>
  <si>
    <t>EAST OTERO R-1</t>
  </si>
  <si>
    <t xml:space="preserve">           EAST OTERO R-1 TOTAL</t>
  </si>
  <si>
    <t>ROCKY FORD R-2</t>
  </si>
  <si>
    <t xml:space="preserve">           ROCKY FORD R-2 TOTAL</t>
  </si>
  <si>
    <t>MANZANOLA 3J</t>
  </si>
  <si>
    <t xml:space="preserve">           MANZANOLA 3J TOTAL</t>
  </si>
  <si>
    <t>FOWLER R-4J</t>
  </si>
  <si>
    <t xml:space="preserve">           FOWLER R-4J TOTAL</t>
  </si>
  <si>
    <t>CHERAW 31</t>
  </si>
  <si>
    <t xml:space="preserve">           CHERAW 31 TOTAL</t>
  </si>
  <si>
    <t>SWINK 33</t>
  </si>
  <si>
    <t xml:space="preserve">           SWINK 33 TOTAL</t>
  </si>
  <si>
    <t>OURAY R-1</t>
  </si>
  <si>
    <t xml:space="preserve">           OURAY R-1 TOTAL</t>
  </si>
  <si>
    <t>RIDGWAY R-2</t>
  </si>
  <si>
    <t xml:space="preserve">           RIDGWAY R-2 TOTAL</t>
  </si>
  <si>
    <t>PLATTE CANYON R-1</t>
  </si>
  <si>
    <t xml:space="preserve">           PLATTE CANYON R-1 TOTAL</t>
  </si>
  <si>
    <t>PARK RE-2</t>
  </si>
  <si>
    <t xml:space="preserve">           PARK RE-2 TOTAL</t>
  </si>
  <si>
    <t>HOLYOKE RE-1J</t>
  </si>
  <si>
    <t xml:space="preserve">           HOLYOKE RE-1J TOTAL</t>
  </si>
  <si>
    <t>HAXTUN RE-2J</t>
  </si>
  <si>
    <t xml:space="preserve">           HAXTUN RE-2J TOTAL</t>
  </si>
  <si>
    <t>ASPEN 1</t>
  </si>
  <si>
    <t xml:space="preserve">           ASPEN 1 TOTAL</t>
  </si>
  <si>
    <t>GRANADA RE-1</t>
  </si>
  <si>
    <t xml:space="preserve">           GRANADA RE-1 TOTAL</t>
  </si>
  <si>
    <t>LAMAR RE-2</t>
  </si>
  <si>
    <t xml:space="preserve">           LAMAR RE-2 TOTAL</t>
  </si>
  <si>
    <t>HOLLY RE-3</t>
  </si>
  <si>
    <t xml:space="preserve">           HOLLY RE-3 TOTAL</t>
  </si>
  <si>
    <t>WILEY RE-13JT</t>
  </si>
  <si>
    <t xml:space="preserve">           WILEY RE-13JT TOTAL</t>
  </si>
  <si>
    <t>PUEBLO CITY SCHOOLS</t>
  </si>
  <si>
    <t xml:space="preserve">           PUEBLO CITY SCHOOLS TOTAL</t>
  </si>
  <si>
    <t>PUEBLO COUNTY 70</t>
  </si>
  <si>
    <t xml:space="preserve">           PUEBLO COUNTY 70 TOTAL</t>
  </si>
  <si>
    <t>MEEKER RE-1</t>
  </si>
  <si>
    <t xml:space="preserve">           MEEKER RE-1 TOTAL</t>
  </si>
  <si>
    <t>RANGELY RE-4</t>
  </si>
  <si>
    <t xml:space="preserve">           RANGELY RE-4 TOTAL</t>
  </si>
  <si>
    <t>DEL NORTE C-7</t>
  </si>
  <si>
    <t xml:space="preserve">           DEL NORTE C-7 TOTAL</t>
  </si>
  <si>
    <t>MONTE VISTA C-8</t>
  </si>
  <si>
    <t xml:space="preserve">           MONTE VISTA C-8 TOTAL</t>
  </si>
  <si>
    <t>SARGENT RE-33J</t>
  </si>
  <si>
    <t xml:space="preserve">           SARGENT RE-33J TOTAL</t>
  </si>
  <si>
    <t>HAYDEN RE-1</t>
  </si>
  <si>
    <t xml:space="preserve">           HAYDEN RE-1 TOTAL</t>
  </si>
  <si>
    <t>STEAMBOAT SPRINGS RE-2</t>
  </si>
  <si>
    <t xml:space="preserve">           STEAMBOAT SPRINGS RE-2 TOTAL</t>
  </si>
  <si>
    <t>SOUTH ROUTT RE-3</t>
  </si>
  <si>
    <t xml:space="preserve">           SOUTH ROUTT RE-3 TOTAL</t>
  </si>
  <si>
    <t>MOUNTAIN VALLEY RE-1</t>
  </si>
  <si>
    <t xml:space="preserve">           MOUNTAIN VALLEY RE-1 TOTAL</t>
  </si>
  <si>
    <t>MOFFAT 2</t>
  </si>
  <si>
    <t xml:space="preserve">           MOFFAT 2 TOTAL</t>
  </si>
  <si>
    <t>CENTER 26JT</t>
  </si>
  <si>
    <t xml:space="preserve">           CENTER 26JT TOTAL</t>
  </si>
  <si>
    <t>SILVERTON 1</t>
  </si>
  <si>
    <t xml:space="preserve">           SILVERTON 1 TOTAL</t>
  </si>
  <si>
    <t>TELLURIDE R-1</t>
  </si>
  <si>
    <t xml:space="preserve">           TELLURIDE R-1 TOTAL</t>
  </si>
  <si>
    <t>NORWOOD R-2J</t>
  </si>
  <si>
    <t xml:space="preserve">           NORWOOD R-2J TOTAL</t>
  </si>
  <si>
    <t>JULESBURG RE-1</t>
  </si>
  <si>
    <t xml:space="preserve">           JULESBURG RE-1 TOTAL</t>
  </si>
  <si>
    <t>PLATTE VALLEY RE-3</t>
  </si>
  <si>
    <t xml:space="preserve">           PLATTE VALLEY RE-3 TOTAL</t>
  </si>
  <si>
    <t>SUMMIT RE-1</t>
  </si>
  <si>
    <t xml:space="preserve">           SUMMIT RE-1 TOTAL</t>
  </si>
  <si>
    <t>CRIPPLE CREEK RE-1</t>
  </si>
  <si>
    <t xml:space="preserve">           CRIPPLE CREEK RE-1 TOTAL</t>
  </si>
  <si>
    <t>WOODLAND PARK RE-2</t>
  </si>
  <si>
    <t xml:space="preserve">           WOODLAND PARK RE-2 TOTAL</t>
  </si>
  <si>
    <t>AKRON R-1</t>
  </si>
  <si>
    <t xml:space="preserve">           AKRON R-1 TOTAL</t>
  </si>
  <si>
    <t>ARICKAREE R-2</t>
  </si>
  <si>
    <t xml:space="preserve">           ARICKAREE R-2 TOTAL</t>
  </si>
  <si>
    <t>OTIS R-3</t>
  </si>
  <si>
    <t xml:space="preserve">           OTIS R-3 TOTAL</t>
  </si>
  <si>
    <t>LONE STAR 101</t>
  </si>
  <si>
    <t xml:space="preserve">           LONE STAR 101 TOTAL</t>
  </si>
  <si>
    <t>WOODLIN R-104</t>
  </si>
  <si>
    <t xml:space="preserve">           WOODLIN R-104 TOTAL</t>
  </si>
  <si>
    <t>GILCREST RE-1</t>
  </si>
  <si>
    <t xml:space="preserve">           GILCREST RE-1 TOTAL</t>
  </si>
  <si>
    <t>EATON RE-2</t>
  </si>
  <si>
    <t xml:space="preserve">           EATON RE-2 TOTAL</t>
  </si>
  <si>
    <t>KEENESBURG RE-3(J)</t>
  </si>
  <si>
    <t xml:space="preserve">           KEENESBURG RE-3(J) TOTAL</t>
  </si>
  <si>
    <t>WINDSOR RE-4</t>
  </si>
  <si>
    <t xml:space="preserve">           WINDSOR RE-4 TOTAL</t>
  </si>
  <si>
    <t>JOHNSTOWN-MILLIKEN RE-5J</t>
  </si>
  <si>
    <t xml:space="preserve">           JOHNSTOWN-MILLIKEN RE-5J TOTAL</t>
  </si>
  <si>
    <t>GREELEY RE-6</t>
  </si>
  <si>
    <t xml:space="preserve">           GREELEY RE-6 TOTAL</t>
  </si>
  <si>
    <t>PLATTE VALLEY RE-7</t>
  </si>
  <si>
    <t xml:space="preserve">           PLATTE VALLEY RE-7 TOTAL</t>
  </si>
  <si>
    <t>FT. LUPTON RE-8</t>
  </si>
  <si>
    <t xml:space="preserve">           FT. LUPTON RE-8 TOTAL</t>
  </si>
  <si>
    <t>AULT-HIGHLAND RE-9</t>
  </si>
  <si>
    <t xml:space="preserve">           AULT-HIGHLAND RE-9 TOTAL</t>
  </si>
  <si>
    <t>BRIGGSDALE RE-10</t>
  </si>
  <si>
    <t xml:space="preserve">           BRIGGSDALE RE-10 TOTAL</t>
  </si>
  <si>
    <t>PRAIRIE RE-11</t>
  </si>
  <si>
    <t xml:space="preserve">           PRAIRIE RE-11 TOTAL</t>
  </si>
  <si>
    <t>PAWNEE RE-12</t>
  </si>
  <si>
    <t xml:space="preserve">           PAWNEE RE-12 TOTAL</t>
  </si>
  <si>
    <t xml:space="preserve">            YUMA 1 TOTAL</t>
  </si>
  <si>
    <t xml:space="preserve">           WRAY RD-2 TOTAL</t>
  </si>
  <si>
    <t xml:space="preserve">          IDALIA RJ-3 TOTAL</t>
  </si>
  <si>
    <t xml:space="preserve">           LIBERTY J-4 TOTAL</t>
  </si>
  <si>
    <t>STATE AVERAGE</t>
  </si>
  <si>
    <t>GROSS</t>
  </si>
  <si>
    <t>Mill Levy per HB20-1418</t>
  </si>
  <si>
    <t>Remaining Tax Credit</t>
  </si>
  <si>
    <t>* Tax credit will be 1.0 mills lower than prior year credit until credit is zero for district.</t>
  </si>
  <si>
    <t>* Net mills should equal prior year net plus one (or fraction if prior year credit was less than one).</t>
  </si>
  <si>
    <t>* The lesser of number of mills needed to get to total program, mill levy just prior to de-brucing year or 27 mills.</t>
  </si>
  <si>
    <t>Scanned and emailed copies are preferable. It is not necessary to mail original copy.</t>
  </si>
  <si>
    <t>If you need to mail a copy for any reason, send to:</t>
  </si>
  <si>
    <t>November 30, 2021</t>
  </si>
  <si>
    <t>As of November 30, 2021</t>
  </si>
  <si>
    <t>* This is calculated by subtracting the applicable amount of specific ownership taxes collected in the prior year from the estimated total program, then dividing by the net assessed valuation.</t>
  </si>
  <si>
    <t>Estimated Full Funding Mill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</si>
</sst>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#,##0.0"/>
    <numFmt numFmtId="166" formatCode="#,##0.000_);[Red]\(#,##0.000\)"/>
    <numFmt numFmtId="167" formatCode="#,##0.000_);\(#,##0.000\)"/>
    <numFmt numFmtId="168" formatCode="#,##0.000"/>
    <numFmt numFmtId="169" formatCode="#,##0.0_);\(#,##0.0\)"/>
    <numFmt numFmtId="170" formatCode="0.00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Tahoma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4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40">
    <xf numFmtId="0" fontId="0" fillId="0" borderId="0" xfId="0"/>
    <xf numFmtId="0" fontId="5" fillId="0" borderId="0" xfId="0" applyFont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8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/>
    <xf numFmtId="3" fontId="3" fillId="0" borderId="0" xfId="0" applyNumberFormat="1" applyFont="1" applyFill="1" applyBorder="1"/>
    <xf numFmtId="38" fontId="3" fillId="0" borderId="0" xfId="0" applyNumberFormat="1" applyFont="1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64" fontId="4" fillId="0" borderId="0" xfId="0" applyNumberFormat="1" applyFont="1" applyFill="1" applyBorder="1"/>
    <xf numFmtId="4" fontId="3" fillId="0" borderId="0" xfId="0" applyNumberFormat="1" applyFont="1" applyFill="1" applyBorder="1"/>
    <xf numFmtId="4" fontId="1" fillId="0" borderId="0" xfId="0" applyNumberFormat="1" applyFont="1" applyFill="1" applyBorder="1"/>
    <xf numFmtId="164" fontId="1" fillId="0" borderId="0" xfId="0" applyNumberFormat="1" applyFont="1" applyFill="1" applyBorder="1"/>
    <xf numFmtId="4" fontId="2" fillId="0" borderId="0" xfId="0" applyNumberFormat="1" applyFont="1" applyFill="1" applyBorder="1" applyAlignment="1">
      <alignment wrapText="1"/>
    </xf>
    <xf numFmtId="168" fontId="3" fillId="0" borderId="0" xfId="0" applyNumberFormat="1" applyFont="1" applyFill="1" applyBorder="1"/>
    <xf numFmtId="164" fontId="2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4" fontId="2" fillId="4" borderId="0" xfId="0" applyNumberFormat="1" applyFont="1" applyFill="1" applyBorder="1" applyAlignment="1">
      <alignment wrapText="1"/>
    </xf>
    <xf numFmtId="165" fontId="2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0" fontId="6" fillId="0" borderId="0" xfId="0" applyFont="1" applyFill="1" applyBorder="1"/>
    <xf numFmtId="168" fontId="6" fillId="0" borderId="0" xfId="0" applyNumberFormat="1" applyFont="1" applyFill="1" applyBorder="1"/>
    <xf numFmtId="0" fontId="0" fillId="0" borderId="0" xfId="0" applyFont="1"/>
    <xf numFmtId="0" fontId="9" fillId="0" borderId="0" xfId="0" applyFont="1" applyAlignment="1">
      <alignment horizontal="center"/>
    </xf>
    <xf numFmtId="49" fontId="9" fillId="2" borderId="4" xfId="0" quotePrefix="1" applyNumberFormat="1" applyFont="1" applyFill="1" applyBorder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164" fontId="8" fillId="0" borderId="1" xfId="0" applyNumberFormat="1" applyFont="1" applyBorder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11" fillId="0" borderId="0" xfId="0" applyFont="1"/>
    <xf numFmtId="3" fontId="8" fillId="0" borderId="1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right"/>
    </xf>
    <xf numFmtId="0" fontId="8" fillId="0" borderId="3" xfId="0" applyFont="1" applyBorder="1"/>
    <xf numFmtId="0" fontId="13" fillId="0" borderId="0" xfId="0" applyFont="1"/>
    <xf numFmtId="164" fontId="8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left" wrapText="1"/>
    </xf>
    <xf numFmtId="164" fontId="8" fillId="6" borderId="1" xfId="0" applyNumberFormat="1" applyFont="1" applyFill="1" applyBorder="1" applyAlignment="1">
      <alignment horizontal="right"/>
    </xf>
    <xf numFmtId="0" fontId="0" fillId="7" borderId="0" xfId="0" applyFill="1" applyAlignment="1">
      <alignment vertical="center" wrapText="1"/>
    </xf>
    <xf numFmtId="164" fontId="0" fillId="0" borderId="0" xfId="0" applyNumberFormat="1" applyFill="1" applyAlignment="1">
      <alignment vertical="top" wrapText="1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64" fontId="0" fillId="0" borderId="0" xfId="0" applyNumberFormat="1" applyFont="1"/>
    <xf numFmtId="0" fontId="14" fillId="0" borderId="0" xfId="2" applyAlignment="1">
      <alignment vertical="top" wrapText="1"/>
    </xf>
    <xf numFmtId="0" fontId="1" fillId="0" borderId="0" xfId="2" applyFont="1" applyAlignment="1">
      <alignment horizontal="center" vertical="top" wrapText="1"/>
    </xf>
    <xf numFmtId="0" fontId="15" fillId="0" borderId="0" xfId="2" applyFont="1" applyAlignment="1">
      <alignment horizontal="centerContinuous" vertical="top" wrapText="1"/>
    </xf>
    <xf numFmtId="0" fontId="14" fillId="0" borderId="0" xfId="2" applyAlignment="1">
      <alignment horizontal="center" vertical="top" wrapText="1"/>
    </xf>
    <xf numFmtId="0" fontId="14" fillId="0" borderId="0" xfId="2" applyAlignment="1">
      <alignment horizontal="center" vertical="top" textRotation="90" wrapText="1"/>
    </xf>
    <xf numFmtId="0" fontId="14" fillId="0" borderId="0" xfId="2" applyAlignment="1">
      <alignment wrapText="1"/>
    </xf>
    <xf numFmtId="0" fontId="14" fillId="0" borderId="0" xfId="2" applyAlignment="1">
      <alignment vertical="top"/>
    </xf>
    <xf numFmtId="0" fontId="1" fillId="0" borderId="0" xfId="2" applyFont="1" applyAlignment="1">
      <alignment horizontal="center" vertical="top"/>
    </xf>
    <xf numFmtId="0" fontId="14" fillId="0" borderId="0" xfId="2" applyAlignment="1">
      <alignment horizontal="center" vertical="top"/>
    </xf>
    <xf numFmtId="0" fontId="14" fillId="0" borderId="0" xfId="2"/>
    <xf numFmtId="0" fontId="1" fillId="0" borderId="0" xfId="2" applyFont="1" applyAlignment="1">
      <alignment vertical="top"/>
    </xf>
    <xf numFmtId="49" fontId="14" fillId="0" borderId="0" xfId="2" applyNumberFormat="1" applyAlignment="1">
      <alignment vertical="top"/>
    </xf>
    <xf numFmtId="0" fontId="1" fillId="0" borderId="0" xfId="2" applyFont="1" applyAlignment="1">
      <alignment horizontal="left" vertical="top"/>
    </xf>
    <xf numFmtId="164" fontId="14" fillId="0" borderId="0" xfId="2" applyNumberFormat="1" applyAlignment="1">
      <alignment vertical="top"/>
    </xf>
    <xf numFmtId="164" fontId="14" fillId="0" borderId="0" xfId="2" applyNumberFormat="1" applyAlignment="1">
      <alignment horizontal="center" vertical="top"/>
    </xf>
    <xf numFmtId="164" fontId="14" fillId="0" borderId="0" xfId="2" applyNumberFormat="1" applyAlignment="1">
      <alignment vertical="top" wrapText="1"/>
    </xf>
    <xf numFmtId="164" fontId="14" fillId="0" borderId="0" xfId="2" applyNumberFormat="1"/>
    <xf numFmtId="164" fontId="1" fillId="0" borderId="0" xfId="2" applyNumberFormat="1" applyFont="1" applyAlignment="1">
      <alignment horizontal="center" vertical="top"/>
    </xf>
    <xf numFmtId="164" fontId="1" fillId="0" borderId="0" xfId="2" applyNumberFormat="1" applyFont="1" applyAlignment="1">
      <alignment horizontal="center" vertical="top" wrapText="1"/>
    </xf>
    <xf numFmtId="164" fontId="14" fillId="0" borderId="0" xfId="2" applyNumberFormat="1" applyAlignment="1">
      <alignment horizontal="center" vertical="top" wrapText="1"/>
    </xf>
    <xf numFmtId="49" fontId="1" fillId="0" borderId="0" xfId="2" applyNumberFormat="1" applyFont="1" applyAlignment="1">
      <alignment vertical="top"/>
    </xf>
    <xf numFmtId="164" fontId="16" fillId="0" borderId="0" xfId="2" applyNumberFormat="1" applyFont="1" applyAlignment="1">
      <alignment vertical="top"/>
    </xf>
    <xf numFmtId="164" fontId="17" fillId="0" borderId="0" xfId="2" applyNumberFormat="1" applyFont="1" applyAlignment="1">
      <alignment horizontal="center" vertical="top"/>
    </xf>
    <xf numFmtId="164" fontId="16" fillId="0" borderId="0" xfId="2" applyNumberFormat="1" applyFont="1" applyAlignment="1">
      <alignment horizontal="center" vertical="top"/>
    </xf>
    <xf numFmtId="164" fontId="16" fillId="0" borderId="0" xfId="2" applyNumberFormat="1" applyFont="1"/>
    <xf numFmtId="0" fontId="16" fillId="0" borderId="0" xfId="2" applyFont="1"/>
    <xf numFmtId="43" fontId="0" fillId="0" borderId="0" xfId="3" applyFont="1"/>
    <xf numFmtId="0" fontId="3" fillId="8" borderId="0" xfId="0" applyFont="1" applyFill="1" applyBorder="1"/>
    <xf numFmtId="164" fontId="3" fillId="8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/>
    <xf numFmtId="0" fontId="1" fillId="0" borderId="0" xfId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9" fillId="0" borderId="0" xfId="1" applyFont="1"/>
    <xf numFmtId="0" fontId="20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4" fontId="19" fillId="0" borderId="0" xfId="1" applyNumberFormat="1" applyFont="1"/>
    <xf numFmtId="0" fontId="2" fillId="0" borderId="0" xfId="1" applyFont="1" applyAlignment="1">
      <alignment horizontal="left"/>
    </xf>
    <xf numFmtId="164" fontId="20" fillId="0" borderId="0" xfId="1" applyNumberFormat="1" applyFont="1" applyAlignment="1">
      <alignment horizontal="right"/>
    </xf>
    <xf numFmtId="0" fontId="20" fillId="0" borderId="0" xfId="1" applyFont="1" applyAlignment="1">
      <alignment horizontal="center"/>
    </xf>
    <xf numFmtId="164" fontId="2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38" fontId="20" fillId="0" borderId="0" xfId="1" applyNumberFormat="1" applyFont="1" applyAlignment="1">
      <alignment horizontal="right"/>
    </xf>
    <xf numFmtId="4" fontId="20" fillId="0" borderId="0" xfId="1" applyNumberFormat="1" applyFont="1" applyAlignment="1">
      <alignment horizontal="center"/>
    </xf>
    <xf numFmtId="0" fontId="2" fillId="0" borderId="0" xfId="1" applyFont="1"/>
    <xf numFmtId="38" fontId="20" fillId="0" borderId="0" xfId="1" applyNumberFormat="1" applyFont="1" applyAlignment="1">
      <alignment horizontal="center"/>
    </xf>
    <xf numFmtId="169" fontId="1" fillId="0" borderId="0" xfId="1" applyNumberFormat="1" applyAlignment="1">
      <alignment horizontal="left"/>
    </xf>
    <xf numFmtId="38" fontId="19" fillId="0" borderId="0" xfId="1" applyNumberFormat="1" applyFont="1"/>
    <xf numFmtId="37" fontId="1" fillId="0" borderId="0" xfId="1" applyNumberFormat="1"/>
    <xf numFmtId="5" fontId="2" fillId="0" borderId="0" xfId="1" applyNumberFormat="1" applyFont="1"/>
    <xf numFmtId="164" fontId="19" fillId="0" borderId="0" xfId="1" applyNumberFormat="1" applyFont="1"/>
    <xf numFmtId="164" fontId="1" fillId="0" borderId="0" xfId="1" applyNumberFormat="1"/>
    <xf numFmtId="43" fontId="1" fillId="0" borderId="0" xfId="1" applyNumberFormat="1"/>
    <xf numFmtId="4" fontId="1" fillId="0" borderId="0" xfId="1" applyNumberFormat="1"/>
    <xf numFmtId="5" fontId="1" fillId="0" borderId="0" xfId="1" applyNumberFormat="1"/>
    <xf numFmtId="0" fontId="1" fillId="0" borderId="0" xfId="1" quotePrefix="1"/>
    <xf numFmtId="38" fontId="1" fillId="0" borderId="0" xfId="1" applyNumberFormat="1"/>
    <xf numFmtId="4" fontId="1" fillId="0" borderId="0" xfId="1" applyNumberFormat="1" applyProtection="1">
      <protection locked="0"/>
    </xf>
    <xf numFmtId="4" fontId="1" fillId="0" borderId="0" xfId="1" applyNumberFormat="1" applyAlignment="1">
      <alignment horizontal="left"/>
    </xf>
    <xf numFmtId="4" fontId="1" fillId="0" borderId="0" xfId="1" quotePrefix="1" applyNumberFormat="1" applyAlignment="1" applyProtection="1">
      <alignment horizontal="left"/>
      <protection locked="0"/>
    </xf>
    <xf numFmtId="49" fontId="1" fillId="0" borderId="0" xfId="1" applyNumberFormat="1"/>
    <xf numFmtId="7" fontId="1" fillId="0" borderId="0" xfId="1" applyNumberFormat="1"/>
    <xf numFmtId="6" fontId="2" fillId="0" borderId="0" xfId="1" applyNumberFormat="1" applyFont="1"/>
    <xf numFmtId="170" fontId="1" fillId="0" borderId="0" xfId="1" applyNumberFormat="1"/>
    <xf numFmtId="38" fontId="2" fillId="0" borderId="0" xfId="1" applyNumberFormat="1" applyFont="1"/>
    <xf numFmtId="3" fontId="1" fillId="0" borderId="0" xfId="1" applyNumberFormat="1"/>
    <xf numFmtId="168" fontId="19" fillId="0" borderId="0" xfId="1" applyNumberFormat="1" applyFont="1"/>
    <xf numFmtId="3" fontId="19" fillId="0" borderId="0" xfId="1" applyNumberFormat="1" applyFont="1"/>
    <xf numFmtId="7" fontId="19" fillId="0" borderId="0" xfId="1" applyNumberFormat="1" applyFont="1"/>
    <xf numFmtId="3" fontId="1" fillId="0" borderId="0" xfId="1" applyNumberFormat="1" applyAlignment="1">
      <alignment horizontal="left"/>
    </xf>
    <xf numFmtId="43" fontId="0" fillId="0" borderId="0" xfId="4" applyFont="1"/>
    <xf numFmtId="8" fontId="1" fillId="0" borderId="0" xfId="1" applyNumberFormat="1"/>
    <xf numFmtId="8" fontId="19" fillId="0" borderId="0" xfId="1" applyNumberFormat="1" applyFont="1"/>
    <xf numFmtId="0" fontId="3" fillId="9" borderId="0" xfId="0" applyFont="1" applyFill="1" applyBorder="1"/>
    <xf numFmtId="164" fontId="3" fillId="9" borderId="0" xfId="0" applyNumberFormat="1" applyFont="1" applyFill="1" applyBorder="1" applyAlignment="1">
      <alignment horizontal="left"/>
    </xf>
    <xf numFmtId="0" fontId="22" fillId="0" borderId="0" xfId="5" applyFont="1"/>
    <xf numFmtId="0" fontId="0" fillId="0" borderId="0" xfId="0" applyFont="1" applyAlignment="1">
      <alignment vertical="center" wrapText="1"/>
    </xf>
    <xf numFmtId="38" fontId="3" fillId="8" borderId="0" xfId="0" applyNumberFormat="1" applyFont="1" applyFill="1" applyBorder="1"/>
    <xf numFmtId="0" fontId="3" fillId="10" borderId="0" xfId="0" applyFont="1" applyFill="1" applyBorder="1"/>
    <xf numFmtId="164" fontId="3" fillId="10" borderId="0" xfId="0" applyNumberFormat="1" applyFont="1" applyFill="1" applyBorder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4" fillId="0" borderId="0" xfId="2" applyAlignment="1">
      <alignment vertical="top" wrapText="1"/>
    </xf>
    <xf numFmtId="0" fontId="14" fillId="0" borderId="0" xfId="2" applyAlignment="1">
      <alignment vertical="top"/>
    </xf>
  </cellXfs>
  <cellStyles count="6">
    <cellStyle name="Comma" xfId="3" builtinId="3"/>
    <cellStyle name="Comma 2" xfId="4" xr:uid="{F188461F-C2E4-4282-9D30-E874A040DE4A}"/>
    <cellStyle name="Hyperlink" xfId="5" builtinId="8"/>
    <cellStyle name="Normal" xfId="0" builtinId="0"/>
    <cellStyle name="Normal 2" xfId="1" xr:uid="{00000000-0005-0000-0000-000001000000}"/>
    <cellStyle name="Normal 3" xfId="2" xr:uid="{F5FBDA3C-1DED-4494-A205-EC7931414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370415</xdr:colOff>
      <xdr:row>62</xdr:row>
      <xdr:rowOff>21160</xdr:rowOff>
    </xdr:from>
    <xdr:to>
      <xdr:col>6</xdr:col>
      <xdr:colOff>52916</xdr:colOff>
      <xdr:row>69</xdr:row>
      <xdr:rowOff>153282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DF22F5-F51E-4DF7-91A7-0314B4D8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5582" y="12551827"/>
          <a:ext cx="2317751" cy="1465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hle_t@cde.state.co.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zoomScale="90" zoomScaleNormal="90" workbookViewId="0">
      <selection activeCell="H2" sqref="H2"/>
    </sheetView>
  </sheetViews>
  <sheetFormatPr defaultColWidth="8.7109375" defaultRowHeight="15" x14ac:dyDescent="0.25"/>
  <cols>
    <col min="1" max="1" width="35.5703125" style="31" customWidth="1"/>
    <col min="2" max="2" width="2.7109375" style="31" customWidth="1"/>
    <col min="3" max="3" width="14.85546875" style="31" customWidth="1"/>
    <col min="4" max="4" width="27.140625" style="31" customWidth="1"/>
    <col min="5" max="5" width="5.85546875" style="31" customWidth="1"/>
    <col min="6" max="6" width="33.5703125" style="31" customWidth="1"/>
    <col min="7" max="7" width="2.5703125" style="26" customWidth="1"/>
    <col min="8" max="8" width="15.140625" style="26" bestFit="1" customWidth="1"/>
    <col min="9" max="9" width="97.140625" style="26" customWidth="1"/>
    <col min="10" max="16384" width="8.7109375" style="26"/>
  </cols>
  <sheetData>
    <row r="1" spans="1:9" ht="18.75" x14ac:dyDescent="0.4">
      <c r="A1" s="137" t="s">
        <v>262</v>
      </c>
      <c r="B1" s="137"/>
      <c r="C1" s="137"/>
      <c r="D1" s="137"/>
      <c r="E1" s="137"/>
      <c r="F1" s="137"/>
      <c r="H1" s="27" t="s">
        <v>286</v>
      </c>
    </row>
    <row r="2" spans="1:9" ht="18.75" x14ac:dyDescent="0.4">
      <c r="A2" s="137" t="s">
        <v>463</v>
      </c>
      <c r="B2" s="137"/>
      <c r="C2" s="137"/>
      <c r="D2" s="137"/>
      <c r="E2" s="137"/>
      <c r="F2" s="137"/>
      <c r="H2" s="28"/>
      <c r="I2" s="29" t="s">
        <v>287</v>
      </c>
    </row>
    <row r="3" spans="1:9" x14ac:dyDescent="0.25">
      <c r="A3" s="30" t="str">
        <f>IFERROR(VLOOKUP($H$2,Data!$A$1:$U$179,2,0),"")</f>
        <v/>
      </c>
      <c r="F3" s="30" t="str">
        <f>IFERROR(VLOOKUP($H$2,Data!$A$1:$U$179,3,0),"")</f>
        <v/>
      </c>
      <c r="I3" s="1" t="s">
        <v>475</v>
      </c>
    </row>
    <row r="4" spans="1:9" x14ac:dyDescent="0.25">
      <c r="A4" s="31" t="s">
        <v>263</v>
      </c>
      <c r="F4" s="31" t="s">
        <v>264</v>
      </c>
    </row>
    <row r="5" spans="1:9" s="34" customFormat="1" ht="43.5" x14ac:dyDescent="0.25">
      <c r="A5" s="32"/>
      <c r="B5" s="32"/>
      <c r="C5" s="32"/>
      <c r="D5" s="33" t="s">
        <v>467</v>
      </c>
      <c r="E5" s="32"/>
      <c r="F5" s="33" t="s">
        <v>265</v>
      </c>
      <c r="I5" s="136" t="s">
        <v>468</v>
      </c>
    </row>
    <row r="6" spans="1:9" s="34" customFormat="1" x14ac:dyDescent="0.25">
      <c r="A6" s="32" t="s">
        <v>266</v>
      </c>
      <c r="B6" s="32"/>
      <c r="C6" s="32"/>
      <c r="D6" s="35" t="s">
        <v>877</v>
      </c>
      <c r="E6" s="32"/>
      <c r="F6" s="35" t="s">
        <v>466</v>
      </c>
      <c r="I6" s="136"/>
    </row>
    <row r="8" spans="1:9" x14ac:dyDescent="0.25">
      <c r="A8" s="31" t="s">
        <v>446</v>
      </c>
      <c r="D8" s="36" t="str">
        <f>IFERROR(VLOOKUP($H$2,Data!$A$1:$Z$179,24,0),"")</f>
        <v/>
      </c>
      <c r="E8" s="37"/>
      <c r="F8" s="36"/>
      <c r="I8" s="26" t="s">
        <v>874</v>
      </c>
    </row>
    <row r="9" spans="1:9" x14ac:dyDescent="0.25">
      <c r="D9" s="47"/>
      <c r="E9" s="37"/>
      <c r="F9" s="47"/>
    </row>
    <row r="10" spans="1:9" x14ac:dyDescent="0.25">
      <c r="A10" s="31" t="s">
        <v>435</v>
      </c>
      <c r="D10" s="36" t="str">
        <f>IFERROR(VLOOKUP($H$2,Data!$A$1:$Z$179,25,0),"")</f>
        <v/>
      </c>
      <c r="E10" s="37"/>
      <c r="F10" s="36"/>
      <c r="I10" s="26" t="s">
        <v>436</v>
      </c>
    </row>
    <row r="11" spans="1:9" x14ac:dyDescent="0.25">
      <c r="D11" s="47"/>
      <c r="E11" s="37"/>
      <c r="F11" s="47"/>
      <c r="I11" s="26" t="s">
        <v>872</v>
      </c>
    </row>
    <row r="12" spans="1:9" ht="14.45" customHeight="1" x14ac:dyDescent="0.25">
      <c r="A12" s="31" t="s">
        <v>447</v>
      </c>
      <c r="D12" s="49" t="e">
        <f>D8-D10</f>
        <v>#VALUE!</v>
      </c>
      <c r="E12" s="37"/>
      <c r="F12" s="49">
        <f>F8-F10</f>
        <v>0</v>
      </c>
      <c r="I12" s="136" t="s">
        <v>873</v>
      </c>
    </row>
    <row r="13" spans="1:9" x14ac:dyDescent="0.25">
      <c r="A13" s="32" t="s">
        <v>437</v>
      </c>
      <c r="D13" s="38"/>
      <c r="E13" s="37"/>
      <c r="F13" s="38"/>
      <c r="I13" s="136"/>
    </row>
    <row r="14" spans="1:9" x14ac:dyDescent="0.25">
      <c r="A14" s="32"/>
      <c r="D14" s="38"/>
      <c r="E14" s="37"/>
      <c r="F14" s="38"/>
      <c r="I14" s="48"/>
    </row>
    <row r="15" spans="1:9" ht="30" x14ac:dyDescent="0.25">
      <c r="A15" s="31" t="s">
        <v>267</v>
      </c>
      <c r="D15" s="36" t="str">
        <f>IFERROR(VLOOKUP($H$2,Data!$A$1:$Z$179,8,0),"")</f>
        <v/>
      </c>
      <c r="E15" s="37"/>
      <c r="F15" s="36"/>
      <c r="H15" s="54"/>
      <c r="I15" s="48" t="s">
        <v>469</v>
      </c>
    </row>
    <row r="16" spans="1:9" x14ac:dyDescent="0.25">
      <c r="D16" s="47"/>
      <c r="E16" s="37"/>
      <c r="F16" s="47"/>
    </row>
    <row r="17" spans="1:9" ht="15" customHeight="1" x14ac:dyDescent="0.25">
      <c r="A17" s="31" t="s">
        <v>442</v>
      </c>
      <c r="D17" s="36" t="str">
        <f>IFERROR(VLOOKUP($H$2,Data!$A$1:$Z$179,9,0),"")</f>
        <v/>
      </c>
      <c r="E17" s="37"/>
      <c r="F17" s="36"/>
      <c r="I17" s="135" t="s">
        <v>470</v>
      </c>
    </row>
    <row r="18" spans="1:9" x14ac:dyDescent="0.25">
      <c r="D18" s="47"/>
      <c r="E18" s="37"/>
      <c r="F18" s="47"/>
      <c r="I18" s="135"/>
    </row>
    <row r="19" spans="1:9" ht="15.75" thickBot="1" x14ac:dyDescent="0.3">
      <c r="A19" s="31" t="s">
        <v>445</v>
      </c>
      <c r="D19" s="40" t="e">
        <f>D12-D15-D17</f>
        <v>#VALUE!</v>
      </c>
      <c r="E19" s="37"/>
      <c r="F19" s="40">
        <f>F12-F15-F17</f>
        <v>0</v>
      </c>
      <c r="I19" s="135"/>
    </row>
    <row r="20" spans="1:9" ht="15.75" thickTop="1" x14ac:dyDescent="0.25">
      <c r="D20" s="47"/>
      <c r="E20" s="37"/>
      <c r="F20" s="47"/>
      <c r="I20" s="135"/>
    </row>
    <row r="21" spans="1:9" x14ac:dyDescent="0.25">
      <c r="A21" s="31" t="s">
        <v>443</v>
      </c>
      <c r="D21" s="38"/>
      <c r="E21" s="37"/>
      <c r="F21" s="38"/>
    </row>
    <row r="22" spans="1:9" x14ac:dyDescent="0.25">
      <c r="A22" s="31" t="s">
        <v>268</v>
      </c>
      <c r="D22" s="36" t="str">
        <f>IFERROR(VLOOKUP($H$2,Data!$A$1:$Z$179,12,0),"")</f>
        <v/>
      </c>
      <c r="E22" s="37"/>
      <c r="F22" s="39"/>
      <c r="I22" s="135" t="s">
        <v>471</v>
      </c>
    </row>
    <row r="23" spans="1:9" x14ac:dyDescent="0.25">
      <c r="D23" s="38"/>
      <c r="E23" s="37"/>
      <c r="F23" s="38"/>
      <c r="I23" s="135"/>
    </row>
    <row r="24" spans="1:9" x14ac:dyDescent="0.25">
      <c r="A24" s="31" t="s">
        <v>269</v>
      </c>
      <c r="D24" s="36" t="str">
        <f>IFERROR(VLOOKUP($H$2,Data!$A$1:$Z$179,10,0),"")</f>
        <v/>
      </c>
      <c r="E24" s="37"/>
      <c r="F24" s="36"/>
    </row>
    <row r="25" spans="1:9" x14ac:dyDescent="0.25">
      <c r="D25" s="38"/>
      <c r="E25" s="37"/>
      <c r="F25" s="38"/>
    </row>
    <row r="26" spans="1:9" x14ac:dyDescent="0.25">
      <c r="A26" s="31" t="s">
        <v>270</v>
      </c>
      <c r="D26" s="36" t="str">
        <f>IFERROR(VLOOKUP($H$2,Data!$A$1:$Z$179,11,0),"")</f>
        <v/>
      </c>
      <c r="E26" s="37"/>
      <c r="F26" s="36"/>
    </row>
    <row r="27" spans="1:9" x14ac:dyDescent="0.25">
      <c r="D27" s="38"/>
      <c r="E27" s="37"/>
      <c r="F27" s="38"/>
    </row>
    <row r="28" spans="1:9" x14ac:dyDescent="0.25">
      <c r="A28" s="31" t="s">
        <v>444</v>
      </c>
      <c r="D28" s="36" t="str">
        <f>IFERROR(VLOOKUP($H$2,Data!$A$1:$Z$179,13,0),"")</f>
        <v/>
      </c>
      <c r="E28" s="37"/>
      <c r="F28" s="36"/>
    </row>
    <row r="29" spans="1:9" x14ac:dyDescent="0.25">
      <c r="D29" s="38"/>
      <c r="E29" s="37"/>
      <c r="F29" s="38"/>
    </row>
    <row r="30" spans="1:9" ht="15.75" thickBot="1" x14ac:dyDescent="0.3">
      <c r="A30" s="31" t="s">
        <v>456</v>
      </c>
      <c r="D30" s="40" t="e">
        <f>SUM(D15:D28)</f>
        <v>#VALUE!</v>
      </c>
      <c r="E30" s="37"/>
      <c r="F30" s="40">
        <f>SUM(F15:F28)</f>
        <v>0</v>
      </c>
    </row>
    <row r="31" spans="1:9" ht="15.75" thickTop="1" x14ac:dyDescent="0.25">
      <c r="D31" s="38"/>
      <c r="E31" s="37"/>
      <c r="F31" s="38"/>
    </row>
    <row r="32" spans="1:9" x14ac:dyDescent="0.25">
      <c r="A32" s="31" t="s">
        <v>457</v>
      </c>
      <c r="D32" s="39"/>
      <c r="E32" s="37"/>
      <c r="F32" s="39"/>
      <c r="I32" s="26" t="s">
        <v>472</v>
      </c>
    </row>
    <row r="33" spans="1:8" x14ac:dyDescent="0.25">
      <c r="D33" s="38"/>
      <c r="E33" s="37"/>
      <c r="F33" s="38"/>
    </row>
    <row r="34" spans="1:8" x14ac:dyDescent="0.25">
      <c r="A34" s="31" t="s">
        <v>458</v>
      </c>
      <c r="D34" s="36" t="str">
        <f>IFERROR(VLOOKUP($H$2,Data!$A$1:$Z$179,19,0),"")</f>
        <v/>
      </c>
      <c r="E34" s="37"/>
      <c r="F34" s="36"/>
    </row>
    <row r="35" spans="1:8" x14ac:dyDescent="0.25">
      <c r="D35" s="38"/>
      <c r="E35" s="37"/>
      <c r="F35" s="38"/>
    </row>
    <row r="36" spans="1:8" x14ac:dyDescent="0.25">
      <c r="A36" s="31" t="s">
        <v>459</v>
      </c>
      <c r="D36" s="38"/>
      <c r="E36" s="37"/>
      <c r="F36" s="38" t="s">
        <v>271</v>
      </c>
    </row>
    <row r="37" spans="1:8" x14ac:dyDescent="0.25">
      <c r="A37" s="31" t="s">
        <v>272</v>
      </c>
      <c r="D37" s="36" t="str">
        <f>IFERROR(VLOOKUP($H$2,Data!$A$1:$Z$179,20,0),"")</f>
        <v/>
      </c>
      <c r="E37" s="37"/>
      <c r="F37" s="36"/>
    </row>
    <row r="38" spans="1:8" x14ac:dyDescent="0.25">
      <c r="D38" s="38"/>
      <c r="E38" s="37"/>
      <c r="F38" s="38"/>
    </row>
    <row r="39" spans="1:8" x14ac:dyDescent="0.25">
      <c r="A39" s="31" t="s">
        <v>460</v>
      </c>
      <c r="D39" s="36" t="str">
        <f>IFERROR(VLOOKUP($H$2,Data!$A$1:$Z$179,21,0),"")</f>
        <v/>
      </c>
      <c r="E39" s="37"/>
      <c r="F39" s="36"/>
    </row>
    <row r="40" spans="1:8" x14ac:dyDescent="0.25">
      <c r="D40" s="37"/>
      <c r="E40" s="37"/>
      <c r="F40" s="38"/>
    </row>
    <row r="41" spans="1:8" ht="15.75" thickBot="1" x14ac:dyDescent="0.3">
      <c r="A41" s="31" t="s">
        <v>461</v>
      </c>
      <c r="D41" s="40" t="e">
        <f>SUM(D30:D39)</f>
        <v>#VALUE!</v>
      </c>
      <c r="E41" s="37"/>
      <c r="F41" s="40">
        <f>SUM(F30:F39)</f>
        <v>0</v>
      </c>
    </row>
    <row r="42" spans="1:8" ht="15.75" thickTop="1" x14ac:dyDescent="0.25"/>
    <row r="43" spans="1:8" x14ac:dyDescent="0.25">
      <c r="A43" s="41" t="s">
        <v>273</v>
      </c>
      <c r="D43" s="31" t="s">
        <v>878</v>
      </c>
      <c r="F43" s="31" t="s">
        <v>464</v>
      </c>
    </row>
    <row r="45" spans="1:8" x14ac:dyDescent="0.25">
      <c r="A45" s="31" t="s">
        <v>274</v>
      </c>
      <c r="D45" s="42" t="str">
        <f>IFERROR(VLOOKUP($H$2,Data!$A$1:$Z$179,4,0),"")</f>
        <v/>
      </c>
      <c r="E45" s="44"/>
      <c r="F45" s="42"/>
    </row>
    <row r="46" spans="1:8" x14ac:dyDescent="0.25">
      <c r="D46" s="52"/>
      <c r="E46" s="53"/>
      <c r="F46" s="52"/>
      <c r="H46" s="81"/>
    </row>
    <row r="47" spans="1:8" x14ac:dyDescent="0.25">
      <c r="A47" s="31" t="s">
        <v>275</v>
      </c>
      <c r="D47" s="42" t="str">
        <f>IFERROR(VLOOKUP($H$2,Data!$A$1:$Z$179,5,0),"")</f>
        <v/>
      </c>
      <c r="E47" s="44"/>
      <c r="F47" s="42"/>
    </row>
    <row r="48" spans="1:8" x14ac:dyDescent="0.25">
      <c r="D48" s="52"/>
      <c r="E48" s="53"/>
      <c r="F48" s="52"/>
    </row>
    <row r="49" spans="1:9" x14ac:dyDescent="0.25">
      <c r="A49" s="31" t="s">
        <v>276</v>
      </c>
      <c r="D49" s="42">
        <f>SUM(D45:D47)</f>
        <v>0</v>
      </c>
      <c r="E49" s="44"/>
      <c r="F49" s="42">
        <f>SUM(F45:F47)</f>
        <v>0</v>
      </c>
    </row>
    <row r="50" spans="1:9" x14ac:dyDescent="0.25">
      <c r="D50" s="52"/>
      <c r="E50" s="44"/>
      <c r="F50" s="52"/>
    </row>
    <row r="51" spans="1:9" x14ac:dyDescent="0.25">
      <c r="A51" s="31" t="s">
        <v>277</v>
      </c>
      <c r="D51" s="42" t="str">
        <f>IFERROR(VLOOKUP($H$2,Data!$A$1:$Z$179,18,0),"")</f>
        <v/>
      </c>
      <c r="E51" s="44"/>
      <c r="F51" s="42"/>
    </row>
    <row r="52" spans="1:9" x14ac:dyDescent="0.25">
      <c r="A52" s="31" t="s">
        <v>278</v>
      </c>
    </row>
    <row r="53" spans="1:9" x14ac:dyDescent="0.25">
      <c r="D53" s="31" t="s">
        <v>271</v>
      </c>
    </row>
    <row r="54" spans="1:9" x14ac:dyDescent="0.25">
      <c r="A54" s="43" t="s">
        <v>434</v>
      </c>
    </row>
    <row r="55" spans="1:9" ht="30" x14ac:dyDescent="0.25">
      <c r="A55" s="31" t="s">
        <v>880</v>
      </c>
      <c r="D55" s="36" t="str">
        <f>IFERROR(VLOOKUP($H$2,Data!$A$1:$Z$179,15,0),"")</f>
        <v/>
      </c>
      <c r="E55" s="44"/>
      <c r="F55" s="36" t="str">
        <f>IFERROR(VLOOKUP($H$2,Data!$A$1:$Z$179,15,0),"")</f>
        <v/>
      </c>
      <c r="I55" s="131" t="s">
        <v>879</v>
      </c>
    </row>
    <row r="56" spans="1:9" x14ac:dyDescent="0.25">
      <c r="D56" s="47"/>
      <c r="E56" s="53"/>
      <c r="F56" s="47"/>
      <c r="I56" s="131"/>
    </row>
    <row r="57" spans="1:9" x14ac:dyDescent="0.25">
      <c r="A57" s="31" t="s">
        <v>440</v>
      </c>
      <c r="D57" s="42" t="str">
        <f>IFERROR(VLOOKUP($H$2,Data!$A$1:$Z$179,17,0),"")</f>
        <v/>
      </c>
      <c r="E57" s="44"/>
      <c r="F57" s="42" t="str">
        <f>IFERROR(VLOOKUP($H$2,Data!$A$1:$Z$179,17,0),"")</f>
        <v/>
      </c>
    </row>
    <row r="60" spans="1:9" ht="15.75" thickBot="1" x14ac:dyDescent="0.3">
      <c r="A60" s="45"/>
      <c r="D60" s="45"/>
    </row>
    <row r="61" spans="1:9" x14ac:dyDescent="0.25">
      <c r="A61" s="31" t="s">
        <v>279</v>
      </c>
      <c r="D61" s="31" t="s">
        <v>280</v>
      </c>
    </row>
    <row r="63" spans="1:9" x14ac:dyDescent="0.25">
      <c r="A63" s="43" t="s">
        <v>465</v>
      </c>
    </row>
    <row r="64" spans="1:9" x14ac:dyDescent="0.25">
      <c r="A64" s="46" t="s">
        <v>875</v>
      </c>
    </row>
    <row r="65" spans="1:6" x14ac:dyDescent="0.25">
      <c r="A65" s="130" t="s">
        <v>285</v>
      </c>
    </row>
    <row r="66" spans="1:6" x14ac:dyDescent="0.25">
      <c r="A66" s="46" t="s">
        <v>876</v>
      </c>
    </row>
    <row r="67" spans="1:6" x14ac:dyDescent="0.25">
      <c r="A67" s="31" t="s">
        <v>281</v>
      </c>
    </row>
    <row r="68" spans="1:6" x14ac:dyDescent="0.25">
      <c r="A68" s="31" t="s">
        <v>282</v>
      </c>
      <c r="F68" s="26"/>
    </row>
    <row r="69" spans="1:6" x14ac:dyDescent="0.25">
      <c r="A69" s="31" t="s">
        <v>283</v>
      </c>
      <c r="F69" s="26"/>
    </row>
    <row r="70" spans="1:6" x14ac:dyDescent="0.25">
      <c r="A70" s="31" t="s">
        <v>284</v>
      </c>
      <c r="F70" s="26"/>
    </row>
  </sheetData>
  <mergeCells count="7">
    <mergeCell ref="I22:I23"/>
    <mergeCell ref="I5:I6"/>
    <mergeCell ref="A1:F1"/>
    <mergeCell ref="A2:F2"/>
    <mergeCell ref="I19:I20"/>
    <mergeCell ref="I12:I13"/>
    <mergeCell ref="I17:I18"/>
  </mergeCells>
  <hyperlinks>
    <hyperlink ref="A65" r:id="rId1" xr:uid="{86638884-9983-4798-9AFD-E3762E169D46}"/>
  </hyperlinks>
  <pageMargins left="0.75" right="0.25" top="0.25" bottom="0.5" header="0.3" footer="0.3"/>
  <pageSetup scale="6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5"/>
  <sheetViews>
    <sheetView workbookViewId="0">
      <pane xSplit="3" ySplit="1" topLeftCell="D150" activePane="bottomRight" state="frozen"/>
      <selection pane="topRight" activeCell="E1" sqref="E1"/>
      <selection pane="bottomLeft" activeCell="A2" sqref="A2"/>
      <selection pane="bottomRight" activeCell="D155" sqref="D155"/>
    </sheetView>
  </sheetViews>
  <sheetFormatPr defaultRowHeight="12.75" x14ac:dyDescent="0.2"/>
  <cols>
    <col min="1" max="1" width="6.140625" style="6" bestFit="1" customWidth="1"/>
    <col min="2" max="2" width="14.28515625" style="6" bestFit="1" customWidth="1"/>
    <col min="3" max="3" width="21.85546875" style="6" bestFit="1" customWidth="1"/>
    <col min="4" max="4" width="15.42578125" style="6" bestFit="1" customWidth="1"/>
    <col min="5" max="5" width="14" style="6" bestFit="1" customWidth="1"/>
    <col min="6" max="6" width="16.42578125" style="6" bestFit="1" customWidth="1"/>
    <col min="7" max="7" width="9.85546875" style="8" bestFit="1" customWidth="1"/>
    <col min="8" max="8" width="8.85546875" style="6" bestFit="1" customWidth="1"/>
    <col min="9" max="9" width="9.140625" style="6" customWidth="1"/>
    <col min="10" max="10" width="11.42578125" style="6" bestFit="1" customWidth="1"/>
    <col min="11" max="11" width="10.5703125" style="6" bestFit="1" customWidth="1"/>
    <col min="12" max="12" width="11.42578125" style="6" bestFit="1" customWidth="1"/>
    <col min="13" max="13" width="12.42578125" style="6" bestFit="1" customWidth="1"/>
    <col min="14" max="14" width="9.140625" style="6" bestFit="1" customWidth="1"/>
    <col min="15" max="15" width="12.5703125" style="6" bestFit="1" customWidth="1"/>
    <col min="16" max="16" width="15.42578125" style="6" bestFit="1" customWidth="1"/>
    <col min="17" max="17" width="16.42578125" style="14" bestFit="1" customWidth="1"/>
    <col min="18" max="18" width="13.85546875" style="14" bestFit="1" customWidth="1"/>
    <col min="19" max="19" width="8.7109375" style="6" bestFit="1" customWidth="1"/>
    <col min="20" max="20" width="6.7109375" style="6" bestFit="1" customWidth="1"/>
    <col min="21" max="21" width="6.140625" style="16" bestFit="1" customWidth="1"/>
    <col min="22" max="22" width="9.28515625" style="24" bestFit="1" customWidth="1"/>
    <col min="23" max="23" width="10.42578125" style="24" bestFit="1" customWidth="1"/>
    <col min="24" max="24" width="11.28515625" style="25" bestFit="1" customWidth="1"/>
    <col min="25" max="25" width="10.28515625" style="24" customWidth="1"/>
    <col min="26" max="26" width="9.140625" style="25"/>
    <col min="27" max="253" width="9.140625" style="24"/>
    <col min="254" max="254" width="6.140625" style="24" bestFit="1" customWidth="1"/>
    <col min="255" max="255" width="14.28515625" style="24" bestFit="1" customWidth="1"/>
    <col min="256" max="256" width="21.85546875" style="24" bestFit="1" customWidth="1"/>
    <col min="257" max="257" width="0" style="24" hidden="1" customWidth="1"/>
    <col min="258" max="258" width="16.42578125" style="24" bestFit="1" customWidth="1"/>
    <col min="259" max="259" width="14" style="24" bestFit="1" customWidth="1"/>
    <col min="260" max="260" width="15.42578125" style="24" bestFit="1" customWidth="1"/>
    <col min="261" max="261" width="9.85546875" style="24" bestFit="1" customWidth="1"/>
    <col min="262" max="262" width="8.85546875" style="24" bestFit="1" customWidth="1"/>
    <col min="263" max="263" width="11.42578125" style="24" bestFit="1" customWidth="1"/>
    <col min="264" max="264" width="10.5703125" style="24" bestFit="1" customWidth="1"/>
    <col min="265" max="265" width="11.42578125" style="24" bestFit="1" customWidth="1"/>
    <col min="266" max="266" width="12.42578125" style="24" bestFit="1" customWidth="1"/>
    <col min="267" max="267" width="9.140625" style="24" bestFit="1" customWidth="1"/>
    <col min="268" max="268" width="12.5703125" style="24" bestFit="1" customWidth="1"/>
    <col min="269" max="269" width="16.42578125" style="24" bestFit="1" customWidth="1"/>
    <col min="270" max="270" width="13.85546875" style="24" bestFit="1" customWidth="1"/>
    <col min="271" max="271" width="8.7109375" style="24" bestFit="1" customWidth="1"/>
    <col min="272" max="272" width="6.7109375" style="24" bestFit="1" customWidth="1"/>
    <col min="273" max="273" width="9.140625" style="24" customWidth="1"/>
    <col min="274" max="274" width="6.140625" style="24" bestFit="1" customWidth="1"/>
    <col min="275" max="275" width="9.28515625" style="24" bestFit="1" customWidth="1"/>
    <col min="276" max="276" width="10.42578125" style="24" bestFit="1" customWidth="1"/>
    <col min="277" max="509" width="9.140625" style="24"/>
    <col min="510" max="510" width="6.140625" style="24" bestFit="1" customWidth="1"/>
    <col min="511" max="511" width="14.28515625" style="24" bestFit="1" customWidth="1"/>
    <col min="512" max="512" width="21.85546875" style="24" bestFit="1" customWidth="1"/>
    <col min="513" max="513" width="0" style="24" hidden="1" customWidth="1"/>
    <col min="514" max="514" width="16.42578125" style="24" bestFit="1" customWidth="1"/>
    <col min="515" max="515" width="14" style="24" bestFit="1" customWidth="1"/>
    <col min="516" max="516" width="15.42578125" style="24" bestFit="1" customWidth="1"/>
    <col min="517" max="517" width="9.85546875" style="24" bestFit="1" customWidth="1"/>
    <col min="518" max="518" width="8.85546875" style="24" bestFit="1" customWidth="1"/>
    <col min="519" max="519" width="11.42578125" style="24" bestFit="1" customWidth="1"/>
    <col min="520" max="520" width="10.5703125" style="24" bestFit="1" customWidth="1"/>
    <col min="521" max="521" width="11.42578125" style="24" bestFit="1" customWidth="1"/>
    <col min="522" max="522" width="12.42578125" style="24" bestFit="1" customWidth="1"/>
    <col min="523" max="523" width="9.140625" style="24" bestFit="1" customWidth="1"/>
    <col min="524" max="524" width="12.5703125" style="24" bestFit="1" customWidth="1"/>
    <col min="525" max="525" width="16.42578125" style="24" bestFit="1" customWidth="1"/>
    <col min="526" max="526" width="13.85546875" style="24" bestFit="1" customWidth="1"/>
    <col min="527" max="527" width="8.7109375" style="24" bestFit="1" customWidth="1"/>
    <col min="528" max="528" width="6.7109375" style="24" bestFit="1" customWidth="1"/>
    <col min="529" max="529" width="9.140625" style="24" customWidth="1"/>
    <col min="530" max="530" width="6.140625" style="24" bestFit="1" customWidth="1"/>
    <col min="531" max="531" width="9.28515625" style="24" bestFit="1" customWidth="1"/>
    <col min="532" max="532" width="10.42578125" style="24" bestFit="1" customWidth="1"/>
    <col min="533" max="765" width="9.140625" style="24"/>
    <col min="766" max="766" width="6.140625" style="24" bestFit="1" customWidth="1"/>
    <col min="767" max="767" width="14.28515625" style="24" bestFit="1" customWidth="1"/>
    <col min="768" max="768" width="21.85546875" style="24" bestFit="1" customWidth="1"/>
    <col min="769" max="769" width="0" style="24" hidden="1" customWidth="1"/>
    <col min="770" max="770" width="16.42578125" style="24" bestFit="1" customWidth="1"/>
    <col min="771" max="771" width="14" style="24" bestFit="1" customWidth="1"/>
    <col min="772" max="772" width="15.42578125" style="24" bestFit="1" customWidth="1"/>
    <col min="773" max="773" width="9.85546875" style="24" bestFit="1" customWidth="1"/>
    <col min="774" max="774" width="8.85546875" style="24" bestFit="1" customWidth="1"/>
    <col min="775" max="775" width="11.42578125" style="24" bestFit="1" customWidth="1"/>
    <col min="776" max="776" width="10.5703125" style="24" bestFit="1" customWidth="1"/>
    <col min="777" max="777" width="11.42578125" style="24" bestFit="1" customWidth="1"/>
    <col min="778" max="778" width="12.42578125" style="24" bestFit="1" customWidth="1"/>
    <col min="779" max="779" width="9.140625" style="24" bestFit="1" customWidth="1"/>
    <col min="780" max="780" width="12.5703125" style="24" bestFit="1" customWidth="1"/>
    <col min="781" max="781" width="16.42578125" style="24" bestFit="1" customWidth="1"/>
    <col min="782" max="782" width="13.85546875" style="24" bestFit="1" customWidth="1"/>
    <col min="783" max="783" width="8.7109375" style="24" bestFit="1" customWidth="1"/>
    <col min="784" max="784" width="6.7109375" style="24" bestFit="1" customWidth="1"/>
    <col min="785" max="785" width="9.140625" style="24" customWidth="1"/>
    <col min="786" max="786" width="6.140625" style="24" bestFit="1" customWidth="1"/>
    <col min="787" max="787" width="9.28515625" style="24" bestFit="1" customWidth="1"/>
    <col min="788" max="788" width="10.42578125" style="24" bestFit="1" customWidth="1"/>
    <col min="789" max="1021" width="9.140625" style="24"/>
    <col min="1022" max="1022" width="6.140625" style="24" bestFit="1" customWidth="1"/>
    <col min="1023" max="1023" width="14.28515625" style="24" bestFit="1" customWidth="1"/>
    <col min="1024" max="1024" width="21.85546875" style="24" bestFit="1" customWidth="1"/>
    <col min="1025" max="1025" width="0" style="24" hidden="1" customWidth="1"/>
    <col min="1026" max="1026" width="16.42578125" style="24" bestFit="1" customWidth="1"/>
    <col min="1027" max="1027" width="14" style="24" bestFit="1" customWidth="1"/>
    <col min="1028" max="1028" width="15.42578125" style="24" bestFit="1" customWidth="1"/>
    <col min="1029" max="1029" width="9.85546875" style="24" bestFit="1" customWidth="1"/>
    <col min="1030" max="1030" width="8.85546875" style="24" bestFit="1" customWidth="1"/>
    <col min="1031" max="1031" width="11.42578125" style="24" bestFit="1" customWidth="1"/>
    <col min="1032" max="1032" width="10.5703125" style="24" bestFit="1" customWidth="1"/>
    <col min="1033" max="1033" width="11.42578125" style="24" bestFit="1" customWidth="1"/>
    <col min="1034" max="1034" width="12.42578125" style="24" bestFit="1" customWidth="1"/>
    <col min="1035" max="1035" width="9.140625" style="24" bestFit="1" customWidth="1"/>
    <col min="1036" max="1036" width="12.5703125" style="24" bestFit="1" customWidth="1"/>
    <col min="1037" max="1037" width="16.42578125" style="24" bestFit="1" customWidth="1"/>
    <col min="1038" max="1038" width="13.85546875" style="24" bestFit="1" customWidth="1"/>
    <col min="1039" max="1039" width="8.7109375" style="24" bestFit="1" customWidth="1"/>
    <col min="1040" max="1040" width="6.7109375" style="24" bestFit="1" customWidth="1"/>
    <col min="1041" max="1041" width="9.140625" style="24" customWidth="1"/>
    <col min="1042" max="1042" width="6.140625" style="24" bestFit="1" customWidth="1"/>
    <col min="1043" max="1043" width="9.28515625" style="24" bestFit="1" customWidth="1"/>
    <col min="1044" max="1044" width="10.42578125" style="24" bestFit="1" customWidth="1"/>
    <col min="1045" max="1277" width="9.140625" style="24"/>
    <col min="1278" max="1278" width="6.140625" style="24" bestFit="1" customWidth="1"/>
    <col min="1279" max="1279" width="14.28515625" style="24" bestFit="1" customWidth="1"/>
    <col min="1280" max="1280" width="21.85546875" style="24" bestFit="1" customWidth="1"/>
    <col min="1281" max="1281" width="0" style="24" hidden="1" customWidth="1"/>
    <col min="1282" max="1282" width="16.42578125" style="24" bestFit="1" customWidth="1"/>
    <col min="1283" max="1283" width="14" style="24" bestFit="1" customWidth="1"/>
    <col min="1284" max="1284" width="15.42578125" style="24" bestFit="1" customWidth="1"/>
    <col min="1285" max="1285" width="9.85546875" style="24" bestFit="1" customWidth="1"/>
    <col min="1286" max="1286" width="8.85546875" style="24" bestFit="1" customWidth="1"/>
    <col min="1287" max="1287" width="11.42578125" style="24" bestFit="1" customWidth="1"/>
    <col min="1288" max="1288" width="10.5703125" style="24" bestFit="1" customWidth="1"/>
    <col min="1289" max="1289" width="11.42578125" style="24" bestFit="1" customWidth="1"/>
    <col min="1290" max="1290" width="12.42578125" style="24" bestFit="1" customWidth="1"/>
    <col min="1291" max="1291" width="9.140625" style="24" bestFit="1" customWidth="1"/>
    <col min="1292" max="1292" width="12.5703125" style="24" bestFit="1" customWidth="1"/>
    <col min="1293" max="1293" width="16.42578125" style="24" bestFit="1" customWidth="1"/>
    <col min="1294" max="1294" width="13.85546875" style="24" bestFit="1" customWidth="1"/>
    <col min="1295" max="1295" width="8.7109375" style="24" bestFit="1" customWidth="1"/>
    <col min="1296" max="1296" width="6.7109375" style="24" bestFit="1" customWidth="1"/>
    <col min="1297" max="1297" width="9.140625" style="24" customWidth="1"/>
    <col min="1298" max="1298" width="6.140625" style="24" bestFit="1" customWidth="1"/>
    <col min="1299" max="1299" width="9.28515625" style="24" bestFit="1" customWidth="1"/>
    <col min="1300" max="1300" width="10.42578125" style="24" bestFit="1" customWidth="1"/>
    <col min="1301" max="1533" width="9.140625" style="24"/>
    <col min="1534" max="1534" width="6.140625" style="24" bestFit="1" customWidth="1"/>
    <col min="1535" max="1535" width="14.28515625" style="24" bestFit="1" customWidth="1"/>
    <col min="1536" max="1536" width="21.85546875" style="24" bestFit="1" customWidth="1"/>
    <col min="1537" max="1537" width="0" style="24" hidden="1" customWidth="1"/>
    <col min="1538" max="1538" width="16.42578125" style="24" bestFit="1" customWidth="1"/>
    <col min="1539" max="1539" width="14" style="24" bestFit="1" customWidth="1"/>
    <col min="1540" max="1540" width="15.42578125" style="24" bestFit="1" customWidth="1"/>
    <col min="1541" max="1541" width="9.85546875" style="24" bestFit="1" customWidth="1"/>
    <col min="1542" max="1542" width="8.85546875" style="24" bestFit="1" customWidth="1"/>
    <col min="1543" max="1543" width="11.42578125" style="24" bestFit="1" customWidth="1"/>
    <col min="1544" max="1544" width="10.5703125" style="24" bestFit="1" customWidth="1"/>
    <col min="1545" max="1545" width="11.42578125" style="24" bestFit="1" customWidth="1"/>
    <col min="1546" max="1546" width="12.42578125" style="24" bestFit="1" customWidth="1"/>
    <col min="1547" max="1547" width="9.140625" style="24" bestFit="1" customWidth="1"/>
    <col min="1548" max="1548" width="12.5703125" style="24" bestFit="1" customWidth="1"/>
    <col min="1549" max="1549" width="16.42578125" style="24" bestFit="1" customWidth="1"/>
    <col min="1550" max="1550" width="13.85546875" style="24" bestFit="1" customWidth="1"/>
    <col min="1551" max="1551" width="8.7109375" style="24" bestFit="1" customWidth="1"/>
    <col min="1552" max="1552" width="6.7109375" style="24" bestFit="1" customWidth="1"/>
    <col min="1553" max="1553" width="9.140625" style="24" customWidth="1"/>
    <col min="1554" max="1554" width="6.140625" style="24" bestFit="1" customWidth="1"/>
    <col min="1555" max="1555" width="9.28515625" style="24" bestFit="1" customWidth="1"/>
    <col min="1556" max="1556" width="10.42578125" style="24" bestFit="1" customWidth="1"/>
    <col min="1557" max="1789" width="9.140625" style="24"/>
    <col min="1790" max="1790" width="6.140625" style="24" bestFit="1" customWidth="1"/>
    <col min="1791" max="1791" width="14.28515625" style="24" bestFit="1" customWidth="1"/>
    <col min="1792" max="1792" width="21.85546875" style="24" bestFit="1" customWidth="1"/>
    <col min="1793" max="1793" width="0" style="24" hidden="1" customWidth="1"/>
    <col min="1794" max="1794" width="16.42578125" style="24" bestFit="1" customWidth="1"/>
    <col min="1795" max="1795" width="14" style="24" bestFit="1" customWidth="1"/>
    <col min="1796" max="1796" width="15.42578125" style="24" bestFit="1" customWidth="1"/>
    <col min="1797" max="1797" width="9.85546875" style="24" bestFit="1" customWidth="1"/>
    <col min="1798" max="1798" width="8.85546875" style="24" bestFit="1" customWidth="1"/>
    <col min="1799" max="1799" width="11.42578125" style="24" bestFit="1" customWidth="1"/>
    <col min="1800" max="1800" width="10.5703125" style="24" bestFit="1" customWidth="1"/>
    <col min="1801" max="1801" width="11.42578125" style="24" bestFit="1" customWidth="1"/>
    <col min="1802" max="1802" width="12.42578125" style="24" bestFit="1" customWidth="1"/>
    <col min="1803" max="1803" width="9.140625" style="24" bestFit="1" customWidth="1"/>
    <col min="1804" max="1804" width="12.5703125" style="24" bestFit="1" customWidth="1"/>
    <col min="1805" max="1805" width="16.42578125" style="24" bestFit="1" customWidth="1"/>
    <col min="1806" max="1806" width="13.85546875" style="24" bestFit="1" customWidth="1"/>
    <col min="1807" max="1807" width="8.7109375" style="24" bestFit="1" customWidth="1"/>
    <col min="1808" max="1808" width="6.7109375" style="24" bestFit="1" customWidth="1"/>
    <col min="1809" max="1809" width="9.140625" style="24" customWidth="1"/>
    <col min="1810" max="1810" width="6.140625" style="24" bestFit="1" customWidth="1"/>
    <col min="1811" max="1811" width="9.28515625" style="24" bestFit="1" customWidth="1"/>
    <col min="1812" max="1812" width="10.42578125" style="24" bestFit="1" customWidth="1"/>
    <col min="1813" max="2045" width="9.140625" style="24"/>
    <col min="2046" max="2046" width="6.140625" style="24" bestFit="1" customWidth="1"/>
    <col min="2047" max="2047" width="14.28515625" style="24" bestFit="1" customWidth="1"/>
    <col min="2048" max="2048" width="21.85546875" style="24" bestFit="1" customWidth="1"/>
    <col min="2049" max="2049" width="0" style="24" hidden="1" customWidth="1"/>
    <col min="2050" max="2050" width="16.42578125" style="24" bestFit="1" customWidth="1"/>
    <col min="2051" max="2051" width="14" style="24" bestFit="1" customWidth="1"/>
    <col min="2052" max="2052" width="15.42578125" style="24" bestFit="1" customWidth="1"/>
    <col min="2053" max="2053" width="9.85546875" style="24" bestFit="1" customWidth="1"/>
    <col min="2054" max="2054" width="8.85546875" style="24" bestFit="1" customWidth="1"/>
    <col min="2055" max="2055" width="11.42578125" style="24" bestFit="1" customWidth="1"/>
    <col min="2056" max="2056" width="10.5703125" style="24" bestFit="1" customWidth="1"/>
    <col min="2057" max="2057" width="11.42578125" style="24" bestFit="1" customWidth="1"/>
    <col min="2058" max="2058" width="12.42578125" style="24" bestFit="1" customWidth="1"/>
    <col min="2059" max="2059" width="9.140625" style="24" bestFit="1" customWidth="1"/>
    <col min="2060" max="2060" width="12.5703125" style="24" bestFit="1" customWidth="1"/>
    <col min="2061" max="2061" width="16.42578125" style="24" bestFit="1" customWidth="1"/>
    <col min="2062" max="2062" width="13.85546875" style="24" bestFit="1" customWidth="1"/>
    <col min="2063" max="2063" width="8.7109375" style="24" bestFit="1" customWidth="1"/>
    <col min="2064" max="2064" width="6.7109375" style="24" bestFit="1" customWidth="1"/>
    <col min="2065" max="2065" width="9.140625" style="24" customWidth="1"/>
    <col min="2066" max="2066" width="6.140625" style="24" bestFit="1" customWidth="1"/>
    <col min="2067" max="2067" width="9.28515625" style="24" bestFit="1" customWidth="1"/>
    <col min="2068" max="2068" width="10.42578125" style="24" bestFit="1" customWidth="1"/>
    <col min="2069" max="2301" width="9.140625" style="24"/>
    <col min="2302" max="2302" width="6.140625" style="24" bestFit="1" customWidth="1"/>
    <col min="2303" max="2303" width="14.28515625" style="24" bestFit="1" customWidth="1"/>
    <col min="2304" max="2304" width="21.85546875" style="24" bestFit="1" customWidth="1"/>
    <col min="2305" max="2305" width="0" style="24" hidden="1" customWidth="1"/>
    <col min="2306" max="2306" width="16.42578125" style="24" bestFit="1" customWidth="1"/>
    <col min="2307" max="2307" width="14" style="24" bestFit="1" customWidth="1"/>
    <col min="2308" max="2308" width="15.42578125" style="24" bestFit="1" customWidth="1"/>
    <col min="2309" max="2309" width="9.85546875" style="24" bestFit="1" customWidth="1"/>
    <col min="2310" max="2310" width="8.85546875" style="24" bestFit="1" customWidth="1"/>
    <col min="2311" max="2311" width="11.42578125" style="24" bestFit="1" customWidth="1"/>
    <col min="2312" max="2312" width="10.5703125" style="24" bestFit="1" customWidth="1"/>
    <col min="2313" max="2313" width="11.42578125" style="24" bestFit="1" customWidth="1"/>
    <col min="2314" max="2314" width="12.42578125" style="24" bestFit="1" customWidth="1"/>
    <col min="2315" max="2315" width="9.140625" style="24" bestFit="1" customWidth="1"/>
    <col min="2316" max="2316" width="12.5703125" style="24" bestFit="1" customWidth="1"/>
    <col min="2317" max="2317" width="16.42578125" style="24" bestFit="1" customWidth="1"/>
    <col min="2318" max="2318" width="13.85546875" style="24" bestFit="1" customWidth="1"/>
    <col min="2319" max="2319" width="8.7109375" style="24" bestFit="1" customWidth="1"/>
    <col min="2320" max="2320" width="6.7109375" style="24" bestFit="1" customWidth="1"/>
    <col min="2321" max="2321" width="9.140625" style="24" customWidth="1"/>
    <col min="2322" max="2322" width="6.140625" style="24" bestFit="1" customWidth="1"/>
    <col min="2323" max="2323" width="9.28515625" style="24" bestFit="1" customWidth="1"/>
    <col min="2324" max="2324" width="10.42578125" style="24" bestFit="1" customWidth="1"/>
    <col min="2325" max="2557" width="9.140625" style="24"/>
    <col min="2558" max="2558" width="6.140625" style="24" bestFit="1" customWidth="1"/>
    <col min="2559" max="2559" width="14.28515625" style="24" bestFit="1" customWidth="1"/>
    <col min="2560" max="2560" width="21.85546875" style="24" bestFit="1" customWidth="1"/>
    <col min="2561" max="2561" width="0" style="24" hidden="1" customWidth="1"/>
    <col min="2562" max="2562" width="16.42578125" style="24" bestFit="1" customWidth="1"/>
    <col min="2563" max="2563" width="14" style="24" bestFit="1" customWidth="1"/>
    <col min="2564" max="2564" width="15.42578125" style="24" bestFit="1" customWidth="1"/>
    <col min="2565" max="2565" width="9.85546875" style="24" bestFit="1" customWidth="1"/>
    <col min="2566" max="2566" width="8.85546875" style="24" bestFit="1" customWidth="1"/>
    <col min="2567" max="2567" width="11.42578125" style="24" bestFit="1" customWidth="1"/>
    <col min="2568" max="2568" width="10.5703125" style="24" bestFit="1" customWidth="1"/>
    <col min="2569" max="2569" width="11.42578125" style="24" bestFit="1" customWidth="1"/>
    <col min="2570" max="2570" width="12.42578125" style="24" bestFit="1" customWidth="1"/>
    <col min="2571" max="2571" width="9.140625" style="24" bestFit="1" customWidth="1"/>
    <col min="2572" max="2572" width="12.5703125" style="24" bestFit="1" customWidth="1"/>
    <col min="2573" max="2573" width="16.42578125" style="24" bestFit="1" customWidth="1"/>
    <col min="2574" max="2574" width="13.85546875" style="24" bestFit="1" customWidth="1"/>
    <col min="2575" max="2575" width="8.7109375" style="24" bestFit="1" customWidth="1"/>
    <col min="2576" max="2576" width="6.7109375" style="24" bestFit="1" customWidth="1"/>
    <col min="2577" max="2577" width="9.140625" style="24" customWidth="1"/>
    <col min="2578" max="2578" width="6.140625" style="24" bestFit="1" customWidth="1"/>
    <col min="2579" max="2579" width="9.28515625" style="24" bestFit="1" customWidth="1"/>
    <col min="2580" max="2580" width="10.42578125" style="24" bestFit="1" customWidth="1"/>
    <col min="2581" max="2813" width="9.140625" style="24"/>
    <col min="2814" max="2814" width="6.140625" style="24" bestFit="1" customWidth="1"/>
    <col min="2815" max="2815" width="14.28515625" style="24" bestFit="1" customWidth="1"/>
    <col min="2816" max="2816" width="21.85546875" style="24" bestFit="1" customWidth="1"/>
    <col min="2817" max="2817" width="0" style="24" hidden="1" customWidth="1"/>
    <col min="2818" max="2818" width="16.42578125" style="24" bestFit="1" customWidth="1"/>
    <col min="2819" max="2819" width="14" style="24" bestFit="1" customWidth="1"/>
    <col min="2820" max="2820" width="15.42578125" style="24" bestFit="1" customWidth="1"/>
    <col min="2821" max="2821" width="9.85546875" style="24" bestFit="1" customWidth="1"/>
    <col min="2822" max="2822" width="8.85546875" style="24" bestFit="1" customWidth="1"/>
    <col min="2823" max="2823" width="11.42578125" style="24" bestFit="1" customWidth="1"/>
    <col min="2824" max="2824" width="10.5703125" style="24" bestFit="1" customWidth="1"/>
    <col min="2825" max="2825" width="11.42578125" style="24" bestFit="1" customWidth="1"/>
    <col min="2826" max="2826" width="12.42578125" style="24" bestFit="1" customWidth="1"/>
    <col min="2827" max="2827" width="9.140625" style="24" bestFit="1" customWidth="1"/>
    <col min="2828" max="2828" width="12.5703125" style="24" bestFit="1" customWidth="1"/>
    <col min="2829" max="2829" width="16.42578125" style="24" bestFit="1" customWidth="1"/>
    <col min="2830" max="2830" width="13.85546875" style="24" bestFit="1" customWidth="1"/>
    <col min="2831" max="2831" width="8.7109375" style="24" bestFit="1" customWidth="1"/>
    <col min="2832" max="2832" width="6.7109375" style="24" bestFit="1" customWidth="1"/>
    <col min="2833" max="2833" width="9.140625" style="24" customWidth="1"/>
    <col min="2834" max="2834" width="6.140625" style="24" bestFit="1" customWidth="1"/>
    <col min="2835" max="2835" width="9.28515625" style="24" bestFit="1" customWidth="1"/>
    <col min="2836" max="2836" width="10.42578125" style="24" bestFit="1" customWidth="1"/>
    <col min="2837" max="3069" width="9.140625" style="24"/>
    <col min="3070" max="3070" width="6.140625" style="24" bestFit="1" customWidth="1"/>
    <col min="3071" max="3071" width="14.28515625" style="24" bestFit="1" customWidth="1"/>
    <col min="3072" max="3072" width="21.85546875" style="24" bestFit="1" customWidth="1"/>
    <col min="3073" max="3073" width="0" style="24" hidden="1" customWidth="1"/>
    <col min="3074" max="3074" width="16.42578125" style="24" bestFit="1" customWidth="1"/>
    <col min="3075" max="3075" width="14" style="24" bestFit="1" customWidth="1"/>
    <col min="3076" max="3076" width="15.42578125" style="24" bestFit="1" customWidth="1"/>
    <col min="3077" max="3077" width="9.85546875" style="24" bestFit="1" customWidth="1"/>
    <col min="3078" max="3078" width="8.85546875" style="24" bestFit="1" customWidth="1"/>
    <col min="3079" max="3079" width="11.42578125" style="24" bestFit="1" customWidth="1"/>
    <col min="3080" max="3080" width="10.5703125" style="24" bestFit="1" customWidth="1"/>
    <col min="3081" max="3081" width="11.42578125" style="24" bestFit="1" customWidth="1"/>
    <col min="3082" max="3082" width="12.42578125" style="24" bestFit="1" customWidth="1"/>
    <col min="3083" max="3083" width="9.140625" style="24" bestFit="1" customWidth="1"/>
    <col min="3084" max="3084" width="12.5703125" style="24" bestFit="1" customWidth="1"/>
    <col min="3085" max="3085" width="16.42578125" style="24" bestFit="1" customWidth="1"/>
    <col min="3086" max="3086" width="13.85546875" style="24" bestFit="1" customWidth="1"/>
    <col min="3087" max="3087" width="8.7109375" style="24" bestFit="1" customWidth="1"/>
    <col min="3088" max="3088" width="6.7109375" style="24" bestFit="1" customWidth="1"/>
    <col min="3089" max="3089" width="9.140625" style="24" customWidth="1"/>
    <col min="3090" max="3090" width="6.140625" style="24" bestFit="1" customWidth="1"/>
    <col min="3091" max="3091" width="9.28515625" style="24" bestFit="1" customWidth="1"/>
    <col min="3092" max="3092" width="10.42578125" style="24" bestFit="1" customWidth="1"/>
    <col min="3093" max="3325" width="9.140625" style="24"/>
    <col min="3326" max="3326" width="6.140625" style="24" bestFit="1" customWidth="1"/>
    <col min="3327" max="3327" width="14.28515625" style="24" bestFit="1" customWidth="1"/>
    <col min="3328" max="3328" width="21.85546875" style="24" bestFit="1" customWidth="1"/>
    <col min="3329" max="3329" width="0" style="24" hidden="1" customWidth="1"/>
    <col min="3330" max="3330" width="16.42578125" style="24" bestFit="1" customWidth="1"/>
    <col min="3331" max="3331" width="14" style="24" bestFit="1" customWidth="1"/>
    <col min="3332" max="3332" width="15.42578125" style="24" bestFit="1" customWidth="1"/>
    <col min="3333" max="3333" width="9.85546875" style="24" bestFit="1" customWidth="1"/>
    <col min="3334" max="3334" width="8.85546875" style="24" bestFit="1" customWidth="1"/>
    <col min="3335" max="3335" width="11.42578125" style="24" bestFit="1" customWidth="1"/>
    <col min="3336" max="3336" width="10.5703125" style="24" bestFit="1" customWidth="1"/>
    <col min="3337" max="3337" width="11.42578125" style="24" bestFit="1" customWidth="1"/>
    <col min="3338" max="3338" width="12.42578125" style="24" bestFit="1" customWidth="1"/>
    <col min="3339" max="3339" width="9.140625" style="24" bestFit="1" customWidth="1"/>
    <col min="3340" max="3340" width="12.5703125" style="24" bestFit="1" customWidth="1"/>
    <col min="3341" max="3341" width="16.42578125" style="24" bestFit="1" customWidth="1"/>
    <col min="3342" max="3342" width="13.85546875" style="24" bestFit="1" customWidth="1"/>
    <col min="3343" max="3343" width="8.7109375" style="24" bestFit="1" customWidth="1"/>
    <col min="3344" max="3344" width="6.7109375" style="24" bestFit="1" customWidth="1"/>
    <col min="3345" max="3345" width="9.140625" style="24" customWidth="1"/>
    <col min="3346" max="3346" width="6.140625" style="24" bestFit="1" customWidth="1"/>
    <col min="3347" max="3347" width="9.28515625" style="24" bestFit="1" customWidth="1"/>
    <col min="3348" max="3348" width="10.42578125" style="24" bestFit="1" customWidth="1"/>
    <col min="3349" max="3581" width="9.140625" style="24"/>
    <col min="3582" max="3582" width="6.140625" style="24" bestFit="1" customWidth="1"/>
    <col min="3583" max="3583" width="14.28515625" style="24" bestFit="1" customWidth="1"/>
    <col min="3584" max="3584" width="21.85546875" style="24" bestFit="1" customWidth="1"/>
    <col min="3585" max="3585" width="0" style="24" hidden="1" customWidth="1"/>
    <col min="3586" max="3586" width="16.42578125" style="24" bestFit="1" customWidth="1"/>
    <col min="3587" max="3587" width="14" style="24" bestFit="1" customWidth="1"/>
    <col min="3588" max="3588" width="15.42578125" style="24" bestFit="1" customWidth="1"/>
    <col min="3589" max="3589" width="9.85546875" style="24" bestFit="1" customWidth="1"/>
    <col min="3590" max="3590" width="8.85546875" style="24" bestFit="1" customWidth="1"/>
    <col min="3591" max="3591" width="11.42578125" style="24" bestFit="1" customWidth="1"/>
    <col min="3592" max="3592" width="10.5703125" style="24" bestFit="1" customWidth="1"/>
    <col min="3593" max="3593" width="11.42578125" style="24" bestFit="1" customWidth="1"/>
    <col min="3594" max="3594" width="12.42578125" style="24" bestFit="1" customWidth="1"/>
    <col min="3595" max="3595" width="9.140625" style="24" bestFit="1" customWidth="1"/>
    <col min="3596" max="3596" width="12.5703125" style="24" bestFit="1" customWidth="1"/>
    <col min="3597" max="3597" width="16.42578125" style="24" bestFit="1" customWidth="1"/>
    <col min="3598" max="3598" width="13.85546875" style="24" bestFit="1" customWidth="1"/>
    <col min="3599" max="3599" width="8.7109375" style="24" bestFit="1" customWidth="1"/>
    <col min="3600" max="3600" width="6.7109375" style="24" bestFit="1" customWidth="1"/>
    <col min="3601" max="3601" width="9.140625" style="24" customWidth="1"/>
    <col min="3602" max="3602" width="6.140625" style="24" bestFit="1" customWidth="1"/>
    <col min="3603" max="3603" width="9.28515625" style="24" bestFit="1" customWidth="1"/>
    <col min="3604" max="3604" width="10.42578125" style="24" bestFit="1" customWidth="1"/>
    <col min="3605" max="3837" width="9.140625" style="24"/>
    <col min="3838" max="3838" width="6.140625" style="24" bestFit="1" customWidth="1"/>
    <col min="3839" max="3839" width="14.28515625" style="24" bestFit="1" customWidth="1"/>
    <col min="3840" max="3840" width="21.85546875" style="24" bestFit="1" customWidth="1"/>
    <col min="3841" max="3841" width="0" style="24" hidden="1" customWidth="1"/>
    <col min="3842" max="3842" width="16.42578125" style="24" bestFit="1" customWidth="1"/>
    <col min="3843" max="3843" width="14" style="24" bestFit="1" customWidth="1"/>
    <col min="3844" max="3844" width="15.42578125" style="24" bestFit="1" customWidth="1"/>
    <col min="3845" max="3845" width="9.85546875" style="24" bestFit="1" customWidth="1"/>
    <col min="3846" max="3846" width="8.85546875" style="24" bestFit="1" customWidth="1"/>
    <col min="3847" max="3847" width="11.42578125" style="24" bestFit="1" customWidth="1"/>
    <col min="3848" max="3848" width="10.5703125" style="24" bestFit="1" customWidth="1"/>
    <col min="3849" max="3849" width="11.42578125" style="24" bestFit="1" customWidth="1"/>
    <col min="3850" max="3850" width="12.42578125" style="24" bestFit="1" customWidth="1"/>
    <col min="3851" max="3851" width="9.140625" style="24" bestFit="1" customWidth="1"/>
    <col min="3852" max="3852" width="12.5703125" style="24" bestFit="1" customWidth="1"/>
    <col min="3853" max="3853" width="16.42578125" style="24" bestFit="1" customWidth="1"/>
    <col min="3854" max="3854" width="13.85546875" style="24" bestFit="1" customWidth="1"/>
    <col min="3855" max="3855" width="8.7109375" style="24" bestFit="1" customWidth="1"/>
    <col min="3856" max="3856" width="6.7109375" style="24" bestFit="1" customWidth="1"/>
    <col min="3857" max="3857" width="9.140625" style="24" customWidth="1"/>
    <col min="3858" max="3858" width="6.140625" style="24" bestFit="1" customWidth="1"/>
    <col min="3859" max="3859" width="9.28515625" style="24" bestFit="1" customWidth="1"/>
    <col min="3860" max="3860" width="10.42578125" style="24" bestFit="1" customWidth="1"/>
    <col min="3861" max="4093" width="9.140625" style="24"/>
    <col min="4094" max="4094" width="6.140625" style="24" bestFit="1" customWidth="1"/>
    <col min="4095" max="4095" width="14.28515625" style="24" bestFit="1" customWidth="1"/>
    <col min="4096" max="4096" width="21.85546875" style="24" bestFit="1" customWidth="1"/>
    <col min="4097" max="4097" width="0" style="24" hidden="1" customWidth="1"/>
    <col min="4098" max="4098" width="16.42578125" style="24" bestFit="1" customWidth="1"/>
    <col min="4099" max="4099" width="14" style="24" bestFit="1" customWidth="1"/>
    <col min="4100" max="4100" width="15.42578125" style="24" bestFit="1" customWidth="1"/>
    <col min="4101" max="4101" width="9.85546875" style="24" bestFit="1" customWidth="1"/>
    <col min="4102" max="4102" width="8.85546875" style="24" bestFit="1" customWidth="1"/>
    <col min="4103" max="4103" width="11.42578125" style="24" bestFit="1" customWidth="1"/>
    <col min="4104" max="4104" width="10.5703125" style="24" bestFit="1" customWidth="1"/>
    <col min="4105" max="4105" width="11.42578125" style="24" bestFit="1" customWidth="1"/>
    <col min="4106" max="4106" width="12.42578125" style="24" bestFit="1" customWidth="1"/>
    <col min="4107" max="4107" width="9.140625" style="24" bestFit="1" customWidth="1"/>
    <col min="4108" max="4108" width="12.5703125" style="24" bestFit="1" customWidth="1"/>
    <col min="4109" max="4109" width="16.42578125" style="24" bestFit="1" customWidth="1"/>
    <col min="4110" max="4110" width="13.85546875" style="24" bestFit="1" customWidth="1"/>
    <col min="4111" max="4111" width="8.7109375" style="24" bestFit="1" customWidth="1"/>
    <col min="4112" max="4112" width="6.7109375" style="24" bestFit="1" customWidth="1"/>
    <col min="4113" max="4113" width="9.140625" style="24" customWidth="1"/>
    <col min="4114" max="4114" width="6.140625" style="24" bestFit="1" customWidth="1"/>
    <col min="4115" max="4115" width="9.28515625" style="24" bestFit="1" customWidth="1"/>
    <col min="4116" max="4116" width="10.42578125" style="24" bestFit="1" customWidth="1"/>
    <col min="4117" max="4349" width="9.140625" style="24"/>
    <col min="4350" max="4350" width="6.140625" style="24" bestFit="1" customWidth="1"/>
    <col min="4351" max="4351" width="14.28515625" style="24" bestFit="1" customWidth="1"/>
    <col min="4352" max="4352" width="21.85546875" style="24" bestFit="1" customWidth="1"/>
    <col min="4353" max="4353" width="0" style="24" hidden="1" customWidth="1"/>
    <col min="4354" max="4354" width="16.42578125" style="24" bestFit="1" customWidth="1"/>
    <col min="4355" max="4355" width="14" style="24" bestFit="1" customWidth="1"/>
    <col min="4356" max="4356" width="15.42578125" style="24" bestFit="1" customWidth="1"/>
    <col min="4357" max="4357" width="9.85546875" style="24" bestFit="1" customWidth="1"/>
    <col min="4358" max="4358" width="8.85546875" style="24" bestFit="1" customWidth="1"/>
    <col min="4359" max="4359" width="11.42578125" style="24" bestFit="1" customWidth="1"/>
    <col min="4360" max="4360" width="10.5703125" style="24" bestFit="1" customWidth="1"/>
    <col min="4361" max="4361" width="11.42578125" style="24" bestFit="1" customWidth="1"/>
    <col min="4362" max="4362" width="12.42578125" style="24" bestFit="1" customWidth="1"/>
    <col min="4363" max="4363" width="9.140625" style="24" bestFit="1" customWidth="1"/>
    <col min="4364" max="4364" width="12.5703125" style="24" bestFit="1" customWidth="1"/>
    <col min="4365" max="4365" width="16.42578125" style="24" bestFit="1" customWidth="1"/>
    <col min="4366" max="4366" width="13.85546875" style="24" bestFit="1" customWidth="1"/>
    <col min="4367" max="4367" width="8.7109375" style="24" bestFit="1" customWidth="1"/>
    <col min="4368" max="4368" width="6.7109375" style="24" bestFit="1" customWidth="1"/>
    <col min="4369" max="4369" width="9.140625" style="24" customWidth="1"/>
    <col min="4370" max="4370" width="6.140625" style="24" bestFit="1" customWidth="1"/>
    <col min="4371" max="4371" width="9.28515625" style="24" bestFit="1" customWidth="1"/>
    <col min="4372" max="4372" width="10.42578125" style="24" bestFit="1" customWidth="1"/>
    <col min="4373" max="4605" width="9.140625" style="24"/>
    <col min="4606" max="4606" width="6.140625" style="24" bestFit="1" customWidth="1"/>
    <col min="4607" max="4607" width="14.28515625" style="24" bestFit="1" customWidth="1"/>
    <col min="4608" max="4608" width="21.85546875" style="24" bestFit="1" customWidth="1"/>
    <col min="4609" max="4609" width="0" style="24" hidden="1" customWidth="1"/>
    <col min="4610" max="4610" width="16.42578125" style="24" bestFit="1" customWidth="1"/>
    <col min="4611" max="4611" width="14" style="24" bestFit="1" customWidth="1"/>
    <col min="4612" max="4612" width="15.42578125" style="24" bestFit="1" customWidth="1"/>
    <col min="4613" max="4613" width="9.85546875" style="24" bestFit="1" customWidth="1"/>
    <col min="4614" max="4614" width="8.85546875" style="24" bestFit="1" customWidth="1"/>
    <col min="4615" max="4615" width="11.42578125" style="24" bestFit="1" customWidth="1"/>
    <col min="4616" max="4616" width="10.5703125" style="24" bestFit="1" customWidth="1"/>
    <col min="4617" max="4617" width="11.42578125" style="24" bestFit="1" customWidth="1"/>
    <col min="4618" max="4618" width="12.42578125" style="24" bestFit="1" customWidth="1"/>
    <col min="4619" max="4619" width="9.140625" style="24" bestFit="1" customWidth="1"/>
    <col min="4620" max="4620" width="12.5703125" style="24" bestFit="1" customWidth="1"/>
    <col min="4621" max="4621" width="16.42578125" style="24" bestFit="1" customWidth="1"/>
    <col min="4622" max="4622" width="13.85546875" style="24" bestFit="1" customWidth="1"/>
    <col min="4623" max="4623" width="8.7109375" style="24" bestFit="1" customWidth="1"/>
    <col min="4624" max="4624" width="6.7109375" style="24" bestFit="1" customWidth="1"/>
    <col min="4625" max="4625" width="9.140625" style="24" customWidth="1"/>
    <col min="4626" max="4626" width="6.140625" style="24" bestFit="1" customWidth="1"/>
    <col min="4627" max="4627" width="9.28515625" style="24" bestFit="1" customWidth="1"/>
    <col min="4628" max="4628" width="10.42578125" style="24" bestFit="1" customWidth="1"/>
    <col min="4629" max="4861" width="9.140625" style="24"/>
    <col min="4862" max="4862" width="6.140625" style="24" bestFit="1" customWidth="1"/>
    <col min="4863" max="4863" width="14.28515625" style="24" bestFit="1" customWidth="1"/>
    <col min="4864" max="4864" width="21.85546875" style="24" bestFit="1" customWidth="1"/>
    <col min="4865" max="4865" width="0" style="24" hidden="1" customWidth="1"/>
    <col min="4866" max="4866" width="16.42578125" style="24" bestFit="1" customWidth="1"/>
    <col min="4867" max="4867" width="14" style="24" bestFit="1" customWidth="1"/>
    <col min="4868" max="4868" width="15.42578125" style="24" bestFit="1" customWidth="1"/>
    <col min="4869" max="4869" width="9.85546875" style="24" bestFit="1" customWidth="1"/>
    <col min="4870" max="4870" width="8.85546875" style="24" bestFit="1" customWidth="1"/>
    <col min="4871" max="4871" width="11.42578125" style="24" bestFit="1" customWidth="1"/>
    <col min="4872" max="4872" width="10.5703125" style="24" bestFit="1" customWidth="1"/>
    <col min="4873" max="4873" width="11.42578125" style="24" bestFit="1" customWidth="1"/>
    <col min="4874" max="4874" width="12.42578125" style="24" bestFit="1" customWidth="1"/>
    <col min="4875" max="4875" width="9.140625" style="24" bestFit="1" customWidth="1"/>
    <col min="4876" max="4876" width="12.5703125" style="24" bestFit="1" customWidth="1"/>
    <col min="4877" max="4877" width="16.42578125" style="24" bestFit="1" customWidth="1"/>
    <col min="4878" max="4878" width="13.85546875" style="24" bestFit="1" customWidth="1"/>
    <col min="4879" max="4879" width="8.7109375" style="24" bestFit="1" customWidth="1"/>
    <col min="4880" max="4880" width="6.7109375" style="24" bestFit="1" customWidth="1"/>
    <col min="4881" max="4881" width="9.140625" style="24" customWidth="1"/>
    <col min="4882" max="4882" width="6.140625" style="24" bestFit="1" customWidth="1"/>
    <col min="4883" max="4883" width="9.28515625" style="24" bestFit="1" customWidth="1"/>
    <col min="4884" max="4884" width="10.42578125" style="24" bestFit="1" customWidth="1"/>
    <col min="4885" max="5117" width="9.140625" style="24"/>
    <col min="5118" max="5118" width="6.140625" style="24" bestFit="1" customWidth="1"/>
    <col min="5119" max="5119" width="14.28515625" style="24" bestFit="1" customWidth="1"/>
    <col min="5120" max="5120" width="21.85546875" style="24" bestFit="1" customWidth="1"/>
    <col min="5121" max="5121" width="0" style="24" hidden="1" customWidth="1"/>
    <col min="5122" max="5122" width="16.42578125" style="24" bestFit="1" customWidth="1"/>
    <col min="5123" max="5123" width="14" style="24" bestFit="1" customWidth="1"/>
    <col min="5124" max="5124" width="15.42578125" style="24" bestFit="1" customWidth="1"/>
    <col min="5125" max="5125" width="9.85546875" style="24" bestFit="1" customWidth="1"/>
    <col min="5126" max="5126" width="8.85546875" style="24" bestFit="1" customWidth="1"/>
    <col min="5127" max="5127" width="11.42578125" style="24" bestFit="1" customWidth="1"/>
    <col min="5128" max="5128" width="10.5703125" style="24" bestFit="1" customWidth="1"/>
    <col min="5129" max="5129" width="11.42578125" style="24" bestFit="1" customWidth="1"/>
    <col min="5130" max="5130" width="12.42578125" style="24" bestFit="1" customWidth="1"/>
    <col min="5131" max="5131" width="9.140625" style="24" bestFit="1" customWidth="1"/>
    <col min="5132" max="5132" width="12.5703125" style="24" bestFit="1" customWidth="1"/>
    <col min="5133" max="5133" width="16.42578125" style="24" bestFit="1" customWidth="1"/>
    <col min="5134" max="5134" width="13.85546875" style="24" bestFit="1" customWidth="1"/>
    <col min="5135" max="5135" width="8.7109375" style="24" bestFit="1" customWidth="1"/>
    <col min="5136" max="5136" width="6.7109375" style="24" bestFit="1" customWidth="1"/>
    <col min="5137" max="5137" width="9.140625" style="24" customWidth="1"/>
    <col min="5138" max="5138" width="6.140625" style="24" bestFit="1" customWidth="1"/>
    <col min="5139" max="5139" width="9.28515625" style="24" bestFit="1" customWidth="1"/>
    <col min="5140" max="5140" width="10.42578125" style="24" bestFit="1" customWidth="1"/>
    <col min="5141" max="5373" width="9.140625" style="24"/>
    <col min="5374" max="5374" width="6.140625" style="24" bestFit="1" customWidth="1"/>
    <col min="5375" max="5375" width="14.28515625" style="24" bestFit="1" customWidth="1"/>
    <col min="5376" max="5376" width="21.85546875" style="24" bestFit="1" customWidth="1"/>
    <col min="5377" max="5377" width="0" style="24" hidden="1" customWidth="1"/>
    <col min="5378" max="5378" width="16.42578125" style="24" bestFit="1" customWidth="1"/>
    <col min="5379" max="5379" width="14" style="24" bestFit="1" customWidth="1"/>
    <col min="5380" max="5380" width="15.42578125" style="24" bestFit="1" customWidth="1"/>
    <col min="5381" max="5381" width="9.85546875" style="24" bestFit="1" customWidth="1"/>
    <col min="5382" max="5382" width="8.85546875" style="24" bestFit="1" customWidth="1"/>
    <col min="5383" max="5383" width="11.42578125" style="24" bestFit="1" customWidth="1"/>
    <col min="5384" max="5384" width="10.5703125" style="24" bestFit="1" customWidth="1"/>
    <col min="5385" max="5385" width="11.42578125" style="24" bestFit="1" customWidth="1"/>
    <col min="5386" max="5386" width="12.42578125" style="24" bestFit="1" customWidth="1"/>
    <col min="5387" max="5387" width="9.140625" style="24" bestFit="1" customWidth="1"/>
    <col min="5388" max="5388" width="12.5703125" style="24" bestFit="1" customWidth="1"/>
    <col min="5389" max="5389" width="16.42578125" style="24" bestFit="1" customWidth="1"/>
    <col min="5390" max="5390" width="13.85546875" style="24" bestFit="1" customWidth="1"/>
    <col min="5391" max="5391" width="8.7109375" style="24" bestFit="1" customWidth="1"/>
    <col min="5392" max="5392" width="6.7109375" style="24" bestFit="1" customWidth="1"/>
    <col min="5393" max="5393" width="9.140625" style="24" customWidth="1"/>
    <col min="5394" max="5394" width="6.140625" style="24" bestFit="1" customWidth="1"/>
    <col min="5395" max="5395" width="9.28515625" style="24" bestFit="1" customWidth="1"/>
    <col min="5396" max="5396" width="10.42578125" style="24" bestFit="1" customWidth="1"/>
    <col min="5397" max="5629" width="9.140625" style="24"/>
    <col min="5630" max="5630" width="6.140625" style="24" bestFit="1" customWidth="1"/>
    <col min="5631" max="5631" width="14.28515625" style="24" bestFit="1" customWidth="1"/>
    <col min="5632" max="5632" width="21.85546875" style="24" bestFit="1" customWidth="1"/>
    <col min="5633" max="5633" width="0" style="24" hidden="1" customWidth="1"/>
    <col min="5634" max="5634" width="16.42578125" style="24" bestFit="1" customWidth="1"/>
    <col min="5635" max="5635" width="14" style="24" bestFit="1" customWidth="1"/>
    <col min="5636" max="5636" width="15.42578125" style="24" bestFit="1" customWidth="1"/>
    <col min="5637" max="5637" width="9.85546875" style="24" bestFit="1" customWidth="1"/>
    <col min="5638" max="5638" width="8.85546875" style="24" bestFit="1" customWidth="1"/>
    <col min="5639" max="5639" width="11.42578125" style="24" bestFit="1" customWidth="1"/>
    <col min="5640" max="5640" width="10.5703125" style="24" bestFit="1" customWidth="1"/>
    <col min="5641" max="5641" width="11.42578125" style="24" bestFit="1" customWidth="1"/>
    <col min="5642" max="5642" width="12.42578125" style="24" bestFit="1" customWidth="1"/>
    <col min="5643" max="5643" width="9.140625" style="24" bestFit="1" customWidth="1"/>
    <col min="5644" max="5644" width="12.5703125" style="24" bestFit="1" customWidth="1"/>
    <col min="5645" max="5645" width="16.42578125" style="24" bestFit="1" customWidth="1"/>
    <col min="5646" max="5646" width="13.85546875" style="24" bestFit="1" customWidth="1"/>
    <col min="5647" max="5647" width="8.7109375" style="24" bestFit="1" customWidth="1"/>
    <col min="5648" max="5648" width="6.7109375" style="24" bestFit="1" customWidth="1"/>
    <col min="5649" max="5649" width="9.140625" style="24" customWidth="1"/>
    <col min="5650" max="5650" width="6.140625" style="24" bestFit="1" customWidth="1"/>
    <col min="5651" max="5651" width="9.28515625" style="24" bestFit="1" customWidth="1"/>
    <col min="5652" max="5652" width="10.42578125" style="24" bestFit="1" customWidth="1"/>
    <col min="5653" max="5885" width="9.140625" style="24"/>
    <col min="5886" max="5886" width="6.140625" style="24" bestFit="1" customWidth="1"/>
    <col min="5887" max="5887" width="14.28515625" style="24" bestFit="1" customWidth="1"/>
    <col min="5888" max="5888" width="21.85546875" style="24" bestFit="1" customWidth="1"/>
    <col min="5889" max="5889" width="0" style="24" hidden="1" customWidth="1"/>
    <col min="5890" max="5890" width="16.42578125" style="24" bestFit="1" customWidth="1"/>
    <col min="5891" max="5891" width="14" style="24" bestFit="1" customWidth="1"/>
    <col min="5892" max="5892" width="15.42578125" style="24" bestFit="1" customWidth="1"/>
    <col min="5893" max="5893" width="9.85546875" style="24" bestFit="1" customWidth="1"/>
    <col min="5894" max="5894" width="8.85546875" style="24" bestFit="1" customWidth="1"/>
    <col min="5895" max="5895" width="11.42578125" style="24" bestFit="1" customWidth="1"/>
    <col min="5896" max="5896" width="10.5703125" style="24" bestFit="1" customWidth="1"/>
    <col min="5897" max="5897" width="11.42578125" style="24" bestFit="1" customWidth="1"/>
    <col min="5898" max="5898" width="12.42578125" style="24" bestFit="1" customWidth="1"/>
    <col min="5899" max="5899" width="9.140625" style="24" bestFit="1" customWidth="1"/>
    <col min="5900" max="5900" width="12.5703125" style="24" bestFit="1" customWidth="1"/>
    <col min="5901" max="5901" width="16.42578125" style="24" bestFit="1" customWidth="1"/>
    <col min="5902" max="5902" width="13.85546875" style="24" bestFit="1" customWidth="1"/>
    <col min="5903" max="5903" width="8.7109375" style="24" bestFit="1" customWidth="1"/>
    <col min="5904" max="5904" width="6.7109375" style="24" bestFit="1" customWidth="1"/>
    <col min="5905" max="5905" width="9.140625" style="24" customWidth="1"/>
    <col min="5906" max="5906" width="6.140625" style="24" bestFit="1" customWidth="1"/>
    <col min="5907" max="5907" width="9.28515625" style="24" bestFit="1" customWidth="1"/>
    <col min="5908" max="5908" width="10.42578125" style="24" bestFit="1" customWidth="1"/>
    <col min="5909" max="6141" width="9.140625" style="24"/>
    <col min="6142" max="6142" width="6.140625" style="24" bestFit="1" customWidth="1"/>
    <col min="6143" max="6143" width="14.28515625" style="24" bestFit="1" customWidth="1"/>
    <col min="6144" max="6144" width="21.85546875" style="24" bestFit="1" customWidth="1"/>
    <col min="6145" max="6145" width="0" style="24" hidden="1" customWidth="1"/>
    <col min="6146" max="6146" width="16.42578125" style="24" bestFit="1" customWidth="1"/>
    <col min="6147" max="6147" width="14" style="24" bestFit="1" customWidth="1"/>
    <col min="6148" max="6148" width="15.42578125" style="24" bestFit="1" customWidth="1"/>
    <col min="6149" max="6149" width="9.85546875" style="24" bestFit="1" customWidth="1"/>
    <col min="6150" max="6150" width="8.85546875" style="24" bestFit="1" customWidth="1"/>
    <col min="6151" max="6151" width="11.42578125" style="24" bestFit="1" customWidth="1"/>
    <col min="6152" max="6152" width="10.5703125" style="24" bestFit="1" customWidth="1"/>
    <col min="6153" max="6153" width="11.42578125" style="24" bestFit="1" customWidth="1"/>
    <col min="6154" max="6154" width="12.42578125" style="24" bestFit="1" customWidth="1"/>
    <col min="6155" max="6155" width="9.140625" style="24" bestFit="1" customWidth="1"/>
    <col min="6156" max="6156" width="12.5703125" style="24" bestFit="1" customWidth="1"/>
    <col min="6157" max="6157" width="16.42578125" style="24" bestFit="1" customWidth="1"/>
    <col min="6158" max="6158" width="13.85546875" style="24" bestFit="1" customWidth="1"/>
    <col min="6159" max="6159" width="8.7109375" style="24" bestFit="1" customWidth="1"/>
    <col min="6160" max="6160" width="6.7109375" style="24" bestFit="1" customWidth="1"/>
    <col min="6161" max="6161" width="9.140625" style="24" customWidth="1"/>
    <col min="6162" max="6162" width="6.140625" style="24" bestFit="1" customWidth="1"/>
    <col min="6163" max="6163" width="9.28515625" style="24" bestFit="1" customWidth="1"/>
    <col min="6164" max="6164" width="10.42578125" style="24" bestFit="1" customWidth="1"/>
    <col min="6165" max="6397" width="9.140625" style="24"/>
    <col min="6398" max="6398" width="6.140625" style="24" bestFit="1" customWidth="1"/>
    <col min="6399" max="6399" width="14.28515625" style="24" bestFit="1" customWidth="1"/>
    <col min="6400" max="6400" width="21.85546875" style="24" bestFit="1" customWidth="1"/>
    <col min="6401" max="6401" width="0" style="24" hidden="1" customWidth="1"/>
    <col min="6402" max="6402" width="16.42578125" style="24" bestFit="1" customWidth="1"/>
    <col min="6403" max="6403" width="14" style="24" bestFit="1" customWidth="1"/>
    <col min="6404" max="6404" width="15.42578125" style="24" bestFit="1" customWidth="1"/>
    <col min="6405" max="6405" width="9.85546875" style="24" bestFit="1" customWidth="1"/>
    <col min="6406" max="6406" width="8.85546875" style="24" bestFit="1" customWidth="1"/>
    <col min="6407" max="6407" width="11.42578125" style="24" bestFit="1" customWidth="1"/>
    <col min="6408" max="6408" width="10.5703125" style="24" bestFit="1" customWidth="1"/>
    <col min="6409" max="6409" width="11.42578125" style="24" bestFit="1" customWidth="1"/>
    <col min="6410" max="6410" width="12.42578125" style="24" bestFit="1" customWidth="1"/>
    <col min="6411" max="6411" width="9.140625" style="24" bestFit="1" customWidth="1"/>
    <col min="6412" max="6412" width="12.5703125" style="24" bestFit="1" customWidth="1"/>
    <col min="6413" max="6413" width="16.42578125" style="24" bestFit="1" customWidth="1"/>
    <col min="6414" max="6414" width="13.85546875" style="24" bestFit="1" customWidth="1"/>
    <col min="6415" max="6415" width="8.7109375" style="24" bestFit="1" customWidth="1"/>
    <col min="6416" max="6416" width="6.7109375" style="24" bestFit="1" customWidth="1"/>
    <col min="6417" max="6417" width="9.140625" style="24" customWidth="1"/>
    <col min="6418" max="6418" width="6.140625" style="24" bestFit="1" customWidth="1"/>
    <col min="6419" max="6419" width="9.28515625" style="24" bestFit="1" customWidth="1"/>
    <col min="6420" max="6420" width="10.42578125" style="24" bestFit="1" customWidth="1"/>
    <col min="6421" max="6653" width="9.140625" style="24"/>
    <col min="6654" max="6654" width="6.140625" style="24" bestFit="1" customWidth="1"/>
    <col min="6655" max="6655" width="14.28515625" style="24" bestFit="1" customWidth="1"/>
    <col min="6656" max="6656" width="21.85546875" style="24" bestFit="1" customWidth="1"/>
    <col min="6657" max="6657" width="0" style="24" hidden="1" customWidth="1"/>
    <col min="6658" max="6658" width="16.42578125" style="24" bestFit="1" customWidth="1"/>
    <col min="6659" max="6659" width="14" style="24" bestFit="1" customWidth="1"/>
    <col min="6660" max="6660" width="15.42578125" style="24" bestFit="1" customWidth="1"/>
    <col min="6661" max="6661" width="9.85546875" style="24" bestFit="1" customWidth="1"/>
    <col min="6662" max="6662" width="8.85546875" style="24" bestFit="1" customWidth="1"/>
    <col min="6663" max="6663" width="11.42578125" style="24" bestFit="1" customWidth="1"/>
    <col min="6664" max="6664" width="10.5703125" style="24" bestFit="1" customWidth="1"/>
    <col min="6665" max="6665" width="11.42578125" style="24" bestFit="1" customWidth="1"/>
    <col min="6666" max="6666" width="12.42578125" style="24" bestFit="1" customWidth="1"/>
    <col min="6667" max="6667" width="9.140625" style="24" bestFit="1" customWidth="1"/>
    <col min="6668" max="6668" width="12.5703125" style="24" bestFit="1" customWidth="1"/>
    <col min="6669" max="6669" width="16.42578125" style="24" bestFit="1" customWidth="1"/>
    <col min="6670" max="6670" width="13.85546875" style="24" bestFit="1" customWidth="1"/>
    <col min="6671" max="6671" width="8.7109375" style="24" bestFit="1" customWidth="1"/>
    <col min="6672" max="6672" width="6.7109375" style="24" bestFit="1" customWidth="1"/>
    <col min="6673" max="6673" width="9.140625" style="24" customWidth="1"/>
    <col min="6674" max="6674" width="6.140625" style="24" bestFit="1" customWidth="1"/>
    <col min="6675" max="6675" width="9.28515625" style="24" bestFit="1" customWidth="1"/>
    <col min="6676" max="6676" width="10.42578125" style="24" bestFit="1" customWidth="1"/>
    <col min="6677" max="6909" width="9.140625" style="24"/>
    <col min="6910" max="6910" width="6.140625" style="24" bestFit="1" customWidth="1"/>
    <col min="6911" max="6911" width="14.28515625" style="24" bestFit="1" customWidth="1"/>
    <col min="6912" max="6912" width="21.85546875" style="24" bestFit="1" customWidth="1"/>
    <col min="6913" max="6913" width="0" style="24" hidden="1" customWidth="1"/>
    <col min="6914" max="6914" width="16.42578125" style="24" bestFit="1" customWidth="1"/>
    <col min="6915" max="6915" width="14" style="24" bestFit="1" customWidth="1"/>
    <col min="6916" max="6916" width="15.42578125" style="24" bestFit="1" customWidth="1"/>
    <col min="6917" max="6917" width="9.85546875" style="24" bestFit="1" customWidth="1"/>
    <col min="6918" max="6918" width="8.85546875" style="24" bestFit="1" customWidth="1"/>
    <col min="6919" max="6919" width="11.42578125" style="24" bestFit="1" customWidth="1"/>
    <col min="6920" max="6920" width="10.5703125" style="24" bestFit="1" customWidth="1"/>
    <col min="6921" max="6921" width="11.42578125" style="24" bestFit="1" customWidth="1"/>
    <col min="6922" max="6922" width="12.42578125" style="24" bestFit="1" customWidth="1"/>
    <col min="6923" max="6923" width="9.140625" style="24" bestFit="1" customWidth="1"/>
    <col min="6924" max="6924" width="12.5703125" style="24" bestFit="1" customWidth="1"/>
    <col min="6925" max="6925" width="16.42578125" style="24" bestFit="1" customWidth="1"/>
    <col min="6926" max="6926" width="13.85546875" style="24" bestFit="1" customWidth="1"/>
    <col min="6927" max="6927" width="8.7109375" style="24" bestFit="1" customWidth="1"/>
    <col min="6928" max="6928" width="6.7109375" style="24" bestFit="1" customWidth="1"/>
    <col min="6929" max="6929" width="9.140625" style="24" customWidth="1"/>
    <col min="6930" max="6930" width="6.140625" style="24" bestFit="1" customWidth="1"/>
    <col min="6931" max="6931" width="9.28515625" style="24" bestFit="1" customWidth="1"/>
    <col min="6932" max="6932" width="10.42578125" style="24" bestFit="1" customWidth="1"/>
    <col min="6933" max="7165" width="9.140625" style="24"/>
    <col min="7166" max="7166" width="6.140625" style="24" bestFit="1" customWidth="1"/>
    <col min="7167" max="7167" width="14.28515625" style="24" bestFit="1" customWidth="1"/>
    <col min="7168" max="7168" width="21.85546875" style="24" bestFit="1" customWidth="1"/>
    <col min="7169" max="7169" width="0" style="24" hidden="1" customWidth="1"/>
    <col min="7170" max="7170" width="16.42578125" style="24" bestFit="1" customWidth="1"/>
    <col min="7171" max="7171" width="14" style="24" bestFit="1" customWidth="1"/>
    <col min="7172" max="7172" width="15.42578125" style="24" bestFit="1" customWidth="1"/>
    <col min="7173" max="7173" width="9.85546875" style="24" bestFit="1" customWidth="1"/>
    <col min="7174" max="7174" width="8.85546875" style="24" bestFit="1" customWidth="1"/>
    <col min="7175" max="7175" width="11.42578125" style="24" bestFit="1" customWidth="1"/>
    <col min="7176" max="7176" width="10.5703125" style="24" bestFit="1" customWidth="1"/>
    <col min="7177" max="7177" width="11.42578125" style="24" bestFit="1" customWidth="1"/>
    <col min="7178" max="7178" width="12.42578125" style="24" bestFit="1" customWidth="1"/>
    <col min="7179" max="7179" width="9.140625" style="24" bestFit="1" customWidth="1"/>
    <col min="7180" max="7180" width="12.5703125" style="24" bestFit="1" customWidth="1"/>
    <col min="7181" max="7181" width="16.42578125" style="24" bestFit="1" customWidth="1"/>
    <col min="7182" max="7182" width="13.85546875" style="24" bestFit="1" customWidth="1"/>
    <col min="7183" max="7183" width="8.7109375" style="24" bestFit="1" customWidth="1"/>
    <col min="7184" max="7184" width="6.7109375" style="24" bestFit="1" customWidth="1"/>
    <col min="7185" max="7185" width="9.140625" style="24" customWidth="1"/>
    <col min="7186" max="7186" width="6.140625" style="24" bestFit="1" customWidth="1"/>
    <col min="7187" max="7187" width="9.28515625" style="24" bestFit="1" customWidth="1"/>
    <col min="7188" max="7188" width="10.42578125" style="24" bestFit="1" customWidth="1"/>
    <col min="7189" max="7421" width="9.140625" style="24"/>
    <col min="7422" max="7422" width="6.140625" style="24" bestFit="1" customWidth="1"/>
    <col min="7423" max="7423" width="14.28515625" style="24" bestFit="1" customWidth="1"/>
    <col min="7424" max="7424" width="21.85546875" style="24" bestFit="1" customWidth="1"/>
    <col min="7425" max="7425" width="0" style="24" hidden="1" customWidth="1"/>
    <col min="7426" max="7426" width="16.42578125" style="24" bestFit="1" customWidth="1"/>
    <col min="7427" max="7427" width="14" style="24" bestFit="1" customWidth="1"/>
    <col min="7428" max="7428" width="15.42578125" style="24" bestFit="1" customWidth="1"/>
    <col min="7429" max="7429" width="9.85546875" style="24" bestFit="1" customWidth="1"/>
    <col min="7430" max="7430" width="8.85546875" style="24" bestFit="1" customWidth="1"/>
    <col min="7431" max="7431" width="11.42578125" style="24" bestFit="1" customWidth="1"/>
    <col min="7432" max="7432" width="10.5703125" style="24" bestFit="1" customWidth="1"/>
    <col min="7433" max="7433" width="11.42578125" style="24" bestFit="1" customWidth="1"/>
    <col min="7434" max="7434" width="12.42578125" style="24" bestFit="1" customWidth="1"/>
    <col min="7435" max="7435" width="9.140625" style="24" bestFit="1" customWidth="1"/>
    <col min="7436" max="7436" width="12.5703125" style="24" bestFit="1" customWidth="1"/>
    <col min="7437" max="7437" width="16.42578125" style="24" bestFit="1" customWidth="1"/>
    <col min="7438" max="7438" width="13.85546875" style="24" bestFit="1" customWidth="1"/>
    <col min="7439" max="7439" width="8.7109375" style="24" bestFit="1" customWidth="1"/>
    <col min="7440" max="7440" width="6.7109375" style="24" bestFit="1" customWidth="1"/>
    <col min="7441" max="7441" width="9.140625" style="24" customWidth="1"/>
    <col min="7442" max="7442" width="6.140625" style="24" bestFit="1" customWidth="1"/>
    <col min="7443" max="7443" width="9.28515625" style="24" bestFit="1" customWidth="1"/>
    <col min="7444" max="7444" width="10.42578125" style="24" bestFit="1" customWidth="1"/>
    <col min="7445" max="7677" width="9.140625" style="24"/>
    <col min="7678" max="7678" width="6.140625" style="24" bestFit="1" customWidth="1"/>
    <col min="7679" max="7679" width="14.28515625" style="24" bestFit="1" customWidth="1"/>
    <col min="7680" max="7680" width="21.85546875" style="24" bestFit="1" customWidth="1"/>
    <col min="7681" max="7681" width="0" style="24" hidden="1" customWidth="1"/>
    <col min="7682" max="7682" width="16.42578125" style="24" bestFit="1" customWidth="1"/>
    <col min="7683" max="7683" width="14" style="24" bestFit="1" customWidth="1"/>
    <col min="7684" max="7684" width="15.42578125" style="24" bestFit="1" customWidth="1"/>
    <col min="7685" max="7685" width="9.85546875" style="24" bestFit="1" customWidth="1"/>
    <col min="7686" max="7686" width="8.85546875" style="24" bestFit="1" customWidth="1"/>
    <col min="7687" max="7687" width="11.42578125" style="24" bestFit="1" customWidth="1"/>
    <col min="7688" max="7688" width="10.5703125" style="24" bestFit="1" customWidth="1"/>
    <col min="7689" max="7689" width="11.42578125" style="24" bestFit="1" customWidth="1"/>
    <col min="7690" max="7690" width="12.42578125" style="24" bestFit="1" customWidth="1"/>
    <col min="7691" max="7691" width="9.140625" style="24" bestFit="1" customWidth="1"/>
    <col min="7692" max="7692" width="12.5703125" style="24" bestFit="1" customWidth="1"/>
    <col min="7693" max="7693" width="16.42578125" style="24" bestFit="1" customWidth="1"/>
    <col min="7694" max="7694" width="13.85546875" style="24" bestFit="1" customWidth="1"/>
    <col min="7695" max="7695" width="8.7109375" style="24" bestFit="1" customWidth="1"/>
    <col min="7696" max="7696" width="6.7109375" style="24" bestFit="1" customWidth="1"/>
    <col min="7697" max="7697" width="9.140625" style="24" customWidth="1"/>
    <col min="7698" max="7698" width="6.140625" style="24" bestFit="1" customWidth="1"/>
    <col min="7699" max="7699" width="9.28515625" style="24" bestFit="1" customWidth="1"/>
    <col min="7700" max="7700" width="10.42578125" style="24" bestFit="1" customWidth="1"/>
    <col min="7701" max="7933" width="9.140625" style="24"/>
    <col min="7934" max="7934" width="6.140625" style="24" bestFit="1" customWidth="1"/>
    <col min="7935" max="7935" width="14.28515625" style="24" bestFit="1" customWidth="1"/>
    <col min="7936" max="7936" width="21.85546875" style="24" bestFit="1" customWidth="1"/>
    <col min="7937" max="7937" width="0" style="24" hidden="1" customWidth="1"/>
    <col min="7938" max="7938" width="16.42578125" style="24" bestFit="1" customWidth="1"/>
    <col min="7939" max="7939" width="14" style="24" bestFit="1" customWidth="1"/>
    <col min="7940" max="7940" width="15.42578125" style="24" bestFit="1" customWidth="1"/>
    <col min="7941" max="7941" width="9.85546875" style="24" bestFit="1" customWidth="1"/>
    <col min="7942" max="7942" width="8.85546875" style="24" bestFit="1" customWidth="1"/>
    <col min="7943" max="7943" width="11.42578125" style="24" bestFit="1" customWidth="1"/>
    <col min="7944" max="7944" width="10.5703125" style="24" bestFit="1" customWidth="1"/>
    <col min="7945" max="7945" width="11.42578125" style="24" bestFit="1" customWidth="1"/>
    <col min="7946" max="7946" width="12.42578125" style="24" bestFit="1" customWidth="1"/>
    <col min="7947" max="7947" width="9.140625" style="24" bestFit="1" customWidth="1"/>
    <col min="7948" max="7948" width="12.5703125" style="24" bestFit="1" customWidth="1"/>
    <col min="7949" max="7949" width="16.42578125" style="24" bestFit="1" customWidth="1"/>
    <col min="7950" max="7950" width="13.85546875" style="24" bestFit="1" customWidth="1"/>
    <col min="7951" max="7951" width="8.7109375" style="24" bestFit="1" customWidth="1"/>
    <col min="7952" max="7952" width="6.7109375" style="24" bestFit="1" customWidth="1"/>
    <col min="7953" max="7953" width="9.140625" style="24" customWidth="1"/>
    <col min="7954" max="7954" width="6.140625" style="24" bestFit="1" customWidth="1"/>
    <col min="7955" max="7955" width="9.28515625" style="24" bestFit="1" customWidth="1"/>
    <col min="7956" max="7956" width="10.42578125" style="24" bestFit="1" customWidth="1"/>
    <col min="7957" max="8189" width="9.140625" style="24"/>
    <col min="8190" max="8190" width="6.140625" style="24" bestFit="1" customWidth="1"/>
    <col min="8191" max="8191" width="14.28515625" style="24" bestFit="1" customWidth="1"/>
    <col min="8192" max="8192" width="21.85546875" style="24" bestFit="1" customWidth="1"/>
    <col min="8193" max="8193" width="0" style="24" hidden="1" customWidth="1"/>
    <col min="8194" max="8194" width="16.42578125" style="24" bestFit="1" customWidth="1"/>
    <col min="8195" max="8195" width="14" style="24" bestFit="1" customWidth="1"/>
    <col min="8196" max="8196" width="15.42578125" style="24" bestFit="1" customWidth="1"/>
    <col min="8197" max="8197" width="9.85546875" style="24" bestFit="1" customWidth="1"/>
    <col min="8198" max="8198" width="8.85546875" style="24" bestFit="1" customWidth="1"/>
    <col min="8199" max="8199" width="11.42578125" style="24" bestFit="1" customWidth="1"/>
    <col min="8200" max="8200" width="10.5703125" style="24" bestFit="1" customWidth="1"/>
    <col min="8201" max="8201" width="11.42578125" style="24" bestFit="1" customWidth="1"/>
    <col min="8202" max="8202" width="12.42578125" style="24" bestFit="1" customWidth="1"/>
    <col min="8203" max="8203" width="9.140625" style="24" bestFit="1" customWidth="1"/>
    <col min="8204" max="8204" width="12.5703125" style="24" bestFit="1" customWidth="1"/>
    <col min="8205" max="8205" width="16.42578125" style="24" bestFit="1" customWidth="1"/>
    <col min="8206" max="8206" width="13.85546875" style="24" bestFit="1" customWidth="1"/>
    <col min="8207" max="8207" width="8.7109375" style="24" bestFit="1" customWidth="1"/>
    <col min="8208" max="8208" width="6.7109375" style="24" bestFit="1" customWidth="1"/>
    <col min="8209" max="8209" width="9.140625" style="24" customWidth="1"/>
    <col min="8210" max="8210" width="6.140625" style="24" bestFit="1" customWidth="1"/>
    <col min="8211" max="8211" width="9.28515625" style="24" bestFit="1" customWidth="1"/>
    <col min="8212" max="8212" width="10.42578125" style="24" bestFit="1" customWidth="1"/>
    <col min="8213" max="8445" width="9.140625" style="24"/>
    <col min="8446" max="8446" width="6.140625" style="24" bestFit="1" customWidth="1"/>
    <col min="8447" max="8447" width="14.28515625" style="24" bestFit="1" customWidth="1"/>
    <col min="8448" max="8448" width="21.85546875" style="24" bestFit="1" customWidth="1"/>
    <col min="8449" max="8449" width="0" style="24" hidden="1" customWidth="1"/>
    <col min="8450" max="8450" width="16.42578125" style="24" bestFit="1" customWidth="1"/>
    <col min="8451" max="8451" width="14" style="24" bestFit="1" customWidth="1"/>
    <col min="8452" max="8452" width="15.42578125" style="24" bestFit="1" customWidth="1"/>
    <col min="8453" max="8453" width="9.85546875" style="24" bestFit="1" customWidth="1"/>
    <col min="8454" max="8454" width="8.85546875" style="24" bestFit="1" customWidth="1"/>
    <col min="8455" max="8455" width="11.42578125" style="24" bestFit="1" customWidth="1"/>
    <col min="8456" max="8456" width="10.5703125" style="24" bestFit="1" customWidth="1"/>
    <col min="8457" max="8457" width="11.42578125" style="24" bestFit="1" customWidth="1"/>
    <col min="8458" max="8458" width="12.42578125" style="24" bestFit="1" customWidth="1"/>
    <col min="8459" max="8459" width="9.140625" style="24" bestFit="1" customWidth="1"/>
    <col min="8460" max="8460" width="12.5703125" style="24" bestFit="1" customWidth="1"/>
    <col min="8461" max="8461" width="16.42578125" style="24" bestFit="1" customWidth="1"/>
    <col min="8462" max="8462" width="13.85546875" style="24" bestFit="1" customWidth="1"/>
    <col min="8463" max="8463" width="8.7109375" style="24" bestFit="1" customWidth="1"/>
    <col min="8464" max="8464" width="6.7109375" style="24" bestFit="1" customWidth="1"/>
    <col min="8465" max="8465" width="9.140625" style="24" customWidth="1"/>
    <col min="8466" max="8466" width="6.140625" style="24" bestFit="1" customWidth="1"/>
    <col min="8467" max="8467" width="9.28515625" style="24" bestFit="1" customWidth="1"/>
    <col min="8468" max="8468" width="10.42578125" style="24" bestFit="1" customWidth="1"/>
    <col min="8469" max="8701" width="9.140625" style="24"/>
    <col min="8702" max="8702" width="6.140625" style="24" bestFit="1" customWidth="1"/>
    <col min="8703" max="8703" width="14.28515625" style="24" bestFit="1" customWidth="1"/>
    <col min="8704" max="8704" width="21.85546875" style="24" bestFit="1" customWidth="1"/>
    <col min="8705" max="8705" width="0" style="24" hidden="1" customWidth="1"/>
    <col min="8706" max="8706" width="16.42578125" style="24" bestFit="1" customWidth="1"/>
    <col min="8707" max="8707" width="14" style="24" bestFit="1" customWidth="1"/>
    <col min="8708" max="8708" width="15.42578125" style="24" bestFit="1" customWidth="1"/>
    <col min="8709" max="8709" width="9.85546875" style="24" bestFit="1" customWidth="1"/>
    <col min="8710" max="8710" width="8.85546875" style="24" bestFit="1" customWidth="1"/>
    <col min="8711" max="8711" width="11.42578125" style="24" bestFit="1" customWidth="1"/>
    <col min="8712" max="8712" width="10.5703125" style="24" bestFit="1" customWidth="1"/>
    <col min="8713" max="8713" width="11.42578125" style="24" bestFit="1" customWidth="1"/>
    <col min="8714" max="8714" width="12.42578125" style="24" bestFit="1" customWidth="1"/>
    <col min="8715" max="8715" width="9.140625" style="24" bestFit="1" customWidth="1"/>
    <col min="8716" max="8716" width="12.5703125" style="24" bestFit="1" customWidth="1"/>
    <col min="8717" max="8717" width="16.42578125" style="24" bestFit="1" customWidth="1"/>
    <col min="8718" max="8718" width="13.85546875" style="24" bestFit="1" customWidth="1"/>
    <col min="8719" max="8719" width="8.7109375" style="24" bestFit="1" customWidth="1"/>
    <col min="8720" max="8720" width="6.7109375" style="24" bestFit="1" customWidth="1"/>
    <col min="8721" max="8721" width="9.140625" style="24" customWidth="1"/>
    <col min="8722" max="8722" width="6.140625" style="24" bestFit="1" customWidth="1"/>
    <col min="8723" max="8723" width="9.28515625" style="24" bestFit="1" customWidth="1"/>
    <col min="8724" max="8724" width="10.42578125" style="24" bestFit="1" customWidth="1"/>
    <col min="8725" max="8957" width="9.140625" style="24"/>
    <col min="8958" max="8958" width="6.140625" style="24" bestFit="1" customWidth="1"/>
    <col min="8959" max="8959" width="14.28515625" style="24" bestFit="1" customWidth="1"/>
    <col min="8960" max="8960" width="21.85546875" style="24" bestFit="1" customWidth="1"/>
    <col min="8961" max="8961" width="0" style="24" hidden="1" customWidth="1"/>
    <col min="8962" max="8962" width="16.42578125" style="24" bestFit="1" customWidth="1"/>
    <col min="8963" max="8963" width="14" style="24" bestFit="1" customWidth="1"/>
    <col min="8964" max="8964" width="15.42578125" style="24" bestFit="1" customWidth="1"/>
    <col min="8965" max="8965" width="9.85546875" style="24" bestFit="1" customWidth="1"/>
    <col min="8966" max="8966" width="8.85546875" style="24" bestFit="1" customWidth="1"/>
    <col min="8967" max="8967" width="11.42578125" style="24" bestFit="1" customWidth="1"/>
    <col min="8968" max="8968" width="10.5703125" style="24" bestFit="1" customWidth="1"/>
    <col min="8969" max="8969" width="11.42578125" style="24" bestFit="1" customWidth="1"/>
    <col min="8970" max="8970" width="12.42578125" style="24" bestFit="1" customWidth="1"/>
    <col min="8971" max="8971" width="9.140625" style="24" bestFit="1" customWidth="1"/>
    <col min="8972" max="8972" width="12.5703125" style="24" bestFit="1" customWidth="1"/>
    <col min="8973" max="8973" width="16.42578125" style="24" bestFit="1" customWidth="1"/>
    <col min="8974" max="8974" width="13.85546875" style="24" bestFit="1" customWidth="1"/>
    <col min="8975" max="8975" width="8.7109375" style="24" bestFit="1" customWidth="1"/>
    <col min="8976" max="8976" width="6.7109375" style="24" bestFit="1" customWidth="1"/>
    <col min="8977" max="8977" width="9.140625" style="24" customWidth="1"/>
    <col min="8978" max="8978" width="6.140625" style="24" bestFit="1" customWidth="1"/>
    <col min="8979" max="8979" width="9.28515625" style="24" bestFit="1" customWidth="1"/>
    <col min="8980" max="8980" width="10.42578125" style="24" bestFit="1" customWidth="1"/>
    <col min="8981" max="9213" width="9.140625" style="24"/>
    <col min="9214" max="9214" width="6.140625" style="24" bestFit="1" customWidth="1"/>
    <col min="9215" max="9215" width="14.28515625" style="24" bestFit="1" customWidth="1"/>
    <col min="9216" max="9216" width="21.85546875" style="24" bestFit="1" customWidth="1"/>
    <col min="9217" max="9217" width="0" style="24" hidden="1" customWidth="1"/>
    <col min="9218" max="9218" width="16.42578125" style="24" bestFit="1" customWidth="1"/>
    <col min="9219" max="9219" width="14" style="24" bestFit="1" customWidth="1"/>
    <col min="9220" max="9220" width="15.42578125" style="24" bestFit="1" customWidth="1"/>
    <col min="9221" max="9221" width="9.85546875" style="24" bestFit="1" customWidth="1"/>
    <col min="9222" max="9222" width="8.85546875" style="24" bestFit="1" customWidth="1"/>
    <col min="9223" max="9223" width="11.42578125" style="24" bestFit="1" customWidth="1"/>
    <col min="9224" max="9224" width="10.5703125" style="24" bestFit="1" customWidth="1"/>
    <col min="9225" max="9225" width="11.42578125" style="24" bestFit="1" customWidth="1"/>
    <col min="9226" max="9226" width="12.42578125" style="24" bestFit="1" customWidth="1"/>
    <col min="9227" max="9227" width="9.140625" style="24" bestFit="1" customWidth="1"/>
    <col min="9228" max="9228" width="12.5703125" style="24" bestFit="1" customWidth="1"/>
    <col min="9229" max="9229" width="16.42578125" style="24" bestFit="1" customWidth="1"/>
    <col min="9230" max="9230" width="13.85546875" style="24" bestFit="1" customWidth="1"/>
    <col min="9231" max="9231" width="8.7109375" style="24" bestFit="1" customWidth="1"/>
    <col min="9232" max="9232" width="6.7109375" style="24" bestFit="1" customWidth="1"/>
    <col min="9233" max="9233" width="9.140625" style="24" customWidth="1"/>
    <col min="9234" max="9234" width="6.140625" style="24" bestFit="1" customWidth="1"/>
    <col min="9235" max="9235" width="9.28515625" style="24" bestFit="1" customWidth="1"/>
    <col min="9236" max="9236" width="10.42578125" style="24" bestFit="1" customWidth="1"/>
    <col min="9237" max="9469" width="9.140625" style="24"/>
    <col min="9470" max="9470" width="6.140625" style="24" bestFit="1" customWidth="1"/>
    <col min="9471" max="9471" width="14.28515625" style="24" bestFit="1" customWidth="1"/>
    <col min="9472" max="9472" width="21.85546875" style="24" bestFit="1" customWidth="1"/>
    <col min="9473" max="9473" width="0" style="24" hidden="1" customWidth="1"/>
    <col min="9474" max="9474" width="16.42578125" style="24" bestFit="1" customWidth="1"/>
    <col min="9475" max="9475" width="14" style="24" bestFit="1" customWidth="1"/>
    <col min="9476" max="9476" width="15.42578125" style="24" bestFit="1" customWidth="1"/>
    <col min="9477" max="9477" width="9.85546875" style="24" bestFit="1" customWidth="1"/>
    <col min="9478" max="9478" width="8.85546875" style="24" bestFit="1" customWidth="1"/>
    <col min="9479" max="9479" width="11.42578125" style="24" bestFit="1" customWidth="1"/>
    <col min="9480" max="9480" width="10.5703125" style="24" bestFit="1" customWidth="1"/>
    <col min="9481" max="9481" width="11.42578125" style="24" bestFit="1" customWidth="1"/>
    <col min="9482" max="9482" width="12.42578125" style="24" bestFit="1" customWidth="1"/>
    <col min="9483" max="9483" width="9.140625" style="24" bestFit="1" customWidth="1"/>
    <col min="9484" max="9484" width="12.5703125" style="24" bestFit="1" customWidth="1"/>
    <col min="9485" max="9485" width="16.42578125" style="24" bestFit="1" customWidth="1"/>
    <col min="9486" max="9486" width="13.85546875" style="24" bestFit="1" customWidth="1"/>
    <col min="9487" max="9487" width="8.7109375" style="24" bestFit="1" customWidth="1"/>
    <col min="9488" max="9488" width="6.7109375" style="24" bestFit="1" customWidth="1"/>
    <col min="9489" max="9489" width="9.140625" style="24" customWidth="1"/>
    <col min="9490" max="9490" width="6.140625" style="24" bestFit="1" customWidth="1"/>
    <col min="9491" max="9491" width="9.28515625" style="24" bestFit="1" customWidth="1"/>
    <col min="9492" max="9492" width="10.42578125" style="24" bestFit="1" customWidth="1"/>
    <col min="9493" max="9725" width="9.140625" style="24"/>
    <col min="9726" max="9726" width="6.140625" style="24" bestFit="1" customWidth="1"/>
    <col min="9727" max="9727" width="14.28515625" style="24" bestFit="1" customWidth="1"/>
    <col min="9728" max="9728" width="21.85546875" style="24" bestFit="1" customWidth="1"/>
    <col min="9729" max="9729" width="0" style="24" hidden="1" customWidth="1"/>
    <col min="9730" max="9730" width="16.42578125" style="24" bestFit="1" customWidth="1"/>
    <col min="9731" max="9731" width="14" style="24" bestFit="1" customWidth="1"/>
    <col min="9732" max="9732" width="15.42578125" style="24" bestFit="1" customWidth="1"/>
    <col min="9733" max="9733" width="9.85546875" style="24" bestFit="1" customWidth="1"/>
    <col min="9734" max="9734" width="8.85546875" style="24" bestFit="1" customWidth="1"/>
    <col min="9735" max="9735" width="11.42578125" style="24" bestFit="1" customWidth="1"/>
    <col min="9736" max="9736" width="10.5703125" style="24" bestFit="1" customWidth="1"/>
    <col min="9737" max="9737" width="11.42578125" style="24" bestFit="1" customWidth="1"/>
    <col min="9738" max="9738" width="12.42578125" style="24" bestFit="1" customWidth="1"/>
    <col min="9739" max="9739" width="9.140625" style="24" bestFit="1" customWidth="1"/>
    <col min="9740" max="9740" width="12.5703125" style="24" bestFit="1" customWidth="1"/>
    <col min="9741" max="9741" width="16.42578125" style="24" bestFit="1" customWidth="1"/>
    <col min="9742" max="9742" width="13.85546875" style="24" bestFit="1" customWidth="1"/>
    <col min="9743" max="9743" width="8.7109375" style="24" bestFit="1" customWidth="1"/>
    <col min="9744" max="9744" width="6.7109375" style="24" bestFit="1" customWidth="1"/>
    <col min="9745" max="9745" width="9.140625" style="24" customWidth="1"/>
    <col min="9746" max="9746" width="6.140625" style="24" bestFit="1" customWidth="1"/>
    <col min="9747" max="9747" width="9.28515625" style="24" bestFit="1" customWidth="1"/>
    <col min="9748" max="9748" width="10.42578125" style="24" bestFit="1" customWidth="1"/>
    <col min="9749" max="9981" width="9.140625" style="24"/>
    <col min="9982" max="9982" width="6.140625" style="24" bestFit="1" customWidth="1"/>
    <col min="9983" max="9983" width="14.28515625" style="24" bestFit="1" customWidth="1"/>
    <col min="9984" max="9984" width="21.85546875" style="24" bestFit="1" customWidth="1"/>
    <col min="9985" max="9985" width="0" style="24" hidden="1" customWidth="1"/>
    <col min="9986" max="9986" width="16.42578125" style="24" bestFit="1" customWidth="1"/>
    <col min="9987" max="9987" width="14" style="24" bestFit="1" customWidth="1"/>
    <col min="9988" max="9988" width="15.42578125" style="24" bestFit="1" customWidth="1"/>
    <col min="9989" max="9989" width="9.85546875" style="24" bestFit="1" customWidth="1"/>
    <col min="9990" max="9990" width="8.85546875" style="24" bestFit="1" customWidth="1"/>
    <col min="9991" max="9991" width="11.42578125" style="24" bestFit="1" customWidth="1"/>
    <col min="9992" max="9992" width="10.5703125" style="24" bestFit="1" customWidth="1"/>
    <col min="9993" max="9993" width="11.42578125" style="24" bestFit="1" customWidth="1"/>
    <col min="9994" max="9994" width="12.42578125" style="24" bestFit="1" customWidth="1"/>
    <col min="9995" max="9995" width="9.140625" style="24" bestFit="1" customWidth="1"/>
    <col min="9996" max="9996" width="12.5703125" style="24" bestFit="1" customWidth="1"/>
    <col min="9997" max="9997" width="16.42578125" style="24" bestFit="1" customWidth="1"/>
    <col min="9998" max="9998" width="13.85546875" style="24" bestFit="1" customWidth="1"/>
    <col min="9999" max="9999" width="8.7109375" style="24" bestFit="1" customWidth="1"/>
    <col min="10000" max="10000" width="6.7109375" style="24" bestFit="1" customWidth="1"/>
    <col min="10001" max="10001" width="9.140625" style="24" customWidth="1"/>
    <col min="10002" max="10002" width="6.140625" style="24" bestFit="1" customWidth="1"/>
    <col min="10003" max="10003" width="9.28515625" style="24" bestFit="1" customWidth="1"/>
    <col min="10004" max="10004" width="10.42578125" style="24" bestFit="1" customWidth="1"/>
    <col min="10005" max="10237" width="9.140625" style="24"/>
    <col min="10238" max="10238" width="6.140625" style="24" bestFit="1" customWidth="1"/>
    <col min="10239" max="10239" width="14.28515625" style="24" bestFit="1" customWidth="1"/>
    <col min="10240" max="10240" width="21.85546875" style="24" bestFit="1" customWidth="1"/>
    <col min="10241" max="10241" width="0" style="24" hidden="1" customWidth="1"/>
    <col min="10242" max="10242" width="16.42578125" style="24" bestFit="1" customWidth="1"/>
    <col min="10243" max="10243" width="14" style="24" bestFit="1" customWidth="1"/>
    <col min="10244" max="10244" width="15.42578125" style="24" bestFit="1" customWidth="1"/>
    <col min="10245" max="10245" width="9.85546875" style="24" bestFit="1" customWidth="1"/>
    <col min="10246" max="10246" width="8.85546875" style="24" bestFit="1" customWidth="1"/>
    <col min="10247" max="10247" width="11.42578125" style="24" bestFit="1" customWidth="1"/>
    <col min="10248" max="10248" width="10.5703125" style="24" bestFit="1" customWidth="1"/>
    <col min="10249" max="10249" width="11.42578125" style="24" bestFit="1" customWidth="1"/>
    <col min="10250" max="10250" width="12.42578125" style="24" bestFit="1" customWidth="1"/>
    <col min="10251" max="10251" width="9.140625" style="24" bestFit="1" customWidth="1"/>
    <col min="10252" max="10252" width="12.5703125" style="24" bestFit="1" customWidth="1"/>
    <col min="10253" max="10253" width="16.42578125" style="24" bestFit="1" customWidth="1"/>
    <col min="10254" max="10254" width="13.85546875" style="24" bestFit="1" customWidth="1"/>
    <col min="10255" max="10255" width="8.7109375" style="24" bestFit="1" customWidth="1"/>
    <col min="10256" max="10256" width="6.7109375" style="24" bestFit="1" customWidth="1"/>
    <col min="10257" max="10257" width="9.140625" style="24" customWidth="1"/>
    <col min="10258" max="10258" width="6.140625" style="24" bestFit="1" customWidth="1"/>
    <col min="10259" max="10259" width="9.28515625" style="24" bestFit="1" customWidth="1"/>
    <col min="10260" max="10260" width="10.42578125" style="24" bestFit="1" customWidth="1"/>
    <col min="10261" max="10493" width="9.140625" style="24"/>
    <col min="10494" max="10494" width="6.140625" style="24" bestFit="1" customWidth="1"/>
    <col min="10495" max="10495" width="14.28515625" style="24" bestFit="1" customWidth="1"/>
    <col min="10496" max="10496" width="21.85546875" style="24" bestFit="1" customWidth="1"/>
    <col min="10497" max="10497" width="0" style="24" hidden="1" customWidth="1"/>
    <col min="10498" max="10498" width="16.42578125" style="24" bestFit="1" customWidth="1"/>
    <col min="10499" max="10499" width="14" style="24" bestFit="1" customWidth="1"/>
    <col min="10500" max="10500" width="15.42578125" style="24" bestFit="1" customWidth="1"/>
    <col min="10501" max="10501" width="9.85546875" style="24" bestFit="1" customWidth="1"/>
    <col min="10502" max="10502" width="8.85546875" style="24" bestFit="1" customWidth="1"/>
    <col min="10503" max="10503" width="11.42578125" style="24" bestFit="1" customWidth="1"/>
    <col min="10504" max="10504" width="10.5703125" style="24" bestFit="1" customWidth="1"/>
    <col min="10505" max="10505" width="11.42578125" style="24" bestFit="1" customWidth="1"/>
    <col min="10506" max="10506" width="12.42578125" style="24" bestFit="1" customWidth="1"/>
    <col min="10507" max="10507" width="9.140625" style="24" bestFit="1" customWidth="1"/>
    <col min="10508" max="10508" width="12.5703125" style="24" bestFit="1" customWidth="1"/>
    <col min="10509" max="10509" width="16.42578125" style="24" bestFit="1" customWidth="1"/>
    <col min="10510" max="10510" width="13.85546875" style="24" bestFit="1" customWidth="1"/>
    <col min="10511" max="10511" width="8.7109375" style="24" bestFit="1" customWidth="1"/>
    <col min="10512" max="10512" width="6.7109375" style="24" bestFit="1" customWidth="1"/>
    <col min="10513" max="10513" width="9.140625" style="24" customWidth="1"/>
    <col min="10514" max="10514" width="6.140625" style="24" bestFit="1" customWidth="1"/>
    <col min="10515" max="10515" width="9.28515625" style="24" bestFit="1" customWidth="1"/>
    <col min="10516" max="10516" width="10.42578125" style="24" bestFit="1" customWidth="1"/>
    <col min="10517" max="10749" width="9.140625" style="24"/>
    <col min="10750" max="10750" width="6.140625" style="24" bestFit="1" customWidth="1"/>
    <col min="10751" max="10751" width="14.28515625" style="24" bestFit="1" customWidth="1"/>
    <col min="10752" max="10752" width="21.85546875" style="24" bestFit="1" customWidth="1"/>
    <col min="10753" max="10753" width="0" style="24" hidden="1" customWidth="1"/>
    <col min="10754" max="10754" width="16.42578125" style="24" bestFit="1" customWidth="1"/>
    <col min="10755" max="10755" width="14" style="24" bestFit="1" customWidth="1"/>
    <col min="10756" max="10756" width="15.42578125" style="24" bestFit="1" customWidth="1"/>
    <col min="10757" max="10757" width="9.85546875" style="24" bestFit="1" customWidth="1"/>
    <col min="10758" max="10758" width="8.85546875" style="24" bestFit="1" customWidth="1"/>
    <col min="10759" max="10759" width="11.42578125" style="24" bestFit="1" customWidth="1"/>
    <col min="10760" max="10760" width="10.5703125" style="24" bestFit="1" customWidth="1"/>
    <col min="10761" max="10761" width="11.42578125" style="24" bestFit="1" customWidth="1"/>
    <col min="10762" max="10762" width="12.42578125" style="24" bestFit="1" customWidth="1"/>
    <col min="10763" max="10763" width="9.140625" style="24" bestFit="1" customWidth="1"/>
    <col min="10764" max="10764" width="12.5703125" style="24" bestFit="1" customWidth="1"/>
    <col min="10765" max="10765" width="16.42578125" style="24" bestFit="1" customWidth="1"/>
    <col min="10766" max="10766" width="13.85546875" style="24" bestFit="1" customWidth="1"/>
    <col min="10767" max="10767" width="8.7109375" style="24" bestFit="1" customWidth="1"/>
    <col min="10768" max="10768" width="6.7109375" style="24" bestFit="1" customWidth="1"/>
    <col min="10769" max="10769" width="9.140625" style="24" customWidth="1"/>
    <col min="10770" max="10770" width="6.140625" style="24" bestFit="1" customWidth="1"/>
    <col min="10771" max="10771" width="9.28515625" style="24" bestFit="1" customWidth="1"/>
    <col min="10772" max="10772" width="10.42578125" style="24" bestFit="1" customWidth="1"/>
    <col min="10773" max="11005" width="9.140625" style="24"/>
    <col min="11006" max="11006" width="6.140625" style="24" bestFit="1" customWidth="1"/>
    <col min="11007" max="11007" width="14.28515625" style="24" bestFit="1" customWidth="1"/>
    <col min="11008" max="11008" width="21.85546875" style="24" bestFit="1" customWidth="1"/>
    <col min="11009" max="11009" width="0" style="24" hidden="1" customWidth="1"/>
    <col min="11010" max="11010" width="16.42578125" style="24" bestFit="1" customWidth="1"/>
    <col min="11011" max="11011" width="14" style="24" bestFit="1" customWidth="1"/>
    <col min="11012" max="11012" width="15.42578125" style="24" bestFit="1" customWidth="1"/>
    <col min="11013" max="11013" width="9.85546875" style="24" bestFit="1" customWidth="1"/>
    <col min="11014" max="11014" width="8.85546875" style="24" bestFit="1" customWidth="1"/>
    <col min="11015" max="11015" width="11.42578125" style="24" bestFit="1" customWidth="1"/>
    <col min="11016" max="11016" width="10.5703125" style="24" bestFit="1" customWidth="1"/>
    <col min="11017" max="11017" width="11.42578125" style="24" bestFit="1" customWidth="1"/>
    <col min="11018" max="11018" width="12.42578125" style="24" bestFit="1" customWidth="1"/>
    <col min="11019" max="11019" width="9.140625" style="24" bestFit="1" customWidth="1"/>
    <col min="11020" max="11020" width="12.5703125" style="24" bestFit="1" customWidth="1"/>
    <col min="11021" max="11021" width="16.42578125" style="24" bestFit="1" customWidth="1"/>
    <col min="11022" max="11022" width="13.85546875" style="24" bestFit="1" customWidth="1"/>
    <col min="11023" max="11023" width="8.7109375" style="24" bestFit="1" customWidth="1"/>
    <col min="11024" max="11024" width="6.7109375" style="24" bestFit="1" customWidth="1"/>
    <col min="11025" max="11025" width="9.140625" style="24" customWidth="1"/>
    <col min="11026" max="11026" width="6.140625" style="24" bestFit="1" customWidth="1"/>
    <col min="11027" max="11027" width="9.28515625" style="24" bestFit="1" customWidth="1"/>
    <col min="11028" max="11028" width="10.42578125" style="24" bestFit="1" customWidth="1"/>
    <col min="11029" max="11261" width="9.140625" style="24"/>
    <col min="11262" max="11262" width="6.140625" style="24" bestFit="1" customWidth="1"/>
    <col min="11263" max="11263" width="14.28515625" style="24" bestFit="1" customWidth="1"/>
    <col min="11264" max="11264" width="21.85546875" style="24" bestFit="1" customWidth="1"/>
    <col min="11265" max="11265" width="0" style="24" hidden="1" customWidth="1"/>
    <col min="11266" max="11266" width="16.42578125" style="24" bestFit="1" customWidth="1"/>
    <col min="11267" max="11267" width="14" style="24" bestFit="1" customWidth="1"/>
    <col min="11268" max="11268" width="15.42578125" style="24" bestFit="1" customWidth="1"/>
    <col min="11269" max="11269" width="9.85546875" style="24" bestFit="1" customWidth="1"/>
    <col min="11270" max="11270" width="8.85546875" style="24" bestFit="1" customWidth="1"/>
    <col min="11271" max="11271" width="11.42578125" style="24" bestFit="1" customWidth="1"/>
    <col min="11272" max="11272" width="10.5703125" style="24" bestFit="1" customWidth="1"/>
    <col min="11273" max="11273" width="11.42578125" style="24" bestFit="1" customWidth="1"/>
    <col min="11274" max="11274" width="12.42578125" style="24" bestFit="1" customWidth="1"/>
    <col min="11275" max="11275" width="9.140625" style="24" bestFit="1" customWidth="1"/>
    <col min="11276" max="11276" width="12.5703125" style="24" bestFit="1" customWidth="1"/>
    <col min="11277" max="11277" width="16.42578125" style="24" bestFit="1" customWidth="1"/>
    <col min="11278" max="11278" width="13.85546875" style="24" bestFit="1" customWidth="1"/>
    <col min="11279" max="11279" width="8.7109375" style="24" bestFit="1" customWidth="1"/>
    <col min="11280" max="11280" width="6.7109375" style="24" bestFit="1" customWidth="1"/>
    <col min="11281" max="11281" width="9.140625" style="24" customWidth="1"/>
    <col min="11282" max="11282" width="6.140625" style="24" bestFit="1" customWidth="1"/>
    <col min="11283" max="11283" width="9.28515625" style="24" bestFit="1" customWidth="1"/>
    <col min="11284" max="11284" width="10.42578125" style="24" bestFit="1" customWidth="1"/>
    <col min="11285" max="11517" width="9.140625" style="24"/>
    <col min="11518" max="11518" width="6.140625" style="24" bestFit="1" customWidth="1"/>
    <col min="11519" max="11519" width="14.28515625" style="24" bestFit="1" customWidth="1"/>
    <col min="11520" max="11520" width="21.85546875" style="24" bestFit="1" customWidth="1"/>
    <col min="11521" max="11521" width="0" style="24" hidden="1" customWidth="1"/>
    <col min="11522" max="11522" width="16.42578125" style="24" bestFit="1" customWidth="1"/>
    <col min="11523" max="11523" width="14" style="24" bestFit="1" customWidth="1"/>
    <col min="11524" max="11524" width="15.42578125" style="24" bestFit="1" customWidth="1"/>
    <col min="11525" max="11525" width="9.85546875" style="24" bestFit="1" customWidth="1"/>
    <col min="11526" max="11526" width="8.85546875" style="24" bestFit="1" customWidth="1"/>
    <col min="11527" max="11527" width="11.42578125" style="24" bestFit="1" customWidth="1"/>
    <col min="11528" max="11528" width="10.5703125" style="24" bestFit="1" customWidth="1"/>
    <col min="11529" max="11529" width="11.42578125" style="24" bestFit="1" customWidth="1"/>
    <col min="11530" max="11530" width="12.42578125" style="24" bestFit="1" customWidth="1"/>
    <col min="11531" max="11531" width="9.140625" style="24" bestFit="1" customWidth="1"/>
    <col min="11532" max="11532" width="12.5703125" style="24" bestFit="1" customWidth="1"/>
    <col min="11533" max="11533" width="16.42578125" style="24" bestFit="1" customWidth="1"/>
    <col min="11534" max="11534" width="13.85546875" style="24" bestFit="1" customWidth="1"/>
    <col min="11535" max="11535" width="8.7109375" style="24" bestFit="1" customWidth="1"/>
    <col min="11536" max="11536" width="6.7109375" style="24" bestFit="1" customWidth="1"/>
    <col min="11537" max="11537" width="9.140625" style="24" customWidth="1"/>
    <col min="11538" max="11538" width="6.140625" style="24" bestFit="1" customWidth="1"/>
    <col min="11539" max="11539" width="9.28515625" style="24" bestFit="1" customWidth="1"/>
    <col min="11540" max="11540" width="10.42578125" style="24" bestFit="1" customWidth="1"/>
    <col min="11541" max="11773" width="9.140625" style="24"/>
    <col min="11774" max="11774" width="6.140625" style="24" bestFit="1" customWidth="1"/>
    <col min="11775" max="11775" width="14.28515625" style="24" bestFit="1" customWidth="1"/>
    <col min="11776" max="11776" width="21.85546875" style="24" bestFit="1" customWidth="1"/>
    <col min="11777" max="11777" width="0" style="24" hidden="1" customWidth="1"/>
    <col min="11778" max="11778" width="16.42578125" style="24" bestFit="1" customWidth="1"/>
    <col min="11779" max="11779" width="14" style="24" bestFit="1" customWidth="1"/>
    <col min="11780" max="11780" width="15.42578125" style="24" bestFit="1" customWidth="1"/>
    <col min="11781" max="11781" width="9.85546875" style="24" bestFit="1" customWidth="1"/>
    <col min="11782" max="11782" width="8.85546875" style="24" bestFit="1" customWidth="1"/>
    <col min="11783" max="11783" width="11.42578125" style="24" bestFit="1" customWidth="1"/>
    <col min="11784" max="11784" width="10.5703125" style="24" bestFit="1" customWidth="1"/>
    <col min="11785" max="11785" width="11.42578125" style="24" bestFit="1" customWidth="1"/>
    <col min="11786" max="11786" width="12.42578125" style="24" bestFit="1" customWidth="1"/>
    <col min="11787" max="11787" width="9.140625" style="24" bestFit="1" customWidth="1"/>
    <col min="11788" max="11788" width="12.5703125" style="24" bestFit="1" customWidth="1"/>
    <col min="11789" max="11789" width="16.42578125" style="24" bestFit="1" customWidth="1"/>
    <col min="11790" max="11790" width="13.85546875" style="24" bestFit="1" customWidth="1"/>
    <col min="11791" max="11791" width="8.7109375" style="24" bestFit="1" customWidth="1"/>
    <col min="11792" max="11792" width="6.7109375" style="24" bestFit="1" customWidth="1"/>
    <col min="11793" max="11793" width="9.140625" style="24" customWidth="1"/>
    <col min="11794" max="11794" width="6.140625" style="24" bestFit="1" customWidth="1"/>
    <col min="11795" max="11795" width="9.28515625" style="24" bestFit="1" customWidth="1"/>
    <col min="11796" max="11796" width="10.42578125" style="24" bestFit="1" customWidth="1"/>
    <col min="11797" max="12029" width="9.140625" style="24"/>
    <col min="12030" max="12030" width="6.140625" style="24" bestFit="1" customWidth="1"/>
    <col min="12031" max="12031" width="14.28515625" style="24" bestFit="1" customWidth="1"/>
    <col min="12032" max="12032" width="21.85546875" style="24" bestFit="1" customWidth="1"/>
    <col min="12033" max="12033" width="0" style="24" hidden="1" customWidth="1"/>
    <col min="12034" max="12034" width="16.42578125" style="24" bestFit="1" customWidth="1"/>
    <col min="12035" max="12035" width="14" style="24" bestFit="1" customWidth="1"/>
    <col min="12036" max="12036" width="15.42578125" style="24" bestFit="1" customWidth="1"/>
    <col min="12037" max="12037" width="9.85546875" style="24" bestFit="1" customWidth="1"/>
    <col min="12038" max="12038" width="8.85546875" style="24" bestFit="1" customWidth="1"/>
    <col min="12039" max="12039" width="11.42578125" style="24" bestFit="1" customWidth="1"/>
    <col min="12040" max="12040" width="10.5703125" style="24" bestFit="1" customWidth="1"/>
    <col min="12041" max="12041" width="11.42578125" style="24" bestFit="1" customWidth="1"/>
    <col min="12042" max="12042" width="12.42578125" style="24" bestFit="1" customWidth="1"/>
    <col min="12043" max="12043" width="9.140625" style="24" bestFit="1" customWidth="1"/>
    <col min="12044" max="12044" width="12.5703125" style="24" bestFit="1" customWidth="1"/>
    <col min="12045" max="12045" width="16.42578125" style="24" bestFit="1" customWidth="1"/>
    <col min="12046" max="12046" width="13.85546875" style="24" bestFit="1" customWidth="1"/>
    <col min="12047" max="12047" width="8.7109375" style="24" bestFit="1" customWidth="1"/>
    <col min="12048" max="12048" width="6.7109375" style="24" bestFit="1" customWidth="1"/>
    <col min="12049" max="12049" width="9.140625" style="24" customWidth="1"/>
    <col min="12050" max="12050" width="6.140625" style="24" bestFit="1" customWidth="1"/>
    <col min="12051" max="12051" width="9.28515625" style="24" bestFit="1" customWidth="1"/>
    <col min="12052" max="12052" width="10.42578125" style="24" bestFit="1" customWidth="1"/>
    <col min="12053" max="12285" width="9.140625" style="24"/>
    <col min="12286" max="12286" width="6.140625" style="24" bestFit="1" customWidth="1"/>
    <col min="12287" max="12287" width="14.28515625" style="24" bestFit="1" customWidth="1"/>
    <col min="12288" max="12288" width="21.85546875" style="24" bestFit="1" customWidth="1"/>
    <col min="12289" max="12289" width="0" style="24" hidden="1" customWidth="1"/>
    <col min="12290" max="12290" width="16.42578125" style="24" bestFit="1" customWidth="1"/>
    <col min="12291" max="12291" width="14" style="24" bestFit="1" customWidth="1"/>
    <col min="12292" max="12292" width="15.42578125" style="24" bestFit="1" customWidth="1"/>
    <col min="12293" max="12293" width="9.85546875" style="24" bestFit="1" customWidth="1"/>
    <col min="12294" max="12294" width="8.85546875" style="24" bestFit="1" customWidth="1"/>
    <col min="12295" max="12295" width="11.42578125" style="24" bestFit="1" customWidth="1"/>
    <col min="12296" max="12296" width="10.5703125" style="24" bestFit="1" customWidth="1"/>
    <col min="12297" max="12297" width="11.42578125" style="24" bestFit="1" customWidth="1"/>
    <col min="12298" max="12298" width="12.42578125" style="24" bestFit="1" customWidth="1"/>
    <col min="12299" max="12299" width="9.140625" style="24" bestFit="1" customWidth="1"/>
    <col min="12300" max="12300" width="12.5703125" style="24" bestFit="1" customWidth="1"/>
    <col min="12301" max="12301" width="16.42578125" style="24" bestFit="1" customWidth="1"/>
    <col min="12302" max="12302" width="13.85546875" style="24" bestFit="1" customWidth="1"/>
    <col min="12303" max="12303" width="8.7109375" style="24" bestFit="1" customWidth="1"/>
    <col min="12304" max="12304" width="6.7109375" style="24" bestFit="1" customWidth="1"/>
    <col min="12305" max="12305" width="9.140625" style="24" customWidth="1"/>
    <col min="12306" max="12306" width="6.140625" style="24" bestFit="1" customWidth="1"/>
    <col min="12307" max="12307" width="9.28515625" style="24" bestFit="1" customWidth="1"/>
    <col min="12308" max="12308" width="10.42578125" style="24" bestFit="1" customWidth="1"/>
    <col min="12309" max="12541" width="9.140625" style="24"/>
    <col min="12542" max="12542" width="6.140625" style="24" bestFit="1" customWidth="1"/>
    <col min="12543" max="12543" width="14.28515625" style="24" bestFit="1" customWidth="1"/>
    <col min="12544" max="12544" width="21.85546875" style="24" bestFit="1" customWidth="1"/>
    <col min="12545" max="12545" width="0" style="24" hidden="1" customWidth="1"/>
    <col min="12546" max="12546" width="16.42578125" style="24" bestFit="1" customWidth="1"/>
    <col min="12547" max="12547" width="14" style="24" bestFit="1" customWidth="1"/>
    <col min="12548" max="12548" width="15.42578125" style="24" bestFit="1" customWidth="1"/>
    <col min="12549" max="12549" width="9.85546875" style="24" bestFit="1" customWidth="1"/>
    <col min="12550" max="12550" width="8.85546875" style="24" bestFit="1" customWidth="1"/>
    <col min="12551" max="12551" width="11.42578125" style="24" bestFit="1" customWidth="1"/>
    <col min="12552" max="12552" width="10.5703125" style="24" bestFit="1" customWidth="1"/>
    <col min="12553" max="12553" width="11.42578125" style="24" bestFit="1" customWidth="1"/>
    <col min="12554" max="12554" width="12.42578125" style="24" bestFit="1" customWidth="1"/>
    <col min="12555" max="12555" width="9.140625" style="24" bestFit="1" customWidth="1"/>
    <col min="12556" max="12556" width="12.5703125" style="24" bestFit="1" customWidth="1"/>
    <col min="12557" max="12557" width="16.42578125" style="24" bestFit="1" customWidth="1"/>
    <col min="12558" max="12558" width="13.85546875" style="24" bestFit="1" customWidth="1"/>
    <col min="12559" max="12559" width="8.7109375" style="24" bestFit="1" customWidth="1"/>
    <col min="12560" max="12560" width="6.7109375" style="24" bestFit="1" customWidth="1"/>
    <col min="12561" max="12561" width="9.140625" style="24" customWidth="1"/>
    <col min="12562" max="12562" width="6.140625" style="24" bestFit="1" customWidth="1"/>
    <col min="12563" max="12563" width="9.28515625" style="24" bestFit="1" customWidth="1"/>
    <col min="12564" max="12564" width="10.42578125" style="24" bestFit="1" customWidth="1"/>
    <col min="12565" max="12797" width="9.140625" style="24"/>
    <col min="12798" max="12798" width="6.140625" style="24" bestFit="1" customWidth="1"/>
    <col min="12799" max="12799" width="14.28515625" style="24" bestFit="1" customWidth="1"/>
    <col min="12800" max="12800" width="21.85546875" style="24" bestFit="1" customWidth="1"/>
    <col min="12801" max="12801" width="0" style="24" hidden="1" customWidth="1"/>
    <col min="12802" max="12802" width="16.42578125" style="24" bestFit="1" customWidth="1"/>
    <col min="12803" max="12803" width="14" style="24" bestFit="1" customWidth="1"/>
    <col min="12804" max="12804" width="15.42578125" style="24" bestFit="1" customWidth="1"/>
    <col min="12805" max="12805" width="9.85546875" style="24" bestFit="1" customWidth="1"/>
    <col min="12806" max="12806" width="8.85546875" style="24" bestFit="1" customWidth="1"/>
    <col min="12807" max="12807" width="11.42578125" style="24" bestFit="1" customWidth="1"/>
    <col min="12808" max="12808" width="10.5703125" style="24" bestFit="1" customWidth="1"/>
    <col min="12809" max="12809" width="11.42578125" style="24" bestFit="1" customWidth="1"/>
    <col min="12810" max="12810" width="12.42578125" style="24" bestFit="1" customWidth="1"/>
    <col min="12811" max="12811" width="9.140625" style="24" bestFit="1" customWidth="1"/>
    <col min="12812" max="12812" width="12.5703125" style="24" bestFit="1" customWidth="1"/>
    <col min="12813" max="12813" width="16.42578125" style="24" bestFit="1" customWidth="1"/>
    <col min="12814" max="12814" width="13.85546875" style="24" bestFit="1" customWidth="1"/>
    <col min="12815" max="12815" width="8.7109375" style="24" bestFit="1" customWidth="1"/>
    <col min="12816" max="12816" width="6.7109375" style="24" bestFit="1" customWidth="1"/>
    <col min="12817" max="12817" width="9.140625" style="24" customWidth="1"/>
    <col min="12818" max="12818" width="6.140625" style="24" bestFit="1" customWidth="1"/>
    <col min="12819" max="12819" width="9.28515625" style="24" bestFit="1" customWidth="1"/>
    <col min="12820" max="12820" width="10.42578125" style="24" bestFit="1" customWidth="1"/>
    <col min="12821" max="13053" width="9.140625" style="24"/>
    <col min="13054" max="13054" width="6.140625" style="24" bestFit="1" customWidth="1"/>
    <col min="13055" max="13055" width="14.28515625" style="24" bestFit="1" customWidth="1"/>
    <col min="13056" max="13056" width="21.85546875" style="24" bestFit="1" customWidth="1"/>
    <col min="13057" max="13057" width="0" style="24" hidden="1" customWidth="1"/>
    <col min="13058" max="13058" width="16.42578125" style="24" bestFit="1" customWidth="1"/>
    <col min="13059" max="13059" width="14" style="24" bestFit="1" customWidth="1"/>
    <col min="13060" max="13060" width="15.42578125" style="24" bestFit="1" customWidth="1"/>
    <col min="13061" max="13061" width="9.85546875" style="24" bestFit="1" customWidth="1"/>
    <col min="13062" max="13062" width="8.85546875" style="24" bestFit="1" customWidth="1"/>
    <col min="13063" max="13063" width="11.42578125" style="24" bestFit="1" customWidth="1"/>
    <col min="13064" max="13064" width="10.5703125" style="24" bestFit="1" customWidth="1"/>
    <col min="13065" max="13065" width="11.42578125" style="24" bestFit="1" customWidth="1"/>
    <col min="13066" max="13066" width="12.42578125" style="24" bestFit="1" customWidth="1"/>
    <col min="13067" max="13067" width="9.140625" style="24" bestFit="1" customWidth="1"/>
    <col min="13068" max="13068" width="12.5703125" style="24" bestFit="1" customWidth="1"/>
    <col min="13069" max="13069" width="16.42578125" style="24" bestFit="1" customWidth="1"/>
    <col min="13070" max="13070" width="13.85546875" style="24" bestFit="1" customWidth="1"/>
    <col min="13071" max="13071" width="8.7109375" style="24" bestFit="1" customWidth="1"/>
    <col min="13072" max="13072" width="6.7109375" style="24" bestFit="1" customWidth="1"/>
    <col min="13073" max="13073" width="9.140625" style="24" customWidth="1"/>
    <col min="13074" max="13074" width="6.140625" style="24" bestFit="1" customWidth="1"/>
    <col min="13075" max="13075" width="9.28515625" style="24" bestFit="1" customWidth="1"/>
    <col min="13076" max="13076" width="10.42578125" style="24" bestFit="1" customWidth="1"/>
    <col min="13077" max="13309" width="9.140625" style="24"/>
    <col min="13310" max="13310" width="6.140625" style="24" bestFit="1" customWidth="1"/>
    <col min="13311" max="13311" width="14.28515625" style="24" bestFit="1" customWidth="1"/>
    <col min="13312" max="13312" width="21.85546875" style="24" bestFit="1" customWidth="1"/>
    <col min="13313" max="13313" width="0" style="24" hidden="1" customWidth="1"/>
    <col min="13314" max="13314" width="16.42578125" style="24" bestFit="1" customWidth="1"/>
    <col min="13315" max="13315" width="14" style="24" bestFit="1" customWidth="1"/>
    <col min="13316" max="13316" width="15.42578125" style="24" bestFit="1" customWidth="1"/>
    <col min="13317" max="13317" width="9.85546875" style="24" bestFit="1" customWidth="1"/>
    <col min="13318" max="13318" width="8.85546875" style="24" bestFit="1" customWidth="1"/>
    <col min="13319" max="13319" width="11.42578125" style="24" bestFit="1" customWidth="1"/>
    <col min="13320" max="13320" width="10.5703125" style="24" bestFit="1" customWidth="1"/>
    <col min="13321" max="13321" width="11.42578125" style="24" bestFit="1" customWidth="1"/>
    <col min="13322" max="13322" width="12.42578125" style="24" bestFit="1" customWidth="1"/>
    <col min="13323" max="13323" width="9.140625" style="24" bestFit="1" customWidth="1"/>
    <col min="13324" max="13324" width="12.5703125" style="24" bestFit="1" customWidth="1"/>
    <col min="13325" max="13325" width="16.42578125" style="24" bestFit="1" customWidth="1"/>
    <col min="13326" max="13326" width="13.85546875" style="24" bestFit="1" customWidth="1"/>
    <col min="13327" max="13327" width="8.7109375" style="24" bestFit="1" customWidth="1"/>
    <col min="13328" max="13328" width="6.7109375" style="24" bestFit="1" customWidth="1"/>
    <col min="13329" max="13329" width="9.140625" style="24" customWidth="1"/>
    <col min="13330" max="13330" width="6.140625" style="24" bestFit="1" customWidth="1"/>
    <col min="13331" max="13331" width="9.28515625" style="24" bestFit="1" customWidth="1"/>
    <col min="13332" max="13332" width="10.42578125" style="24" bestFit="1" customWidth="1"/>
    <col min="13333" max="13565" width="9.140625" style="24"/>
    <col min="13566" max="13566" width="6.140625" style="24" bestFit="1" customWidth="1"/>
    <col min="13567" max="13567" width="14.28515625" style="24" bestFit="1" customWidth="1"/>
    <col min="13568" max="13568" width="21.85546875" style="24" bestFit="1" customWidth="1"/>
    <col min="13569" max="13569" width="0" style="24" hidden="1" customWidth="1"/>
    <col min="13570" max="13570" width="16.42578125" style="24" bestFit="1" customWidth="1"/>
    <col min="13571" max="13571" width="14" style="24" bestFit="1" customWidth="1"/>
    <col min="13572" max="13572" width="15.42578125" style="24" bestFit="1" customWidth="1"/>
    <col min="13573" max="13573" width="9.85546875" style="24" bestFit="1" customWidth="1"/>
    <col min="13574" max="13574" width="8.85546875" style="24" bestFit="1" customWidth="1"/>
    <col min="13575" max="13575" width="11.42578125" style="24" bestFit="1" customWidth="1"/>
    <col min="13576" max="13576" width="10.5703125" style="24" bestFit="1" customWidth="1"/>
    <col min="13577" max="13577" width="11.42578125" style="24" bestFit="1" customWidth="1"/>
    <col min="13578" max="13578" width="12.42578125" style="24" bestFit="1" customWidth="1"/>
    <col min="13579" max="13579" width="9.140625" style="24" bestFit="1" customWidth="1"/>
    <col min="13580" max="13580" width="12.5703125" style="24" bestFit="1" customWidth="1"/>
    <col min="13581" max="13581" width="16.42578125" style="24" bestFit="1" customWidth="1"/>
    <col min="13582" max="13582" width="13.85546875" style="24" bestFit="1" customWidth="1"/>
    <col min="13583" max="13583" width="8.7109375" style="24" bestFit="1" customWidth="1"/>
    <col min="13584" max="13584" width="6.7109375" style="24" bestFit="1" customWidth="1"/>
    <col min="13585" max="13585" width="9.140625" style="24" customWidth="1"/>
    <col min="13586" max="13586" width="6.140625" style="24" bestFit="1" customWidth="1"/>
    <col min="13587" max="13587" width="9.28515625" style="24" bestFit="1" customWidth="1"/>
    <col min="13588" max="13588" width="10.42578125" style="24" bestFit="1" customWidth="1"/>
    <col min="13589" max="13821" width="9.140625" style="24"/>
    <col min="13822" max="13822" width="6.140625" style="24" bestFit="1" customWidth="1"/>
    <col min="13823" max="13823" width="14.28515625" style="24" bestFit="1" customWidth="1"/>
    <col min="13824" max="13824" width="21.85546875" style="24" bestFit="1" customWidth="1"/>
    <col min="13825" max="13825" width="0" style="24" hidden="1" customWidth="1"/>
    <col min="13826" max="13826" width="16.42578125" style="24" bestFit="1" customWidth="1"/>
    <col min="13827" max="13827" width="14" style="24" bestFit="1" customWidth="1"/>
    <col min="13828" max="13828" width="15.42578125" style="24" bestFit="1" customWidth="1"/>
    <col min="13829" max="13829" width="9.85546875" style="24" bestFit="1" customWidth="1"/>
    <col min="13830" max="13830" width="8.85546875" style="24" bestFit="1" customWidth="1"/>
    <col min="13831" max="13831" width="11.42578125" style="24" bestFit="1" customWidth="1"/>
    <col min="13832" max="13832" width="10.5703125" style="24" bestFit="1" customWidth="1"/>
    <col min="13833" max="13833" width="11.42578125" style="24" bestFit="1" customWidth="1"/>
    <col min="13834" max="13834" width="12.42578125" style="24" bestFit="1" customWidth="1"/>
    <col min="13835" max="13835" width="9.140625" style="24" bestFit="1" customWidth="1"/>
    <col min="13836" max="13836" width="12.5703125" style="24" bestFit="1" customWidth="1"/>
    <col min="13837" max="13837" width="16.42578125" style="24" bestFit="1" customWidth="1"/>
    <col min="13838" max="13838" width="13.85546875" style="24" bestFit="1" customWidth="1"/>
    <col min="13839" max="13839" width="8.7109375" style="24" bestFit="1" customWidth="1"/>
    <col min="13840" max="13840" width="6.7109375" style="24" bestFit="1" customWidth="1"/>
    <col min="13841" max="13841" width="9.140625" style="24" customWidth="1"/>
    <col min="13842" max="13842" width="6.140625" style="24" bestFit="1" customWidth="1"/>
    <col min="13843" max="13843" width="9.28515625" style="24" bestFit="1" customWidth="1"/>
    <col min="13844" max="13844" width="10.42578125" style="24" bestFit="1" customWidth="1"/>
    <col min="13845" max="14077" width="9.140625" style="24"/>
    <col min="14078" max="14078" width="6.140625" style="24" bestFit="1" customWidth="1"/>
    <col min="14079" max="14079" width="14.28515625" style="24" bestFit="1" customWidth="1"/>
    <col min="14080" max="14080" width="21.85546875" style="24" bestFit="1" customWidth="1"/>
    <col min="14081" max="14081" width="0" style="24" hidden="1" customWidth="1"/>
    <col min="14082" max="14082" width="16.42578125" style="24" bestFit="1" customWidth="1"/>
    <col min="14083" max="14083" width="14" style="24" bestFit="1" customWidth="1"/>
    <col min="14084" max="14084" width="15.42578125" style="24" bestFit="1" customWidth="1"/>
    <col min="14085" max="14085" width="9.85546875" style="24" bestFit="1" customWidth="1"/>
    <col min="14086" max="14086" width="8.85546875" style="24" bestFit="1" customWidth="1"/>
    <col min="14087" max="14087" width="11.42578125" style="24" bestFit="1" customWidth="1"/>
    <col min="14088" max="14088" width="10.5703125" style="24" bestFit="1" customWidth="1"/>
    <col min="14089" max="14089" width="11.42578125" style="24" bestFit="1" customWidth="1"/>
    <col min="14090" max="14090" width="12.42578125" style="24" bestFit="1" customWidth="1"/>
    <col min="14091" max="14091" width="9.140625" style="24" bestFit="1" customWidth="1"/>
    <col min="14092" max="14092" width="12.5703125" style="24" bestFit="1" customWidth="1"/>
    <col min="14093" max="14093" width="16.42578125" style="24" bestFit="1" customWidth="1"/>
    <col min="14094" max="14094" width="13.85546875" style="24" bestFit="1" customWidth="1"/>
    <col min="14095" max="14095" width="8.7109375" style="24" bestFit="1" customWidth="1"/>
    <col min="14096" max="14096" width="6.7109375" style="24" bestFit="1" customWidth="1"/>
    <col min="14097" max="14097" width="9.140625" style="24" customWidth="1"/>
    <col min="14098" max="14098" width="6.140625" style="24" bestFit="1" customWidth="1"/>
    <col min="14099" max="14099" width="9.28515625" style="24" bestFit="1" customWidth="1"/>
    <col min="14100" max="14100" width="10.42578125" style="24" bestFit="1" customWidth="1"/>
    <col min="14101" max="14333" width="9.140625" style="24"/>
    <col min="14334" max="14334" width="6.140625" style="24" bestFit="1" customWidth="1"/>
    <col min="14335" max="14335" width="14.28515625" style="24" bestFit="1" customWidth="1"/>
    <col min="14336" max="14336" width="21.85546875" style="24" bestFit="1" customWidth="1"/>
    <col min="14337" max="14337" width="0" style="24" hidden="1" customWidth="1"/>
    <col min="14338" max="14338" width="16.42578125" style="24" bestFit="1" customWidth="1"/>
    <col min="14339" max="14339" width="14" style="24" bestFit="1" customWidth="1"/>
    <col min="14340" max="14340" width="15.42578125" style="24" bestFit="1" customWidth="1"/>
    <col min="14341" max="14341" width="9.85546875" style="24" bestFit="1" customWidth="1"/>
    <col min="14342" max="14342" width="8.85546875" style="24" bestFit="1" customWidth="1"/>
    <col min="14343" max="14343" width="11.42578125" style="24" bestFit="1" customWidth="1"/>
    <col min="14344" max="14344" width="10.5703125" style="24" bestFit="1" customWidth="1"/>
    <col min="14345" max="14345" width="11.42578125" style="24" bestFit="1" customWidth="1"/>
    <col min="14346" max="14346" width="12.42578125" style="24" bestFit="1" customWidth="1"/>
    <col min="14347" max="14347" width="9.140625" style="24" bestFit="1" customWidth="1"/>
    <col min="14348" max="14348" width="12.5703125" style="24" bestFit="1" customWidth="1"/>
    <col min="14349" max="14349" width="16.42578125" style="24" bestFit="1" customWidth="1"/>
    <col min="14350" max="14350" width="13.85546875" style="24" bestFit="1" customWidth="1"/>
    <col min="14351" max="14351" width="8.7109375" style="24" bestFit="1" customWidth="1"/>
    <col min="14352" max="14352" width="6.7109375" style="24" bestFit="1" customWidth="1"/>
    <col min="14353" max="14353" width="9.140625" style="24" customWidth="1"/>
    <col min="14354" max="14354" width="6.140625" style="24" bestFit="1" customWidth="1"/>
    <col min="14355" max="14355" width="9.28515625" style="24" bestFit="1" customWidth="1"/>
    <col min="14356" max="14356" width="10.42578125" style="24" bestFit="1" customWidth="1"/>
    <col min="14357" max="14589" width="9.140625" style="24"/>
    <col min="14590" max="14590" width="6.140625" style="24" bestFit="1" customWidth="1"/>
    <col min="14591" max="14591" width="14.28515625" style="24" bestFit="1" customWidth="1"/>
    <col min="14592" max="14592" width="21.85546875" style="24" bestFit="1" customWidth="1"/>
    <col min="14593" max="14593" width="0" style="24" hidden="1" customWidth="1"/>
    <col min="14594" max="14594" width="16.42578125" style="24" bestFit="1" customWidth="1"/>
    <col min="14595" max="14595" width="14" style="24" bestFit="1" customWidth="1"/>
    <col min="14596" max="14596" width="15.42578125" style="24" bestFit="1" customWidth="1"/>
    <col min="14597" max="14597" width="9.85546875" style="24" bestFit="1" customWidth="1"/>
    <col min="14598" max="14598" width="8.85546875" style="24" bestFit="1" customWidth="1"/>
    <col min="14599" max="14599" width="11.42578125" style="24" bestFit="1" customWidth="1"/>
    <col min="14600" max="14600" width="10.5703125" style="24" bestFit="1" customWidth="1"/>
    <col min="14601" max="14601" width="11.42578125" style="24" bestFit="1" customWidth="1"/>
    <col min="14602" max="14602" width="12.42578125" style="24" bestFit="1" customWidth="1"/>
    <col min="14603" max="14603" width="9.140625" style="24" bestFit="1" customWidth="1"/>
    <col min="14604" max="14604" width="12.5703125" style="24" bestFit="1" customWidth="1"/>
    <col min="14605" max="14605" width="16.42578125" style="24" bestFit="1" customWidth="1"/>
    <col min="14606" max="14606" width="13.85546875" style="24" bestFit="1" customWidth="1"/>
    <col min="14607" max="14607" width="8.7109375" style="24" bestFit="1" customWidth="1"/>
    <col min="14608" max="14608" width="6.7109375" style="24" bestFit="1" customWidth="1"/>
    <col min="14609" max="14609" width="9.140625" style="24" customWidth="1"/>
    <col min="14610" max="14610" width="6.140625" style="24" bestFit="1" customWidth="1"/>
    <col min="14611" max="14611" width="9.28515625" style="24" bestFit="1" customWidth="1"/>
    <col min="14612" max="14612" width="10.42578125" style="24" bestFit="1" customWidth="1"/>
    <col min="14613" max="14845" width="9.140625" style="24"/>
    <col min="14846" max="14846" width="6.140625" style="24" bestFit="1" customWidth="1"/>
    <col min="14847" max="14847" width="14.28515625" style="24" bestFit="1" customWidth="1"/>
    <col min="14848" max="14848" width="21.85546875" style="24" bestFit="1" customWidth="1"/>
    <col min="14849" max="14849" width="0" style="24" hidden="1" customWidth="1"/>
    <col min="14850" max="14850" width="16.42578125" style="24" bestFit="1" customWidth="1"/>
    <col min="14851" max="14851" width="14" style="24" bestFit="1" customWidth="1"/>
    <col min="14852" max="14852" width="15.42578125" style="24" bestFit="1" customWidth="1"/>
    <col min="14853" max="14853" width="9.85546875" style="24" bestFit="1" customWidth="1"/>
    <col min="14854" max="14854" width="8.85546875" style="24" bestFit="1" customWidth="1"/>
    <col min="14855" max="14855" width="11.42578125" style="24" bestFit="1" customWidth="1"/>
    <col min="14856" max="14856" width="10.5703125" style="24" bestFit="1" customWidth="1"/>
    <col min="14857" max="14857" width="11.42578125" style="24" bestFit="1" customWidth="1"/>
    <col min="14858" max="14858" width="12.42578125" style="24" bestFit="1" customWidth="1"/>
    <col min="14859" max="14859" width="9.140625" style="24" bestFit="1" customWidth="1"/>
    <col min="14860" max="14860" width="12.5703125" style="24" bestFit="1" customWidth="1"/>
    <col min="14861" max="14861" width="16.42578125" style="24" bestFit="1" customWidth="1"/>
    <col min="14862" max="14862" width="13.85546875" style="24" bestFit="1" customWidth="1"/>
    <col min="14863" max="14863" width="8.7109375" style="24" bestFit="1" customWidth="1"/>
    <col min="14864" max="14864" width="6.7109375" style="24" bestFit="1" customWidth="1"/>
    <col min="14865" max="14865" width="9.140625" style="24" customWidth="1"/>
    <col min="14866" max="14866" width="6.140625" style="24" bestFit="1" customWidth="1"/>
    <col min="14867" max="14867" width="9.28515625" style="24" bestFit="1" customWidth="1"/>
    <col min="14868" max="14868" width="10.42578125" style="24" bestFit="1" customWidth="1"/>
    <col min="14869" max="15101" width="9.140625" style="24"/>
    <col min="15102" max="15102" width="6.140625" style="24" bestFit="1" customWidth="1"/>
    <col min="15103" max="15103" width="14.28515625" style="24" bestFit="1" customWidth="1"/>
    <col min="15104" max="15104" width="21.85546875" style="24" bestFit="1" customWidth="1"/>
    <col min="15105" max="15105" width="0" style="24" hidden="1" customWidth="1"/>
    <col min="15106" max="15106" width="16.42578125" style="24" bestFit="1" customWidth="1"/>
    <col min="15107" max="15107" width="14" style="24" bestFit="1" customWidth="1"/>
    <col min="15108" max="15108" width="15.42578125" style="24" bestFit="1" customWidth="1"/>
    <col min="15109" max="15109" width="9.85546875" style="24" bestFit="1" customWidth="1"/>
    <col min="15110" max="15110" width="8.85546875" style="24" bestFit="1" customWidth="1"/>
    <col min="15111" max="15111" width="11.42578125" style="24" bestFit="1" customWidth="1"/>
    <col min="15112" max="15112" width="10.5703125" style="24" bestFit="1" customWidth="1"/>
    <col min="15113" max="15113" width="11.42578125" style="24" bestFit="1" customWidth="1"/>
    <col min="15114" max="15114" width="12.42578125" style="24" bestFit="1" customWidth="1"/>
    <col min="15115" max="15115" width="9.140625" style="24" bestFit="1" customWidth="1"/>
    <col min="15116" max="15116" width="12.5703125" style="24" bestFit="1" customWidth="1"/>
    <col min="15117" max="15117" width="16.42578125" style="24" bestFit="1" customWidth="1"/>
    <col min="15118" max="15118" width="13.85546875" style="24" bestFit="1" customWidth="1"/>
    <col min="15119" max="15119" width="8.7109375" style="24" bestFit="1" customWidth="1"/>
    <col min="15120" max="15120" width="6.7109375" style="24" bestFit="1" customWidth="1"/>
    <col min="15121" max="15121" width="9.140625" style="24" customWidth="1"/>
    <col min="15122" max="15122" width="6.140625" style="24" bestFit="1" customWidth="1"/>
    <col min="15123" max="15123" width="9.28515625" style="24" bestFit="1" customWidth="1"/>
    <col min="15124" max="15124" width="10.42578125" style="24" bestFit="1" customWidth="1"/>
    <col min="15125" max="15357" width="9.140625" style="24"/>
    <col min="15358" max="15358" width="6.140625" style="24" bestFit="1" customWidth="1"/>
    <col min="15359" max="15359" width="14.28515625" style="24" bestFit="1" customWidth="1"/>
    <col min="15360" max="15360" width="21.85546875" style="24" bestFit="1" customWidth="1"/>
    <col min="15361" max="15361" width="0" style="24" hidden="1" customWidth="1"/>
    <col min="15362" max="15362" width="16.42578125" style="24" bestFit="1" customWidth="1"/>
    <col min="15363" max="15363" width="14" style="24" bestFit="1" customWidth="1"/>
    <col min="15364" max="15364" width="15.42578125" style="24" bestFit="1" customWidth="1"/>
    <col min="15365" max="15365" width="9.85546875" style="24" bestFit="1" customWidth="1"/>
    <col min="15366" max="15366" width="8.85546875" style="24" bestFit="1" customWidth="1"/>
    <col min="15367" max="15367" width="11.42578125" style="24" bestFit="1" customWidth="1"/>
    <col min="15368" max="15368" width="10.5703125" style="24" bestFit="1" customWidth="1"/>
    <col min="15369" max="15369" width="11.42578125" style="24" bestFit="1" customWidth="1"/>
    <col min="15370" max="15370" width="12.42578125" style="24" bestFit="1" customWidth="1"/>
    <col min="15371" max="15371" width="9.140625" style="24" bestFit="1" customWidth="1"/>
    <col min="15372" max="15372" width="12.5703125" style="24" bestFit="1" customWidth="1"/>
    <col min="15373" max="15373" width="16.42578125" style="24" bestFit="1" customWidth="1"/>
    <col min="15374" max="15374" width="13.85546875" style="24" bestFit="1" customWidth="1"/>
    <col min="15375" max="15375" width="8.7109375" style="24" bestFit="1" customWidth="1"/>
    <col min="15376" max="15376" width="6.7109375" style="24" bestFit="1" customWidth="1"/>
    <col min="15377" max="15377" width="9.140625" style="24" customWidth="1"/>
    <col min="15378" max="15378" width="6.140625" style="24" bestFit="1" customWidth="1"/>
    <col min="15379" max="15379" width="9.28515625" style="24" bestFit="1" customWidth="1"/>
    <col min="15380" max="15380" width="10.42578125" style="24" bestFit="1" customWidth="1"/>
    <col min="15381" max="15613" width="9.140625" style="24"/>
    <col min="15614" max="15614" width="6.140625" style="24" bestFit="1" customWidth="1"/>
    <col min="15615" max="15615" width="14.28515625" style="24" bestFit="1" customWidth="1"/>
    <col min="15616" max="15616" width="21.85546875" style="24" bestFit="1" customWidth="1"/>
    <col min="15617" max="15617" width="0" style="24" hidden="1" customWidth="1"/>
    <col min="15618" max="15618" width="16.42578125" style="24" bestFit="1" customWidth="1"/>
    <col min="15619" max="15619" width="14" style="24" bestFit="1" customWidth="1"/>
    <col min="15620" max="15620" width="15.42578125" style="24" bestFit="1" customWidth="1"/>
    <col min="15621" max="15621" width="9.85546875" style="24" bestFit="1" customWidth="1"/>
    <col min="15622" max="15622" width="8.85546875" style="24" bestFit="1" customWidth="1"/>
    <col min="15623" max="15623" width="11.42578125" style="24" bestFit="1" customWidth="1"/>
    <col min="15624" max="15624" width="10.5703125" style="24" bestFit="1" customWidth="1"/>
    <col min="15625" max="15625" width="11.42578125" style="24" bestFit="1" customWidth="1"/>
    <col min="15626" max="15626" width="12.42578125" style="24" bestFit="1" customWidth="1"/>
    <col min="15627" max="15627" width="9.140625" style="24" bestFit="1" customWidth="1"/>
    <col min="15628" max="15628" width="12.5703125" style="24" bestFit="1" customWidth="1"/>
    <col min="15629" max="15629" width="16.42578125" style="24" bestFit="1" customWidth="1"/>
    <col min="15630" max="15630" width="13.85546875" style="24" bestFit="1" customWidth="1"/>
    <col min="15631" max="15631" width="8.7109375" style="24" bestFit="1" customWidth="1"/>
    <col min="15632" max="15632" width="6.7109375" style="24" bestFit="1" customWidth="1"/>
    <col min="15633" max="15633" width="9.140625" style="24" customWidth="1"/>
    <col min="15634" max="15634" width="6.140625" style="24" bestFit="1" customWidth="1"/>
    <col min="15635" max="15635" width="9.28515625" style="24" bestFit="1" customWidth="1"/>
    <col min="15636" max="15636" width="10.42578125" style="24" bestFit="1" customWidth="1"/>
    <col min="15637" max="15869" width="9.140625" style="24"/>
    <col min="15870" max="15870" width="6.140625" style="24" bestFit="1" customWidth="1"/>
    <col min="15871" max="15871" width="14.28515625" style="24" bestFit="1" customWidth="1"/>
    <col min="15872" max="15872" width="21.85546875" style="24" bestFit="1" customWidth="1"/>
    <col min="15873" max="15873" width="0" style="24" hidden="1" customWidth="1"/>
    <col min="15874" max="15874" width="16.42578125" style="24" bestFit="1" customWidth="1"/>
    <col min="15875" max="15875" width="14" style="24" bestFit="1" customWidth="1"/>
    <col min="15876" max="15876" width="15.42578125" style="24" bestFit="1" customWidth="1"/>
    <col min="15877" max="15877" width="9.85546875" style="24" bestFit="1" customWidth="1"/>
    <col min="15878" max="15878" width="8.85546875" style="24" bestFit="1" customWidth="1"/>
    <col min="15879" max="15879" width="11.42578125" style="24" bestFit="1" customWidth="1"/>
    <col min="15880" max="15880" width="10.5703125" style="24" bestFit="1" customWidth="1"/>
    <col min="15881" max="15881" width="11.42578125" style="24" bestFit="1" customWidth="1"/>
    <col min="15882" max="15882" width="12.42578125" style="24" bestFit="1" customWidth="1"/>
    <col min="15883" max="15883" width="9.140625" style="24" bestFit="1" customWidth="1"/>
    <col min="15884" max="15884" width="12.5703125" style="24" bestFit="1" customWidth="1"/>
    <col min="15885" max="15885" width="16.42578125" style="24" bestFit="1" customWidth="1"/>
    <col min="15886" max="15886" width="13.85546875" style="24" bestFit="1" customWidth="1"/>
    <col min="15887" max="15887" width="8.7109375" style="24" bestFit="1" customWidth="1"/>
    <col min="15888" max="15888" width="6.7109375" style="24" bestFit="1" customWidth="1"/>
    <col min="15889" max="15889" width="9.140625" style="24" customWidth="1"/>
    <col min="15890" max="15890" width="6.140625" style="24" bestFit="1" customWidth="1"/>
    <col min="15891" max="15891" width="9.28515625" style="24" bestFit="1" customWidth="1"/>
    <col min="15892" max="15892" width="10.42578125" style="24" bestFit="1" customWidth="1"/>
    <col min="15893" max="16125" width="9.140625" style="24"/>
    <col min="16126" max="16126" width="6.140625" style="24" bestFit="1" customWidth="1"/>
    <col min="16127" max="16127" width="14.28515625" style="24" bestFit="1" customWidth="1"/>
    <col min="16128" max="16128" width="21.85546875" style="24" bestFit="1" customWidth="1"/>
    <col min="16129" max="16129" width="0" style="24" hidden="1" customWidth="1"/>
    <col min="16130" max="16130" width="16.42578125" style="24" bestFit="1" customWidth="1"/>
    <col min="16131" max="16131" width="14" style="24" bestFit="1" customWidth="1"/>
    <col min="16132" max="16132" width="15.42578125" style="24" bestFit="1" customWidth="1"/>
    <col min="16133" max="16133" width="9.85546875" style="24" bestFit="1" customWidth="1"/>
    <col min="16134" max="16134" width="8.85546875" style="24" bestFit="1" customWidth="1"/>
    <col min="16135" max="16135" width="11.42578125" style="24" bestFit="1" customWidth="1"/>
    <col min="16136" max="16136" width="10.5703125" style="24" bestFit="1" customWidth="1"/>
    <col min="16137" max="16137" width="11.42578125" style="24" bestFit="1" customWidth="1"/>
    <col min="16138" max="16138" width="12.42578125" style="24" bestFit="1" customWidth="1"/>
    <col min="16139" max="16139" width="9.140625" style="24" bestFit="1" customWidth="1"/>
    <col min="16140" max="16140" width="12.5703125" style="24" bestFit="1" customWidth="1"/>
    <col min="16141" max="16141" width="16.42578125" style="24" bestFit="1" customWidth="1"/>
    <col min="16142" max="16142" width="13.85546875" style="24" bestFit="1" customWidth="1"/>
    <col min="16143" max="16143" width="8.7109375" style="24" bestFit="1" customWidth="1"/>
    <col min="16144" max="16144" width="6.7109375" style="24" bestFit="1" customWidth="1"/>
    <col min="16145" max="16145" width="9.140625" style="24" customWidth="1"/>
    <col min="16146" max="16146" width="6.140625" style="24" bestFit="1" customWidth="1"/>
    <col min="16147" max="16147" width="9.28515625" style="24" bestFit="1" customWidth="1"/>
    <col min="16148" max="16148" width="10.42578125" style="24" bestFit="1" customWidth="1"/>
    <col min="16149" max="16384" width="9.140625" style="24"/>
  </cols>
  <sheetData>
    <row r="1" spans="1:25" ht="45" x14ac:dyDescent="0.2">
      <c r="A1" s="2" t="s">
        <v>433</v>
      </c>
      <c r="B1" s="2" t="s">
        <v>0</v>
      </c>
      <c r="C1" s="2" t="s">
        <v>1</v>
      </c>
      <c r="D1" s="3" t="s">
        <v>438</v>
      </c>
      <c r="E1" s="4" t="s">
        <v>2</v>
      </c>
      <c r="F1" s="3" t="s">
        <v>439</v>
      </c>
      <c r="G1" s="19" t="s">
        <v>3</v>
      </c>
      <c r="H1" s="20" t="s">
        <v>4</v>
      </c>
      <c r="I1" s="20" t="s">
        <v>441</v>
      </c>
      <c r="J1" s="20" t="s">
        <v>5</v>
      </c>
      <c r="K1" s="19" t="s">
        <v>6</v>
      </c>
      <c r="L1" s="20" t="s">
        <v>7</v>
      </c>
      <c r="M1" s="2" t="s">
        <v>8</v>
      </c>
      <c r="N1" s="5" t="s">
        <v>473</v>
      </c>
      <c r="O1" s="19" t="s">
        <v>9</v>
      </c>
      <c r="P1" s="19" t="s">
        <v>474</v>
      </c>
      <c r="Q1" s="21" t="s">
        <v>10</v>
      </c>
      <c r="R1" s="17" t="s">
        <v>11</v>
      </c>
      <c r="S1" s="22" t="s">
        <v>12</v>
      </c>
      <c r="T1" s="23" t="s">
        <v>13</v>
      </c>
      <c r="U1" s="23" t="s">
        <v>14</v>
      </c>
      <c r="V1" s="21" t="s">
        <v>430</v>
      </c>
      <c r="W1" s="23" t="s">
        <v>431</v>
      </c>
      <c r="X1" s="50" t="s">
        <v>870</v>
      </c>
      <c r="Y1" s="50" t="s">
        <v>871</v>
      </c>
    </row>
    <row r="2" spans="1:25" ht="15" x14ac:dyDescent="0.2">
      <c r="A2" s="6" t="s">
        <v>15</v>
      </c>
      <c r="B2" s="6" t="s">
        <v>16</v>
      </c>
      <c r="C2" s="7" t="s">
        <v>288</v>
      </c>
      <c r="D2" s="10">
        <v>977200760</v>
      </c>
      <c r="E2" s="10">
        <v>-20799990</v>
      </c>
      <c r="F2" s="10">
        <f>D2+E2</f>
        <v>956400770</v>
      </c>
      <c r="G2" s="8">
        <v>27</v>
      </c>
      <c r="H2" s="11">
        <v>0</v>
      </c>
      <c r="I2" s="16">
        <v>0</v>
      </c>
      <c r="J2" s="11">
        <v>0.224</v>
      </c>
      <c r="K2" s="8">
        <v>0</v>
      </c>
      <c r="L2" s="12">
        <v>8.02</v>
      </c>
      <c r="M2" s="11">
        <v>0.45800000000000002</v>
      </c>
      <c r="N2" s="13">
        <f>SUM(G2:M2)</f>
        <v>35.701999999999998</v>
      </c>
      <c r="O2" s="11">
        <v>85.37</v>
      </c>
      <c r="P2" s="11">
        <v>83121933.819999993</v>
      </c>
      <c r="Q2" s="14">
        <v>55824778.979999997</v>
      </c>
      <c r="R2" s="15">
        <v>438345.6</v>
      </c>
      <c r="S2" s="16"/>
      <c r="T2" s="16"/>
      <c r="V2" s="25"/>
      <c r="W2" s="25"/>
      <c r="X2" s="51">
        <v>27</v>
      </c>
      <c r="Y2" s="25">
        <v>0</v>
      </c>
    </row>
    <row r="3" spans="1:25" ht="15" x14ac:dyDescent="0.2">
      <c r="A3" s="6" t="s">
        <v>17</v>
      </c>
      <c r="B3" s="6" t="s">
        <v>16</v>
      </c>
      <c r="C3" s="7" t="s">
        <v>18</v>
      </c>
      <c r="D3" s="10">
        <f>709463916+2955365570</f>
        <v>3664829486</v>
      </c>
      <c r="E3" s="10">
        <f>-83515881-246161190</f>
        <v>-329677071</v>
      </c>
      <c r="F3" s="10">
        <f t="shared" ref="F3:F66" si="0">D3+E3</f>
        <v>3335152415</v>
      </c>
      <c r="G3" s="8">
        <v>27</v>
      </c>
      <c r="H3" s="11">
        <v>0</v>
      </c>
      <c r="I3" s="16">
        <v>0</v>
      </c>
      <c r="J3" s="11">
        <v>0</v>
      </c>
      <c r="K3" s="8">
        <v>0</v>
      </c>
      <c r="L3" s="12">
        <v>19.085999999999999</v>
      </c>
      <c r="M3" s="11">
        <f t="shared" ref="M3:M66" si="1">IFERROR((R3/F3)*1000,0)</f>
        <v>0.76395442035592853</v>
      </c>
      <c r="N3" s="13">
        <f t="shared" ref="N3:N66" si="2">SUM(G3:M3)</f>
        <v>46.849954420355928</v>
      </c>
      <c r="O3" s="11">
        <v>116.17400000000001</v>
      </c>
      <c r="P3" s="11">
        <v>392713491.47000003</v>
      </c>
      <c r="Q3" s="14">
        <v>297408990.75500005</v>
      </c>
      <c r="R3" s="15">
        <f>27637.84+27637.84+59667.67+2432961.08</f>
        <v>2547904.4300000002</v>
      </c>
      <c r="S3" s="16"/>
      <c r="T3" s="16"/>
      <c r="V3" s="25"/>
      <c r="W3" s="25"/>
      <c r="X3" s="51">
        <v>27</v>
      </c>
      <c r="Y3" s="25">
        <v>0</v>
      </c>
    </row>
    <row r="4" spans="1:25" ht="15" x14ac:dyDescent="0.2">
      <c r="A4" s="6" t="s">
        <v>19</v>
      </c>
      <c r="B4" s="6" t="s">
        <v>16</v>
      </c>
      <c r="C4" s="7" t="s">
        <v>289</v>
      </c>
      <c r="D4" s="10">
        <v>991546480</v>
      </c>
      <c r="E4" s="10">
        <v>-6282890</v>
      </c>
      <c r="F4" s="10">
        <f t="shared" si="0"/>
        <v>985263590</v>
      </c>
      <c r="G4" s="8">
        <v>25.687999999999999</v>
      </c>
      <c r="H4" s="11">
        <v>0</v>
      </c>
      <c r="I4" s="16">
        <v>0</v>
      </c>
      <c r="J4" s="11">
        <v>0</v>
      </c>
      <c r="K4" s="8">
        <v>0</v>
      </c>
      <c r="L4" s="12">
        <v>4.9630000000000001</v>
      </c>
      <c r="M4" s="11">
        <f t="shared" si="1"/>
        <v>0.10589166296097474</v>
      </c>
      <c r="N4" s="13">
        <f t="shared" si="2"/>
        <v>30.756891662960975</v>
      </c>
      <c r="O4" s="11">
        <v>68.887</v>
      </c>
      <c r="P4" s="11">
        <v>69378345.060000002</v>
      </c>
      <c r="Q4" s="14">
        <v>42562065.580079995</v>
      </c>
      <c r="R4" s="15">
        <v>104331.2</v>
      </c>
      <c r="S4" s="16"/>
      <c r="T4" s="16"/>
      <c r="V4" s="25"/>
      <c r="W4" s="25"/>
      <c r="X4" s="51">
        <v>27</v>
      </c>
      <c r="Y4" s="25">
        <v>1.3119999999999998</v>
      </c>
    </row>
    <row r="5" spans="1:25" ht="15" x14ac:dyDescent="0.2">
      <c r="A5" s="82" t="s">
        <v>20</v>
      </c>
      <c r="B5" s="128" t="s">
        <v>16</v>
      </c>
      <c r="C5" s="129" t="s">
        <v>290</v>
      </c>
      <c r="D5" s="10">
        <f>98380600+7560+2119184050</f>
        <v>2217572210</v>
      </c>
      <c r="E5" s="10">
        <f>-12055974-191198910</f>
        <v>-203254884</v>
      </c>
      <c r="F5" s="10">
        <f t="shared" si="0"/>
        <v>2014317326</v>
      </c>
      <c r="G5" s="8">
        <v>27</v>
      </c>
      <c r="H5" s="11">
        <v>0</v>
      </c>
      <c r="I5" s="16">
        <v>0</v>
      </c>
      <c r="J5" s="11">
        <v>0</v>
      </c>
      <c r="K5" s="8">
        <v>0</v>
      </c>
      <c r="L5" s="12">
        <v>0.372</v>
      </c>
      <c r="M5" s="11">
        <f t="shared" si="1"/>
        <v>0.4246290040599095</v>
      </c>
      <c r="N5" s="13">
        <f t="shared" si="2"/>
        <v>27.796629004059909</v>
      </c>
      <c r="O5" s="11">
        <v>92.97999999999999</v>
      </c>
      <c r="P5" s="11">
        <v>190119371.97</v>
      </c>
      <c r="Q5" s="14">
        <v>132904419.20799999</v>
      </c>
      <c r="R5" s="15">
        <v>855337.56</v>
      </c>
      <c r="S5" s="16"/>
      <c r="T5" s="16"/>
      <c r="V5" s="25"/>
      <c r="W5" s="25"/>
      <c r="X5" s="51">
        <v>27</v>
      </c>
      <c r="Y5" s="25">
        <v>0</v>
      </c>
    </row>
    <row r="6" spans="1:25" ht="15" x14ac:dyDescent="0.2">
      <c r="A6" s="6" t="s">
        <v>21</v>
      </c>
      <c r="B6" s="6" t="s">
        <v>16</v>
      </c>
      <c r="C6" s="7" t="s">
        <v>291</v>
      </c>
      <c r="D6" s="10">
        <v>125423580</v>
      </c>
      <c r="E6" s="10">
        <v>0</v>
      </c>
      <c r="F6" s="10">
        <f t="shared" si="0"/>
        <v>125423580</v>
      </c>
      <c r="G6" s="8">
        <v>23.285</v>
      </c>
      <c r="H6" s="11">
        <v>0</v>
      </c>
      <c r="I6" s="16">
        <v>0</v>
      </c>
      <c r="J6" s="11">
        <v>0</v>
      </c>
      <c r="K6" s="8">
        <v>0</v>
      </c>
      <c r="L6" s="12">
        <v>9.5679999999999996</v>
      </c>
      <c r="M6" s="11">
        <f t="shared" si="1"/>
        <v>0.23534426301657155</v>
      </c>
      <c r="N6" s="13">
        <f t="shared" si="2"/>
        <v>33.088344263016573</v>
      </c>
      <c r="O6" s="11">
        <v>93.772999999999996</v>
      </c>
      <c r="P6" s="11">
        <v>12032398.470000001</v>
      </c>
      <c r="Q6" s="14">
        <v>8840813.3697000016</v>
      </c>
      <c r="R6" s="15">
        <v>29517.72</v>
      </c>
      <c r="S6" s="16"/>
      <c r="T6" s="16"/>
      <c r="V6" s="25"/>
      <c r="W6" s="25"/>
      <c r="X6" s="51">
        <v>25.265000000000001</v>
      </c>
      <c r="Y6" s="25">
        <v>1.98</v>
      </c>
    </row>
    <row r="7" spans="1:25" ht="15" x14ac:dyDescent="0.2">
      <c r="A7" s="6" t="s">
        <v>22</v>
      </c>
      <c r="B7" s="6" t="s">
        <v>16</v>
      </c>
      <c r="C7" s="7" t="s">
        <v>292</v>
      </c>
      <c r="D7" s="10">
        <f>86170960+31857969</f>
        <v>118028929</v>
      </c>
      <c r="E7" s="10">
        <v>0</v>
      </c>
      <c r="F7" s="10">
        <f t="shared" si="0"/>
        <v>118028929</v>
      </c>
      <c r="G7" s="8">
        <v>27</v>
      </c>
      <c r="H7" s="11">
        <v>0</v>
      </c>
      <c r="I7" s="16">
        <v>0</v>
      </c>
      <c r="J7" s="11">
        <v>0</v>
      </c>
      <c r="K7" s="8">
        <v>0</v>
      </c>
      <c r="L7" s="12">
        <v>2.5419999999999998</v>
      </c>
      <c r="M7" s="11">
        <f t="shared" si="1"/>
        <v>3.0243941296798513E-2</v>
      </c>
      <c r="N7" s="13">
        <f t="shared" si="2"/>
        <v>29.572243941296801</v>
      </c>
      <c r="O7" s="11">
        <v>90.558999999999997</v>
      </c>
      <c r="P7" s="11">
        <v>10898770.609999999</v>
      </c>
      <c r="Q7" s="14">
        <v>7501815.8669999987</v>
      </c>
      <c r="R7" s="15">
        <f>2111.66+1458</f>
        <v>3569.66</v>
      </c>
      <c r="S7" s="16"/>
      <c r="T7" s="16"/>
      <c r="V7" s="25"/>
      <c r="W7" s="25"/>
      <c r="X7" s="51">
        <v>27</v>
      </c>
      <c r="Y7" s="25">
        <v>0</v>
      </c>
    </row>
    <row r="8" spans="1:25" ht="15" x14ac:dyDescent="0.2">
      <c r="A8" s="6" t="s">
        <v>23</v>
      </c>
      <c r="B8" s="6" t="s">
        <v>16</v>
      </c>
      <c r="C8" s="7" t="s">
        <v>293</v>
      </c>
      <c r="D8" s="10">
        <v>926960110</v>
      </c>
      <c r="E8" s="10">
        <v>-2614130</v>
      </c>
      <c r="F8" s="10">
        <f t="shared" si="0"/>
        <v>924345980</v>
      </c>
      <c r="G8" s="8">
        <v>27</v>
      </c>
      <c r="H8" s="11">
        <v>0</v>
      </c>
      <c r="I8" s="16">
        <v>0</v>
      </c>
      <c r="J8" s="11">
        <v>0.56099999999999994</v>
      </c>
      <c r="K8" s="8">
        <v>0</v>
      </c>
      <c r="L8" s="12">
        <v>8.4870000000000001</v>
      </c>
      <c r="M8" s="11">
        <f t="shared" si="1"/>
        <v>0.30769456042855292</v>
      </c>
      <c r="N8" s="13">
        <f t="shared" si="2"/>
        <v>36.355694560428553</v>
      </c>
      <c r="O8" s="11">
        <v>102.67</v>
      </c>
      <c r="P8" s="11">
        <v>96269184.189999998</v>
      </c>
      <c r="Q8" s="14">
        <v>69944965.529999986</v>
      </c>
      <c r="R8" s="15">
        <v>284416.23</v>
      </c>
      <c r="S8" s="16"/>
      <c r="T8" s="16"/>
      <c r="V8" s="25"/>
      <c r="W8" s="25"/>
      <c r="X8" s="51">
        <v>27</v>
      </c>
      <c r="Y8" s="25">
        <v>0</v>
      </c>
    </row>
    <row r="9" spans="1:25" ht="15" x14ac:dyDescent="0.2">
      <c r="A9" s="128" t="s">
        <v>24</v>
      </c>
      <c r="B9" s="128" t="s">
        <v>25</v>
      </c>
      <c r="C9" s="129" t="s">
        <v>25</v>
      </c>
      <c r="D9" s="10">
        <v>151100281</v>
      </c>
      <c r="E9" s="10">
        <v>0</v>
      </c>
      <c r="F9" s="10">
        <f t="shared" si="0"/>
        <v>151100281</v>
      </c>
      <c r="G9" s="8">
        <v>27</v>
      </c>
      <c r="H9" s="11">
        <v>0</v>
      </c>
      <c r="I9" s="16">
        <v>0</v>
      </c>
      <c r="J9" s="11">
        <v>0</v>
      </c>
      <c r="K9" s="8">
        <v>0</v>
      </c>
      <c r="L9" s="12">
        <v>0</v>
      </c>
      <c r="M9" s="11">
        <f t="shared" si="1"/>
        <v>8.7425383411431246E-2</v>
      </c>
      <c r="N9" s="13">
        <f t="shared" si="2"/>
        <v>27.087425383411432</v>
      </c>
      <c r="O9" s="11">
        <v>140.05000000000001</v>
      </c>
      <c r="P9" s="11">
        <v>21638203.579999998</v>
      </c>
      <c r="Q9" s="14">
        <v>17081885.352999996</v>
      </c>
      <c r="R9" s="15">
        <f>13329-119</f>
        <v>13210</v>
      </c>
      <c r="S9" s="16"/>
      <c r="T9" s="16"/>
      <c r="V9" s="25"/>
      <c r="W9" s="25"/>
      <c r="X9" s="51">
        <v>27</v>
      </c>
      <c r="Y9" s="25">
        <v>0</v>
      </c>
    </row>
    <row r="10" spans="1:25" ht="15" x14ac:dyDescent="0.2">
      <c r="A10" s="128" t="s">
        <v>26</v>
      </c>
      <c r="B10" s="128" t="s">
        <v>25</v>
      </c>
      <c r="C10" s="129" t="s">
        <v>294</v>
      </c>
      <c r="D10" s="10">
        <v>38606387</v>
      </c>
      <c r="E10" s="10">
        <v>0</v>
      </c>
      <c r="F10" s="10">
        <f t="shared" si="0"/>
        <v>38606387</v>
      </c>
      <c r="G10" s="8">
        <v>27</v>
      </c>
      <c r="H10" s="11">
        <v>0</v>
      </c>
      <c r="I10" s="16">
        <v>0</v>
      </c>
      <c r="J10" s="11">
        <v>0</v>
      </c>
      <c r="K10" s="8">
        <v>0</v>
      </c>
      <c r="L10" s="12">
        <v>0</v>
      </c>
      <c r="M10" s="11">
        <f t="shared" si="1"/>
        <v>0</v>
      </c>
      <c r="N10" s="13">
        <f t="shared" si="2"/>
        <v>27</v>
      </c>
      <c r="O10" s="11">
        <v>88.231000000000009</v>
      </c>
      <c r="P10" s="11">
        <v>3518630.13</v>
      </c>
      <c r="Q10" s="14">
        <v>2363902.6510000001</v>
      </c>
      <c r="R10" s="15">
        <v>0</v>
      </c>
      <c r="S10" s="16"/>
      <c r="T10" s="16"/>
      <c r="V10" s="25"/>
      <c r="W10" s="25"/>
      <c r="X10" s="51">
        <v>27</v>
      </c>
      <c r="Y10" s="25">
        <v>0</v>
      </c>
    </row>
    <row r="11" spans="1:25" ht="15" x14ac:dyDescent="0.2">
      <c r="A11" s="6" t="s">
        <v>27</v>
      </c>
      <c r="B11" s="6" t="s">
        <v>28</v>
      </c>
      <c r="C11" s="7" t="s">
        <v>295</v>
      </c>
      <c r="D11" s="10">
        <v>726775709</v>
      </c>
      <c r="E11" s="10">
        <v>-2110354</v>
      </c>
      <c r="F11" s="10">
        <f t="shared" si="0"/>
        <v>724665355</v>
      </c>
      <c r="G11" s="8">
        <v>22.895</v>
      </c>
      <c r="H11" s="11">
        <v>0</v>
      </c>
      <c r="I11" s="16">
        <v>0</v>
      </c>
      <c r="J11" s="11">
        <v>0</v>
      </c>
      <c r="K11" s="8">
        <v>0</v>
      </c>
      <c r="L11" s="12">
        <v>6.4249999999999998</v>
      </c>
      <c r="M11" s="11">
        <f t="shared" si="1"/>
        <v>5.2992736212703312E-2</v>
      </c>
      <c r="N11" s="13">
        <f t="shared" si="2"/>
        <v>29.372992736212705</v>
      </c>
      <c r="O11" s="11">
        <v>32.262999999999998</v>
      </c>
      <c r="P11" s="11">
        <v>24259350.670000002</v>
      </c>
      <c r="Q11" s="14">
        <v>6788977.9172750032</v>
      </c>
      <c r="R11" s="15">
        <v>38402</v>
      </c>
      <c r="S11" s="16"/>
      <c r="T11" s="16"/>
      <c r="V11" s="25"/>
      <c r="W11" s="25"/>
      <c r="X11" s="51">
        <v>27</v>
      </c>
      <c r="Y11" s="25">
        <v>4.1050000000000004</v>
      </c>
    </row>
    <row r="12" spans="1:25" ht="15" x14ac:dyDescent="0.2">
      <c r="A12" s="6" t="s">
        <v>29</v>
      </c>
      <c r="B12" s="6" t="s">
        <v>28</v>
      </c>
      <c r="C12" s="7" t="s">
        <v>296</v>
      </c>
      <c r="D12" s="10">
        <v>306884846</v>
      </c>
      <c r="E12" s="10">
        <v>-35824788</v>
      </c>
      <c r="F12" s="10">
        <f t="shared" si="0"/>
        <v>271060058</v>
      </c>
      <c r="G12" s="8">
        <v>21.946999999999999</v>
      </c>
      <c r="H12" s="11">
        <v>0</v>
      </c>
      <c r="I12" s="16">
        <v>0</v>
      </c>
      <c r="J12" s="11">
        <v>0</v>
      </c>
      <c r="K12" s="8">
        <v>0</v>
      </c>
      <c r="L12" s="12">
        <v>3.6890000000000001</v>
      </c>
      <c r="M12" s="11">
        <f t="shared" si="1"/>
        <v>0.29410825257035839</v>
      </c>
      <c r="N12" s="13">
        <f t="shared" si="2"/>
        <v>25.930108252570356</v>
      </c>
      <c r="O12" s="11">
        <v>50.471000000000004</v>
      </c>
      <c r="P12" s="11">
        <v>13992161.99</v>
      </c>
      <c r="Q12" s="14">
        <v>7731823.1270740014</v>
      </c>
      <c r="R12" s="15">
        <v>79721</v>
      </c>
      <c r="S12" s="16"/>
      <c r="T12" s="16"/>
      <c r="V12" s="25"/>
      <c r="W12" s="25"/>
      <c r="X12" s="51">
        <v>27</v>
      </c>
      <c r="Y12" s="25">
        <v>5.0529999999999999</v>
      </c>
    </row>
    <row r="13" spans="1:25" ht="15" x14ac:dyDescent="0.2">
      <c r="A13" s="6" t="s">
        <v>30</v>
      </c>
      <c r="B13" s="6" t="s">
        <v>28</v>
      </c>
      <c r="C13" s="7" t="s">
        <v>297</v>
      </c>
      <c r="D13" s="10">
        <v>7634110120</v>
      </c>
      <c r="E13" s="10">
        <v>-58032229</v>
      </c>
      <c r="F13" s="10">
        <f t="shared" si="0"/>
        <v>7576077891</v>
      </c>
      <c r="G13" s="8">
        <v>18.756</v>
      </c>
      <c r="H13" s="11">
        <v>0</v>
      </c>
      <c r="I13" s="16">
        <v>0</v>
      </c>
      <c r="J13" s="11">
        <v>0.85199999999999998</v>
      </c>
      <c r="K13" s="8">
        <v>5.0999999999999997E-2</v>
      </c>
      <c r="L13" s="12">
        <v>10.264000000000001</v>
      </c>
      <c r="M13" s="11">
        <f t="shared" si="1"/>
        <v>0.37190681518034041</v>
      </c>
      <c r="N13" s="13">
        <f t="shared" si="2"/>
        <v>30.294906815180344</v>
      </c>
      <c r="O13" s="11">
        <v>66.531000000000006</v>
      </c>
      <c r="P13" s="11">
        <v>513554528</v>
      </c>
      <c r="Q13" s="14">
        <v>361948874.69640398</v>
      </c>
      <c r="R13" s="15">
        <f>2866317-48722</f>
        <v>2817595</v>
      </c>
      <c r="S13" s="16"/>
      <c r="T13" s="16"/>
      <c r="V13" s="25"/>
      <c r="W13" s="25"/>
      <c r="X13" s="51">
        <v>18.756</v>
      </c>
      <c r="Y13" s="25">
        <v>0</v>
      </c>
    </row>
    <row r="14" spans="1:25" ht="15" x14ac:dyDescent="0.2">
      <c r="A14" s="6" t="s">
        <v>31</v>
      </c>
      <c r="B14" s="6" t="s">
        <v>28</v>
      </c>
      <c r="C14" s="7" t="s">
        <v>298</v>
      </c>
      <c r="D14" s="10">
        <v>2112971061</v>
      </c>
      <c r="E14" s="10">
        <v>-33923826</v>
      </c>
      <c r="F14" s="10">
        <f t="shared" si="0"/>
        <v>2079047235</v>
      </c>
      <c r="G14" s="8">
        <v>26.353000000000002</v>
      </c>
      <c r="H14" s="11">
        <v>0</v>
      </c>
      <c r="I14" s="16">
        <v>0</v>
      </c>
      <c r="J14" s="11">
        <v>1.1139999999999999</v>
      </c>
      <c r="K14" s="8">
        <v>0</v>
      </c>
      <c r="L14" s="12">
        <v>12.744999999999999</v>
      </c>
      <c r="M14" s="11">
        <f t="shared" si="1"/>
        <v>0.67636847125313149</v>
      </c>
      <c r="N14" s="13">
        <f t="shared" si="2"/>
        <v>40.888368471253138</v>
      </c>
      <c r="O14" s="11">
        <v>61.317999999999998</v>
      </c>
      <c r="P14" s="11">
        <v>130672770.87</v>
      </c>
      <c r="Q14" s="14">
        <v>72693132.836044997</v>
      </c>
      <c r="R14" s="15">
        <f>1416797-10595</f>
        <v>1406202</v>
      </c>
      <c r="S14" s="16"/>
      <c r="T14" s="16"/>
      <c r="V14" s="25"/>
      <c r="W14" s="25"/>
      <c r="X14" s="51">
        <v>27</v>
      </c>
      <c r="Y14" s="25">
        <v>0.64700000000000002</v>
      </c>
    </row>
    <row r="15" spans="1:25" ht="15" x14ac:dyDescent="0.2">
      <c r="A15" s="6" t="s">
        <v>32</v>
      </c>
      <c r="B15" s="6" t="s">
        <v>28</v>
      </c>
      <c r="C15" s="7" t="s">
        <v>299</v>
      </c>
      <c r="D15" s="10">
        <f>48963915+4614620</f>
        <v>53578535</v>
      </c>
      <c r="E15" s="10">
        <v>0</v>
      </c>
      <c r="F15" s="10">
        <f t="shared" si="0"/>
        <v>53578535</v>
      </c>
      <c r="G15" s="8">
        <v>27</v>
      </c>
      <c r="H15" s="11">
        <v>0</v>
      </c>
      <c r="I15" s="16">
        <v>0</v>
      </c>
      <c r="J15" s="11">
        <v>0.121</v>
      </c>
      <c r="K15" s="8">
        <v>0</v>
      </c>
      <c r="L15" s="12">
        <v>0</v>
      </c>
      <c r="M15" s="11">
        <f t="shared" si="1"/>
        <v>0</v>
      </c>
      <c r="N15" s="13">
        <f t="shared" si="2"/>
        <v>27.120999999999999</v>
      </c>
      <c r="O15" s="11">
        <v>69.518999999999991</v>
      </c>
      <c r="P15" s="11">
        <v>3796233.28</v>
      </c>
      <c r="Q15" s="14">
        <v>2278093.1549999998</v>
      </c>
      <c r="R15" s="15">
        <v>0</v>
      </c>
      <c r="S15" s="16"/>
      <c r="T15" s="16"/>
      <c r="V15" s="25"/>
      <c r="W15" s="25"/>
      <c r="X15" s="51">
        <v>27</v>
      </c>
      <c r="Y15" s="25">
        <v>0</v>
      </c>
    </row>
    <row r="16" spans="1:25" ht="15" x14ac:dyDescent="0.2">
      <c r="A16" s="82" t="s">
        <v>33</v>
      </c>
      <c r="B16" s="82" t="s">
        <v>28</v>
      </c>
      <c r="C16" s="83" t="s">
        <v>300</v>
      </c>
      <c r="D16" s="10">
        <f>2294482416+1530894820</f>
        <v>3825377236</v>
      </c>
      <c r="E16" s="10">
        <f>-59506542-46867590</f>
        <v>-106374132</v>
      </c>
      <c r="F16" s="10">
        <f t="shared" si="0"/>
        <v>3719003104</v>
      </c>
      <c r="G16" s="8">
        <v>27</v>
      </c>
      <c r="H16" s="11">
        <v>0</v>
      </c>
      <c r="I16" s="16">
        <v>0</v>
      </c>
      <c r="J16" s="11">
        <v>0</v>
      </c>
      <c r="K16" s="8">
        <v>0</v>
      </c>
      <c r="L16" s="12">
        <v>10.040000000000001</v>
      </c>
      <c r="M16" s="11">
        <f t="shared" si="1"/>
        <v>1.2209284808383962</v>
      </c>
      <c r="N16" s="13">
        <f t="shared" si="2"/>
        <v>38.260928480838395</v>
      </c>
      <c r="O16" s="11">
        <v>106.851</v>
      </c>
      <c r="P16" s="11">
        <v>402119895.27999997</v>
      </c>
      <c r="Q16" s="14">
        <v>296966294.67199999</v>
      </c>
      <c r="R16" s="15">
        <f>1999720+2540916.81</f>
        <v>4540636.8100000005</v>
      </c>
      <c r="S16" s="16"/>
      <c r="T16" s="16"/>
      <c r="V16" s="25"/>
      <c r="W16" s="25"/>
      <c r="X16" s="51">
        <v>27</v>
      </c>
      <c r="Y16" s="25">
        <v>0</v>
      </c>
    </row>
    <row r="17" spans="1:25" ht="15" x14ac:dyDescent="0.2">
      <c r="A17" s="82" t="s">
        <v>34</v>
      </c>
      <c r="B17" s="128" t="s">
        <v>28</v>
      </c>
      <c r="C17" s="129" t="s">
        <v>301</v>
      </c>
      <c r="D17" s="10">
        <f>39381503+29180340</f>
        <v>68561843</v>
      </c>
      <c r="E17" s="10">
        <v>0</v>
      </c>
      <c r="F17" s="10">
        <f t="shared" si="0"/>
        <v>68561843</v>
      </c>
      <c r="G17" s="8">
        <v>24.908999999999999</v>
      </c>
      <c r="H17" s="11">
        <v>0</v>
      </c>
      <c r="I17" s="16">
        <v>0</v>
      </c>
      <c r="J17" s="11">
        <v>0</v>
      </c>
      <c r="K17" s="8">
        <v>0</v>
      </c>
      <c r="L17" s="12">
        <v>0</v>
      </c>
      <c r="M17" s="11">
        <f t="shared" si="1"/>
        <v>7.9656551822855758E-3</v>
      </c>
      <c r="N17" s="13">
        <f t="shared" si="2"/>
        <v>24.916965655182285</v>
      </c>
      <c r="O17" s="11">
        <v>647.47699999999998</v>
      </c>
      <c r="P17" s="11">
        <v>44512379.539999999</v>
      </c>
      <c r="Q17" s="14">
        <v>42684376.042713001</v>
      </c>
      <c r="R17" s="15">
        <f>537+9.14</f>
        <v>546.14</v>
      </c>
      <c r="S17" s="16"/>
      <c r="T17" s="16"/>
      <c r="V17" s="25"/>
      <c r="W17" s="25"/>
      <c r="X17" s="51">
        <v>27</v>
      </c>
      <c r="Y17" s="25">
        <v>2.0910000000000002</v>
      </c>
    </row>
    <row r="18" spans="1:25" ht="15" x14ac:dyDescent="0.2">
      <c r="A18" s="6" t="s">
        <v>35</v>
      </c>
      <c r="B18" s="6" t="s">
        <v>36</v>
      </c>
      <c r="C18" s="7" t="s">
        <v>36</v>
      </c>
      <c r="D18" s="10">
        <v>362179780</v>
      </c>
      <c r="E18" s="10">
        <v>0</v>
      </c>
      <c r="F18" s="10">
        <f t="shared" si="0"/>
        <v>362179780</v>
      </c>
      <c r="G18" s="8">
        <v>22.013999999999999</v>
      </c>
      <c r="H18" s="11">
        <v>0</v>
      </c>
      <c r="I18" s="16">
        <v>0</v>
      </c>
      <c r="J18" s="11">
        <v>0</v>
      </c>
      <c r="K18" s="8">
        <v>0</v>
      </c>
      <c r="L18" s="12">
        <v>0</v>
      </c>
      <c r="M18" s="11">
        <f t="shared" si="1"/>
        <v>5.715816051354386E-2</v>
      </c>
      <c r="N18" s="13">
        <f t="shared" si="2"/>
        <v>22.071158160513544</v>
      </c>
      <c r="O18" s="11">
        <v>43.853999999999999</v>
      </c>
      <c r="P18" s="11">
        <v>16424886.550000001</v>
      </c>
      <c r="Q18" s="14">
        <v>7909864.5230800007</v>
      </c>
      <c r="R18" s="15">
        <f>24153.97-3452.44</f>
        <v>20701.530000000002</v>
      </c>
      <c r="S18" s="16"/>
      <c r="T18" s="16"/>
      <c r="V18" s="25"/>
      <c r="W18" s="25"/>
      <c r="X18" s="51">
        <v>27</v>
      </c>
      <c r="Y18" s="25">
        <v>4.9859999999999998</v>
      </c>
    </row>
    <row r="19" spans="1:25" ht="15" x14ac:dyDescent="0.2">
      <c r="A19" s="128" t="s">
        <v>37</v>
      </c>
      <c r="B19" s="128" t="s">
        <v>38</v>
      </c>
      <c r="C19" s="129" t="s">
        <v>302</v>
      </c>
      <c r="D19" s="10">
        <v>29809326</v>
      </c>
      <c r="E19" s="10">
        <v>0</v>
      </c>
      <c r="F19" s="10">
        <f t="shared" si="0"/>
        <v>29809326</v>
      </c>
      <c r="G19" s="8">
        <v>20.300999999999998</v>
      </c>
      <c r="H19" s="11">
        <v>0</v>
      </c>
      <c r="I19" s="16">
        <v>0</v>
      </c>
      <c r="J19" s="11">
        <v>0</v>
      </c>
      <c r="K19" s="8">
        <v>0</v>
      </c>
      <c r="L19" s="12">
        <v>0</v>
      </c>
      <c r="M19" s="11">
        <f t="shared" si="1"/>
        <v>2.3482583940341356E-4</v>
      </c>
      <c r="N19" s="13">
        <f t="shared" si="2"/>
        <v>20.301234825839401</v>
      </c>
      <c r="O19" s="11">
        <v>80.28</v>
      </c>
      <c r="P19" s="11">
        <v>2457241</v>
      </c>
      <c r="Q19" s="14">
        <v>1787945.302874</v>
      </c>
      <c r="R19" s="15">
        <v>7</v>
      </c>
      <c r="S19" s="16"/>
      <c r="T19" s="16"/>
      <c r="V19" s="25"/>
      <c r="W19" s="25"/>
      <c r="X19" s="51">
        <v>27</v>
      </c>
      <c r="Y19" s="25">
        <v>6.6989999999999998</v>
      </c>
    </row>
    <row r="20" spans="1:25" ht="15" x14ac:dyDescent="0.2">
      <c r="A20" s="128" t="s">
        <v>39</v>
      </c>
      <c r="B20" s="128" t="s">
        <v>38</v>
      </c>
      <c r="C20" s="129" t="s">
        <v>303</v>
      </c>
      <c r="D20" s="10">
        <v>27718068</v>
      </c>
      <c r="E20" s="10">
        <v>0</v>
      </c>
      <c r="F20" s="10">
        <f t="shared" si="0"/>
        <v>27718068</v>
      </c>
      <c r="G20" s="8">
        <v>19.800999999999998</v>
      </c>
      <c r="H20" s="11">
        <v>0</v>
      </c>
      <c r="I20" s="16">
        <v>0</v>
      </c>
      <c r="J20" s="11">
        <v>0</v>
      </c>
      <c r="K20" s="8">
        <v>0</v>
      </c>
      <c r="L20" s="12">
        <v>3.6080000000000001</v>
      </c>
      <c r="M20" s="11">
        <f t="shared" si="1"/>
        <v>5.7724080913575939E-4</v>
      </c>
      <c r="N20" s="13">
        <f t="shared" si="2"/>
        <v>23.409577240809135</v>
      </c>
      <c r="O20" s="11">
        <v>41.210999999999999</v>
      </c>
      <c r="P20" s="11">
        <v>1179989.75</v>
      </c>
      <c r="Q20" s="14">
        <v>593441.53553200001</v>
      </c>
      <c r="R20" s="15">
        <v>16</v>
      </c>
      <c r="S20" s="16"/>
      <c r="T20" s="16"/>
      <c r="V20" s="25"/>
      <c r="W20" s="25"/>
      <c r="X20" s="51">
        <v>26.992000000000001</v>
      </c>
      <c r="Y20" s="25">
        <v>7.1910000000000007</v>
      </c>
    </row>
    <row r="21" spans="1:25" ht="15" x14ac:dyDescent="0.2">
      <c r="A21" s="128" t="s">
        <v>40</v>
      </c>
      <c r="B21" s="128" t="s">
        <v>38</v>
      </c>
      <c r="C21" s="129" t="s">
        <v>304</v>
      </c>
      <c r="D21" s="10">
        <v>33228902</v>
      </c>
      <c r="E21" s="10">
        <v>0</v>
      </c>
      <c r="F21" s="10">
        <f t="shared" si="0"/>
        <v>33228902</v>
      </c>
      <c r="G21" s="8">
        <v>27</v>
      </c>
      <c r="H21" s="11">
        <v>0</v>
      </c>
      <c r="I21" s="16">
        <v>0</v>
      </c>
      <c r="J21" s="11">
        <v>0</v>
      </c>
      <c r="K21" s="8">
        <v>0</v>
      </c>
      <c r="L21" s="12">
        <v>0</v>
      </c>
      <c r="M21" s="11">
        <f t="shared" si="1"/>
        <v>3.322408907763489E-2</v>
      </c>
      <c r="N21" s="13">
        <f t="shared" si="2"/>
        <v>27.033224089077635</v>
      </c>
      <c r="O21" s="11">
        <v>103.79299999999999</v>
      </c>
      <c r="P21" s="11">
        <v>3537660.61</v>
      </c>
      <c r="Q21" s="14">
        <v>2551751.7859999998</v>
      </c>
      <c r="R21" s="15">
        <v>1104</v>
      </c>
      <c r="S21" s="16"/>
      <c r="T21" s="16"/>
      <c r="V21" s="25"/>
      <c r="W21" s="25"/>
      <c r="X21" s="51">
        <v>27</v>
      </c>
      <c r="Y21" s="25">
        <v>0</v>
      </c>
    </row>
    <row r="22" spans="1:25" ht="15" x14ac:dyDescent="0.2">
      <c r="A22" s="128" t="s">
        <v>41</v>
      </c>
      <c r="B22" s="128" t="s">
        <v>38</v>
      </c>
      <c r="C22" s="129" t="s">
        <v>305</v>
      </c>
      <c r="D22" s="10">
        <v>7629624</v>
      </c>
      <c r="E22" s="10">
        <v>0</v>
      </c>
      <c r="F22" s="10">
        <f t="shared" si="0"/>
        <v>7629624</v>
      </c>
      <c r="G22" s="8">
        <v>27</v>
      </c>
      <c r="H22" s="11">
        <v>0</v>
      </c>
      <c r="I22" s="16">
        <v>0</v>
      </c>
      <c r="J22" s="11">
        <v>0</v>
      </c>
      <c r="K22" s="8">
        <v>0</v>
      </c>
      <c r="L22" s="12">
        <v>0</v>
      </c>
      <c r="M22" s="11">
        <f t="shared" si="1"/>
        <v>0</v>
      </c>
      <c r="N22" s="13">
        <f t="shared" si="2"/>
        <v>27</v>
      </c>
      <c r="O22" s="11">
        <v>322.786</v>
      </c>
      <c r="P22" s="11">
        <v>2483940.06</v>
      </c>
      <c r="Q22" s="14">
        <v>2256734.3920000005</v>
      </c>
      <c r="R22" s="15">
        <v>0</v>
      </c>
      <c r="S22" s="16"/>
      <c r="T22" s="16"/>
      <c r="V22" s="25"/>
      <c r="W22" s="25"/>
      <c r="X22" s="51">
        <v>27</v>
      </c>
      <c r="Y22" s="25">
        <v>0</v>
      </c>
    </row>
    <row r="23" spans="1:25" ht="15" x14ac:dyDescent="0.2">
      <c r="A23" s="128" t="s">
        <v>42</v>
      </c>
      <c r="B23" s="128" t="s">
        <v>38</v>
      </c>
      <c r="C23" s="129" t="s">
        <v>306</v>
      </c>
      <c r="D23" s="10">
        <v>17576348</v>
      </c>
      <c r="E23" s="10">
        <v>0</v>
      </c>
      <c r="F23" s="10">
        <f t="shared" si="0"/>
        <v>17576348</v>
      </c>
      <c r="G23" s="8">
        <v>11.756</v>
      </c>
      <c r="H23" s="11">
        <v>0</v>
      </c>
      <c r="I23" s="16">
        <v>0</v>
      </c>
      <c r="J23" s="11">
        <v>0.26400000000000001</v>
      </c>
      <c r="K23" s="8">
        <v>0</v>
      </c>
      <c r="L23" s="12">
        <v>8.5340000000000007</v>
      </c>
      <c r="M23" s="11">
        <f t="shared" si="1"/>
        <v>0</v>
      </c>
      <c r="N23" s="13">
        <f t="shared" si="2"/>
        <v>20.554000000000002</v>
      </c>
      <c r="O23" s="11">
        <v>53.765000000000001</v>
      </c>
      <c r="P23" s="11">
        <v>962905.48</v>
      </c>
      <c r="Q23" s="14">
        <v>738369.46291200002</v>
      </c>
      <c r="R23" s="15">
        <v>0</v>
      </c>
      <c r="S23" s="16"/>
      <c r="T23" s="16"/>
      <c r="V23" s="25"/>
      <c r="W23" s="25"/>
      <c r="X23" s="51">
        <v>18.3</v>
      </c>
      <c r="Y23" s="25">
        <v>6.5439999999999996</v>
      </c>
    </row>
    <row r="24" spans="1:25" ht="15" x14ac:dyDescent="0.2">
      <c r="A24" s="6" t="s">
        <v>43</v>
      </c>
      <c r="B24" s="6" t="s">
        <v>44</v>
      </c>
      <c r="C24" s="7" t="s">
        <v>45</v>
      </c>
      <c r="D24" s="10">
        <v>72048180</v>
      </c>
      <c r="E24" s="10">
        <v>0</v>
      </c>
      <c r="F24" s="10">
        <f t="shared" si="0"/>
        <v>72048180</v>
      </c>
      <c r="G24" s="8">
        <v>20.498000000000001</v>
      </c>
      <c r="H24" s="11">
        <v>0</v>
      </c>
      <c r="I24" s="16">
        <v>0</v>
      </c>
      <c r="J24" s="11">
        <v>0</v>
      </c>
      <c r="K24" s="8">
        <v>0</v>
      </c>
      <c r="L24" s="12">
        <v>0</v>
      </c>
      <c r="M24" s="11">
        <f t="shared" si="1"/>
        <v>2.3979786859293327E-3</v>
      </c>
      <c r="N24" s="13">
        <f t="shared" si="2"/>
        <v>20.500397978685932</v>
      </c>
      <c r="O24" s="11">
        <v>108.71799999999999</v>
      </c>
      <c r="P24" s="11">
        <v>7940712.6200000001</v>
      </c>
      <c r="Q24" s="14">
        <v>6356118.4463599995</v>
      </c>
      <c r="R24" s="15">
        <f>188.37-15.6</f>
        <v>172.77</v>
      </c>
      <c r="S24" s="16"/>
      <c r="T24" s="16"/>
      <c r="V24" s="25"/>
      <c r="W24" s="25"/>
      <c r="X24" s="51">
        <v>27</v>
      </c>
      <c r="Y24" s="25">
        <v>6.5019999999999998</v>
      </c>
    </row>
    <row r="25" spans="1:25" ht="15" x14ac:dyDescent="0.2">
      <c r="A25" s="6" t="s">
        <v>46</v>
      </c>
      <c r="B25" s="6" t="s">
        <v>44</v>
      </c>
      <c r="C25" s="7" t="s">
        <v>307</v>
      </c>
      <c r="D25" s="10">
        <v>26963170</v>
      </c>
      <c r="E25" s="10">
        <v>0</v>
      </c>
      <c r="F25" s="10">
        <f t="shared" si="0"/>
        <v>26963170</v>
      </c>
      <c r="G25" s="8">
        <v>19.914999999999999</v>
      </c>
      <c r="H25" s="11">
        <v>0</v>
      </c>
      <c r="I25" s="16">
        <v>0</v>
      </c>
      <c r="J25" s="11">
        <v>4.665</v>
      </c>
      <c r="K25" s="8">
        <v>0</v>
      </c>
      <c r="L25" s="12">
        <v>0</v>
      </c>
      <c r="M25" s="11">
        <f t="shared" si="1"/>
        <v>0</v>
      </c>
      <c r="N25" s="13">
        <f t="shared" si="2"/>
        <v>24.58</v>
      </c>
      <c r="O25" s="11">
        <v>116.09099999999999</v>
      </c>
      <c r="P25" s="11">
        <v>3146927.55</v>
      </c>
      <c r="Q25" s="14">
        <v>2593220.47945</v>
      </c>
      <c r="R25" s="15">
        <v>0</v>
      </c>
      <c r="S25" s="16"/>
      <c r="T25" s="16"/>
      <c r="V25" s="25"/>
      <c r="W25" s="25"/>
      <c r="X25" s="51">
        <v>23.59</v>
      </c>
      <c r="Y25" s="25">
        <v>3.6749999999999998</v>
      </c>
    </row>
    <row r="26" spans="1:25" ht="15" x14ac:dyDescent="0.2">
      <c r="A26" s="82" t="s">
        <v>47</v>
      </c>
      <c r="B26" s="128" t="s">
        <v>48</v>
      </c>
      <c r="C26" s="129" t="s">
        <v>308</v>
      </c>
      <c r="D26" s="10">
        <f>1904951490+16294426+50695550</f>
        <v>1971941466</v>
      </c>
      <c r="E26" s="10">
        <f>-237952970-48684093</f>
        <v>-286637063</v>
      </c>
      <c r="F26" s="10">
        <f t="shared" si="0"/>
        <v>1685304403</v>
      </c>
      <c r="G26" s="8">
        <v>25.995000000000001</v>
      </c>
      <c r="H26" s="11">
        <v>0</v>
      </c>
      <c r="I26" s="16">
        <v>0</v>
      </c>
      <c r="J26" s="11">
        <v>0</v>
      </c>
      <c r="K26" s="8">
        <v>0</v>
      </c>
      <c r="L26" s="12">
        <v>19.365000000000002</v>
      </c>
      <c r="M26" s="11">
        <f t="shared" si="1"/>
        <v>0.20579584280597168</v>
      </c>
      <c r="N26" s="13">
        <f t="shared" si="2"/>
        <v>45.565795842805969</v>
      </c>
      <c r="O26" s="11">
        <v>169.75299999999999</v>
      </c>
      <c r="P26" s="11">
        <v>291222021.13</v>
      </c>
      <c r="Q26" s="14">
        <v>242276721.29401499</v>
      </c>
      <c r="R26" s="15">
        <f>363724.2-35143.81+283.93+5616.35+12347.97</f>
        <v>346828.63999999996</v>
      </c>
      <c r="S26" s="16"/>
      <c r="T26" s="16"/>
      <c r="V26" s="25"/>
      <c r="W26" s="25"/>
      <c r="X26" s="51">
        <v>27</v>
      </c>
      <c r="Y26" s="25">
        <v>1.0049999999999999</v>
      </c>
    </row>
    <row r="27" spans="1:25" ht="15" x14ac:dyDescent="0.2">
      <c r="A27" s="82" t="s">
        <v>49</v>
      </c>
      <c r="B27" s="128" t="s">
        <v>48</v>
      </c>
      <c r="C27" s="129" t="s">
        <v>48</v>
      </c>
      <c r="D27" s="10">
        <f>931496230+68471934+6457676844</f>
        <v>7457645008</v>
      </c>
      <c r="E27" s="10">
        <v>-36979493</v>
      </c>
      <c r="F27" s="10">
        <f t="shared" si="0"/>
        <v>7420665515</v>
      </c>
      <c r="G27" s="8">
        <v>26.023</v>
      </c>
      <c r="H27" s="11">
        <v>0</v>
      </c>
      <c r="I27" s="16">
        <v>0</v>
      </c>
      <c r="J27" s="11">
        <v>0</v>
      </c>
      <c r="K27" s="8">
        <v>0</v>
      </c>
      <c r="L27" s="12">
        <v>10.146000000000001</v>
      </c>
      <c r="M27" s="11">
        <f t="shared" si="1"/>
        <v>4.1936858543340505E-3</v>
      </c>
      <c r="N27" s="13">
        <f t="shared" si="2"/>
        <v>36.173193685854329</v>
      </c>
      <c r="O27" s="11">
        <v>36.138999999999996</v>
      </c>
      <c r="P27" s="11">
        <v>278841914.95999998</v>
      </c>
      <c r="Q27" s="14">
        <v>75066904.263154984</v>
      </c>
      <c r="R27" s="15">
        <f>322.43-100.82+7531.35-2499.77+3803.77-1280.29+33776.18-11290.84+961.6-317.5+1.54+34.62+110.61+44.99+17.68+4.39</f>
        <v>31119.94</v>
      </c>
      <c r="S27" s="16">
        <v>0.97899999999999998</v>
      </c>
      <c r="T27" s="16"/>
      <c r="V27" s="25"/>
      <c r="W27" s="25"/>
      <c r="X27" s="51">
        <v>27</v>
      </c>
      <c r="Y27" s="25">
        <v>0.97700000000000009</v>
      </c>
    </row>
    <row r="28" spans="1:25" ht="15" x14ac:dyDescent="0.2">
      <c r="A28" s="128" t="s">
        <v>50</v>
      </c>
      <c r="B28" s="128" t="s">
        <v>51</v>
      </c>
      <c r="C28" s="129" t="s">
        <v>309</v>
      </c>
      <c r="D28" s="10">
        <v>281048000</v>
      </c>
      <c r="E28" s="10">
        <v>0</v>
      </c>
      <c r="F28" s="10">
        <f t="shared" si="0"/>
        <v>281048000</v>
      </c>
      <c r="G28" s="8">
        <v>16.981999999999999</v>
      </c>
      <c r="H28" s="11">
        <v>0</v>
      </c>
      <c r="I28" s="16">
        <v>0</v>
      </c>
      <c r="J28" s="11">
        <v>0</v>
      </c>
      <c r="K28" s="8">
        <v>0</v>
      </c>
      <c r="L28" s="12">
        <v>7.274</v>
      </c>
      <c r="M28" s="11">
        <f t="shared" si="1"/>
        <v>7.6955537844069334E-3</v>
      </c>
      <c r="N28" s="13">
        <f t="shared" si="2"/>
        <v>24.263695553784409</v>
      </c>
      <c r="O28" s="11">
        <v>33.189</v>
      </c>
      <c r="P28" s="11">
        <v>9678447.3399999999</v>
      </c>
      <c r="Q28" s="14">
        <v>4554998.2740000002</v>
      </c>
      <c r="R28" s="15">
        <f>2353.4-190.58</f>
        <v>2162.8200000000002</v>
      </c>
      <c r="S28" s="16"/>
      <c r="T28" s="16"/>
      <c r="V28" s="25"/>
      <c r="W28" s="25"/>
      <c r="X28" s="51">
        <v>23.149000000000001</v>
      </c>
      <c r="Y28" s="25">
        <v>6.1669999999999998</v>
      </c>
    </row>
    <row r="29" spans="1:25" ht="15" x14ac:dyDescent="0.2">
      <c r="A29" s="6" t="s">
        <v>52</v>
      </c>
      <c r="B29" s="6" t="s">
        <v>51</v>
      </c>
      <c r="C29" s="7" t="s">
        <v>310</v>
      </c>
      <c r="D29" s="10">
        <v>346115688</v>
      </c>
      <c r="E29" s="10">
        <v>0</v>
      </c>
      <c r="F29" s="10">
        <f t="shared" si="0"/>
        <v>346115688</v>
      </c>
      <c r="G29" s="8">
        <v>15.692999999999998</v>
      </c>
      <c r="H29" s="11">
        <v>0</v>
      </c>
      <c r="I29" s="16">
        <v>0</v>
      </c>
      <c r="J29" s="11">
        <v>0</v>
      </c>
      <c r="K29" s="8">
        <v>0</v>
      </c>
      <c r="L29" s="12">
        <v>7.2160000000000002</v>
      </c>
      <c r="M29" s="11">
        <f t="shared" si="1"/>
        <v>0.11833326665042701</v>
      </c>
      <c r="N29" s="13">
        <f t="shared" si="2"/>
        <v>23.027333266650427</v>
      </c>
      <c r="O29" s="11">
        <v>36.924999999999997</v>
      </c>
      <c r="P29" s="11">
        <v>13237451.42</v>
      </c>
      <c r="Q29" s="14">
        <v>7348748.2082160003</v>
      </c>
      <c r="R29" s="15">
        <v>40957</v>
      </c>
      <c r="S29" s="16"/>
      <c r="T29" s="16"/>
      <c r="V29" s="25"/>
      <c r="W29" s="25"/>
      <c r="X29" s="51">
        <v>24.792999999999999</v>
      </c>
      <c r="Y29" s="25">
        <v>9.1</v>
      </c>
    </row>
    <row r="30" spans="1:25" ht="15" x14ac:dyDescent="0.2">
      <c r="A30" s="6" t="s">
        <v>53</v>
      </c>
      <c r="B30" s="6" t="s">
        <v>54</v>
      </c>
      <c r="C30" s="7" t="s">
        <v>55</v>
      </c>
      <c r="D30" s="10">
        <v>41092574</v>
      </c>
      <c r="E30" s="10">
        <v>0</v>
      </c>
      <c r="F30" s="10">
        <f t="shared" si="0"/>
        <v>41092574</v>
      </c>
      <c r="G30" s="8">
        <v>8.8140000000000001</v>
      </c>
      <c r="H30" s="11">
        <v>0</v>
      </c>
      <c r="I30" s="16">
        <v>0</v>
      </c>
      <c r="J30" s="11">
        <v>1.786</v>
      </c>
      <c r="K30" s="8">
        <v>0</v>
      </c>
      <c r="L30" s="12">
        <v>5.9620000000000006</v>
      </c>
      <c r="M30" s="11">
        <f t="shared" si="1"/>
        <v>0</v>
      </c>
      <c r="N30" s="13">
        <f t="shared" si="2"/>
        <v>16.562000000000001</v>
      </c>
      <c r="O30" s="11">
        <v>42.472000000000001</v>
      </c>
      <c r="P30" s="11">
        <v>1780193.76</v>
      </c>
      <c r="Q30" s="14">
        <v>1383102.5427639999</v>
      </c>
      <c r="R30" s="15">
        <v>0</v>
      </c>
      <c r="S30" s="16"/>
      <c r="T30" s="16"/>
      <c r="V30" s="25"/>
      <c r="W30" s="25"/>
      <c r="X30" s="51">
        <v>17.88</v>
      </c>
      <c r="Y30" s="25">
        <v>9.0660000000000007</v>
      </c>
    </row>
    <row r="31" spans="1:25" ht="15" x14ac:dyDescent="0.2">
      <c r="A31" s="6" t="s">
        <v>56</v>
      </c>
      <c r="B31" s="6" t="s">
        <v>54</v>
      </c>
      <c r="C31" s="7" t="s">
        <v>54</v>
      </c>
      <c r="D31" s="10">
        <v>78005822</v>
      </c>
      <c r="E31" s="10">
        <v>0</v>
      </c>
      <c r="F31" s="10">
        <f t="shared" si="0"/>
        <v>78005822</v>
      </c>
      <c r="G31" s="8">
        <v>7.6740000000000004</v>
      </c>
      <c r="H31" s="11">
        <v>0</v>
      </c>
      <c r="I31" s="16">
        <v>0</v>
      </c>
      <c r="J31" s="11">
        <v>0</v>
      </c>
      <c r="K31" s="8">
        <v>0</v>
      </c>
      <c r="L31" s="12">
        <v>7.2319999999999993</v>
      </c>
      <c r="M31" s="11">
        <f t="shared" si="1"/>
        <v>1.1841423836287501E-2</v>
      </c>
      <c r="N31" s="13">
        <f t="shared" si="2"/>
        <v>14.917841423836286</v>
      </c>
      <c r="O31" s="11">
        <v>35.123000000000005</v>
      </c>
      <c r="P31" s="11">
        <v>2800281.16</v>
      </c>
      <c r="Q31" s="14">
        <v>2141155.2919720002</v>
      </c>
      <c r="R31" s="15">
        <f>1238.48-314.78</f>
        <v>923.7</v>
      </c>
      <c r="S31" s="16"/>
      <c r="T31" s="16"/>
      <c r="V31" s="25"/>
      <c r="W31" s="25"/>
      <c r="X31" s="51">
        <v>15.558</v>
      </c>
      <c r="Y31" s="25">
        <v>7.8840000000000003</v>
      </c>
    </row>
    <row r="32" spans="1:25" ht="15" x14ac:dyDescent="0.2">
      <c r="A32" s="6" t="s">
        <v>57</v>
      </c>
      <c r="B32" s="6" t="s">
        <v>58</v>
      </c>
      <c r="C32" s="7" t="s">
        <v>58</v>
      </c>
      <c r="D32" s="10">
        <v>337851980</v>
      </c>
      <c r="E32" s="10">
        <v>0</v>
      </c>
      <c r="F32" s="10">
        <f t="shared" si="0"/>
        <v>337851980</v>
      </c>
      <c r="G32" s="8">
        <v>12.484999999999999</v>
      </c>
      <c r="H32" s="11">
        <v>0</v>
      </c>
      <c r="I32" s="16">
        <v>0</v>
      </c>
      <c r="J32" s="11">
        <v>0</v>
      </c>
      <c r="K32" s="8">
        <v>0</v>
      </c>
      <c r="L32" s="12">
        <v>5.4429999999999996</v>
      </c>
      <c r="M32" s="11">
        <f t="shared" si="1"/>
        <v>2.5750922045802423E-2</v>
      </c>
      <c r="N32" s="13">
        <f t="shared" si="2"/>
        <v>17.953750922045799</v>
      </c>
      <c r="O32" s="11">
        <v>20.105</v>
      </c>
      <c r="P32" s="11">
        <v>7125370.6600000001</v>
      </c>
      <c r="Q32" s="14">
        <v>2574431.9797</v>
      </c>
      <c r="R32" s="15">
        <v>8700</v>
      </c>
      <c r="S32" s="16"/>
      <c r="T32" s="16"/>
      <c r="V32" s="25"/>
      <c r="W32" s="25"/>
      <c r="X32" s="51">
        <v>12.484999999999999</v>
      </c>
      <c r="Y32" s="25">
        <v>0</v>
      </c>
    </row>
    <row r="33" spans="1:25" ht="15" x14ac:dyDescent="0.2">
      <c r="A33" s="82" t="s">
        <v>59</v>
      </c>
      <c r="B33" s="128" t="s">
        <v>60</v>
      </c>
      <c r="C33" s="129" t="s">
        <v>311</v>
      </c>
      <c r="D33" s="10">
        <v>1043190</v>
      </c>
      <c r="E33" s="10">
        <v>0</v>
      </c>
      <c r="F33" s="10">
        <f t="shared" si="0"/>
        <v>1043190</v>
      </c>
      <c r="G33" s="8">
        <v>18.123000000000001</v>
      </c>
      <c r="H33" s="11">
        <v>0</v>
      </c>
      <c r="I33" s="16">
        <v>0</v>
      </c>
      <c r="J33" s="11">
        <v>181.99599999999998</v>
      </c>
      <c r="K33" s="8">
        <v>0</v>
      </c>
      <c r="L33" s="12">
        <v>0</v>
      </c>
      <c r="M33" s="11">
        <f t="shared" si="1"/>
        <v>0</v>
      </c>
      <c r="N33" s="13">
        <f t="shared" si="2"/>
        <v>200.11899999999997</v>
      </c>
      <c r="O33" s="11">
        <v>9590.5310000000009</v>
      </c>
      <c r="P33" s="11">
        <v>10143451.039999999</v>
      </c>
      <c r="Q33" s="14">
        <v>9985840.547629999</v>
      </c>
      <c r="R33" s="15"/>
      <c r="S33" s="16"/>
      <c r="T33" s="16"/>
      <c r="V33" s="25"/>
      <c r="W33" s="25"/>
      <c r="X33" s="51">
        <v>23.405999999999999</v>
      </c>
      <c r="Y33" s="25">
        <v>5.2830000000000004</v>
      </c>
    </row>
    <row r="34" spans="1:25" ht="15" x14ac:dyDescent="0.2">
      <c r="A34" s="82" t="s">
        <v>61</v>
      </c>
      <c r="B34" s="128" t="s">
        <v>60</v>
      </c>
      <c r="C34" s="128" t="s">
        <v>312</v>
      </c>
      <c r="D34" s="10">
        <v>478522</v>
      </c>
      <c r="E34" s="10">
        <v>0</v>
      </c>
      <c r="F34" s="10">
        <f t="shared" si="0"/>
        <v>478522</v>
      </c>
      <c r="G34" s="8">
        <v>27</v>
      </c>
      <c r="H34" s="11">
        <v>0</v>
      </c>
      <c r="I34" s="16">
        <v>0</v>
      </c>
      <c r="J34" s="11">
        <v>0</v>
      </c>
      <c r="K34" s="8">
        <v>0</v>
      </c>
      <c r="L34" s="12">
        <v>0</v>
      </c>
      <c r="M34" s="11">
        <f t="shared" si="1"/>
        <v>0</v>
      </c>
      <c r="N34" s="13">
        <f t="shared" si="2"/>
        <v>27</v>
      </c>
      <c r="O34" s="11">
        <v>8676.4089999999997</v>
      </c>
      <c r="P34" s="11">
        <v>4199239.7300000004</v>
      </c>
      <c r="Q34" s="14">
        <v>4138932.5060000005</v>
      </c>
      <c r="R34" s="15">
        <v>0</v>
      </c>
      <c r="S34" s="16"/>
      <c r="T34" s="16"/>
      <c r="V34" s="25"/>
      <c r="W34" s="25"/>
      <c r="X34" s="51">
        <v>27</v>
      </c>
      <c r="Y34" s="25">
        <v>0</v>
      </c>
    </row>
    <row r="35" spans="1:25" ht="15" x14ac:dyDescent="0.2">
      <c r="A35" s="6" t="s">
        <v>62</v>
      </c>
      <c r="B35" s="6" t="s">
        <v>60</v>
      </c>
      <c r="C35" s="7" t="s">
        <v>313</v>
      </c>
      <c r="D35" s="10">
        <v>32274960</v>
      </c>
      <c r="E35" s="10">
        <v>0</v>
      </c>
      <c r="F35" s="10">
        <f t="shared" si="0"/>
        <v>32274960</v>
      </c>
      <c r="G35" s="8">
        <v>19.788</v>
      </c>
      <c r="H35" s="11">
        <v>0</v>
      </c>
      <c r="I35" s="16">
        <v>0</v>
      </c>
      <c r="J35" s="11">
        <v>0</v>
      </c>
      <c r="K35" s="8">
        <v>0</v>
      </c>
      <c r="L35" s="12">
        <v>0</v>
      </c>
      <c r="M35" s="11">
        <f t="shared" si="1"/>
        <v>5.2951266244791628E-2</v>
      </c>
      <c r="N35" s="13">
        <f t="shared" si="2"/>
        <v>19.84095126624479</v>
      </c>
      <c r="O35" s="11">
        <v>81.370999999999995</v>
      </c>
      <c r="P35" s="11">
        <v>2735824.01</v>
      </c>
      <c r="Q35" s="14">
        <v>1987604.79152</v>
      </c>
      <c r="R35" s="15">
        <v>1709</v>
      </c>
      <c r="S35" s="16"/>
      <c r="T35" s="16"/>
      <c r="V35" s="25"/>
      <c r="W35" s="25"/>
      <c r="X35" s="51">
        <v>27</v>
      </c>
      <c r="Y35" s="25">
        <v>7.2119999999999997</v>
      </c>
    </row>
    <row r="36" spans="1:25" ht="15" x14ac:dyDescent="0.2">
      <c r="A36" s="128" t="s">
        <v>63</v>
      </c>
      <c r="B36" s="128" t="s">
        <v>64</v>
      </c>
      <c r="C36" s="129" t="s">
        <v>314</v>
      </c>
      <c r="D36" s="10">
        <v>55469492</v>
      </c>
      <c r="E36" s="10">
        <v>0</v>
      </c>
      <c r="F36" s="10">
        <f t="shared" si="0"/>
        <v>55469492</v>
      </c>
      <c r="G36" s="8">
        <v>17.28</v>
      </c>
      <c r="H36" s="11">
        <v>0</v>
      </c>
      <c r="I36" s="16">
        <v>0</v>
      </c>
      <c r="J36" s="11">
        <v>0</v>
      </c>
      <c r="K36" s="8">
        <v>0</v>
      </c>
      <c r="L36" s="12">
        <v>0</v>
      </c>
      <c r="M36" s="11">
        <f t="shared" si="1"/>
        <v>4.0058055696634107E-2</v>
      </c>
      <c r="N36" s="13">
        <f t="shared" si="2"/>
        <v>17.320058055696634</v>
      </c>
      <c r="O36" s="11">
        <v>58.003999999999998</v>
      </c>
      <c r="P36" s="11">
        <v>3225379.94</v>
      </c>
      <c r="Q36" s="14">
        <v>2258948.1982399998</v>
      </c>
      <c r="R36" s="15">
        <f>2238-16</f>
        <v>2222</v>
      </c>
      <c r="S36" s="16"/>
      <c r="T36" s="16"/>
      <c r="V36" s="25"/>
      <c r="W36" s="25"/>
      <c r="X36" s="51">
        <v>27</v>
      </c>
      <c r="Y36" s="25">
        <v>9.7200000000000006</v>
      </c>
    </row>
    <row r="37" spans="1:25" ht="15" x14ac:dyDescent="0.2">
      <c r="A37" s="128" t="s">
        <v>65</v>
      </c>
      <c r="B37" s="128" t="s">
        <v>64</v>
      </c>
      <c r="C37" s="129" t="s">
        <v>315</v>
      </c>
      <c r="D37" s="10">
        <v>68240050</v>
      </c>
      <c r="E37" s="10">
        <v>0</v>
      </c>
      <c r="F37" s="10">
        <f t="shared" si="0"/>
        <v>68240050</v>
      </c>
      <c r="G37" s="8">
        <v>27</v>
      </c>
      <c r="H37" s="11">
        <v>0</v>
      </c>
      <c r="I37" s="16">
        <v>0</v>
      </c>
      <c r="J37" s="11">
        <v>0</v>
      </c>
      <c r="K37" s="8">
        <v>0</v>
      </c>
      <c r="L37" s="12">
        <v>4.8440000000000003</v>
      </c>
      <c r="M37" s="11">
        <f t="shared" si="1"/>
        <v>0.13204855506407162</v>
      </c>
      <c r="N37" s="13">
        <f t="shared" si="2"/>
        <v>31.976048555064072</v>
      </c>
      <c r="O37" s="11">
        <v>51.441000000000003</v>
      </c>
      <c r="P37" s="11">
        <v>3629188.04</v>
      </c>
      <c r="Q37" s="14">
        <v>1667877.94</v>
      </c>
      <c r="R37" s="15">
        <v>9011</v>
      </c>
      <c r="S37" s="16"/>
      <c r="T37" s="16"/>
      <c r="V37" s="25"/>
      <c r="W37" s="25"/>
      <c r="X37" s="51">
        <v>27</v>
      </c>
      <c r="Y37" s="25">
        <v>0</v>
      </c>
    </row>
    <row r="38" spans="1:25" ht="15" x14ac:dyDescent="0.2">
      <c r="A38" s="82" t="s">
        <v>66</v>
      </c>
      <c r="B38" s="82" t="s">
        <v>67</v>
      </c>
      <c r="C38" s="83" t="s">
        <v>67</v>
      </c>
      <c r="D38" s="10">
        <v>1126013</v>
      </c>
      <c r="E38" s="10">
        <v>0</v>
      </c>
      <c r="F38" s="10">
        <f t="shared" si="0"/>
        <v>1126013</v>
      </c>
      <c r="G38" s="8">
        <v>17.449000000000002</v>
      </c>
      <c r="H38" s="11">
        <v>0</v>
      </c>
      <c r="I38" s="16">
        <v>0</v>
      </c>
      <c r="J38" s="11">
        <v>0</v>
      </c>
      <c r="K38" s="8">
        <v>0</v>
      </c>
      <c r="L38" s="12">
        <v>0</v>
      </c>
      <c r="M38" s="11">
        <f t="shared" si="1"/>
        <v>0</v>
      </c>
      <c r="N38" s="13">
        <f t="shared" si="2"/>
        <v>17.449000000000002</v>
      </c>
      <c r="O38" s="11">
        <v>4167.3780000000006</v>
      </c>
      <c r="P38" s="11">
        <v>4766164.6399999997</v>
      </c>
      <c r="Q38" s="14">
        <v>4672874.2791630002</v>
      </c>
      <c r="R38" s="15">
        <v>0</v>
      </c>
      <c r="S38" s="16"/>
      <c r="T38" s="16"/>
      <c r="V38" s="25"/>
      <c r="W38" s="25"/>
      <c r="X38" s="51">
        <v>27</v>
      </c>
      <c r="Y38" s="25">
        <v>9.5510000000000002</v>
      </c>
    </row>
    <row r="39" spans="1:25" ht="15" x14ac:dyDescent="0.2">
      <c r="A39" s="6" t="s">
        <v>68</v>
      </c>
      <c r="B39" s="6" t="s">
        <v>69</v>
      </c>
      <c r="C39" s="6" t="s">
        <v>316</v>
      </c>
      <c r="D39" s="10">
        <f>120155528</f>
        <v>120155528</v>
      </c>
      <c r="E39" s="10">
        <v>0</v>
      </c>
      <c r="F39" s="10">
        <f t="shared" si="0"/>
        <v>120155528</v>
      </c>
      <c r="G39" s="8">
        <v>23.902999999999999</v>
      </c>
      <c r="H39" s="11">
        <v>0</v>
      </c>
      <c r="I39" s="16">
        <v>0</v>
      </c>
      <c r="J39" s="11">
        <v>0</v>
      </c>
      <c r="K39" s="8">
        <v>0</v>
      </c>
      <c r="L39" s="12">
        <v>0</v>
      </c>
      <c r="M39" s="11">
        <f t="shared" si="1"/>
        <v>4.7276226858243261E-3</v>
      </c>
      <c r="N39" s="13">
        <f t="shared" si="2"/>
        <v>23.907727622685822</v>
      </c>
      <c r="O39" s="11">
        <v>32.825000000000003</v>
      </c>
      <c r="P39" s="11">
        <v>4279636</v>
      </c>
      <c r="Q39" s="14">
        <v>1071979.3642160001</v>
      </c>
      <c r="R39" s="15">
        <f>749.9-181.85</f>
        <v>568.04999999999995</v>
      </c>
      <c r="S39" s="16"/>
      <c r="T39" s="16"/>
      <c r="V39" s="25"/>
      <c r="W39" s="25"/>
      <c r="X39" s="51">
        <v>27</v>
      </c>
      <c r="Y39" s="25">
        <v>3.0970000000000004</v>
      </c>
    </row>
    <row r="40" spans="1:25" ht="15" x14ac:dyDescent="0.2">
      <c r="A40" s="82" t="s">
        <v>70</v>
      </c>
      <c r="B40" s="128" t="s">
        <v>71</v>
      </c>
      <c r="C40" s="128" t="s">
        <v>71</v>
      </c>
      <c r="D40" s="10">
        <f>380533599</f>
        <v>380533599</v>
      </c>
      <c r="E40" s="10">
        <v>-432271</v>
      </c>
      <c r="F40" s="10">
        <f t="shared" si="0"/>
        <v>380101328</v>
      </c>
      <c r="G40" s="8">
        <v>23.655999999999999</v>
      </c>
      <c r="H40" s="11">
        <v>0</v>
      </c>
      <c r="I40" s="16">
        <v>0</v>
      </c>
      <c r="J40" s="11">
        <v>0</v>
      </c>
      <c r="K40" s="8">
        <v>0</v>
      </c>
      <c r="L40" s="12">
        <v>0</v>
      </c>
      <c r="M40" s="11">
        <f t="shared" si="1"/>
        <v>8.5758500691163073E-2</v>
      </c>
      <c r="N40" s="13">
        <f t="shared" si="2"/>
        <v>23.741758500691162</v>
      </c>
      <c r="O40" s="11">
        <v>109.864</v>
      </c>
      <c r="P40" s="11">
        <v>43027637.960000001</v>
      </c>
      <c r="Q40" s="14">
        <v>32767936.924831998</v>
      </c>
      <c r="R40" s="15">
        <f>33467.3-870.38</f>
        <v>32596.920000000002</v>
      </c>
      <c r="S40" s="16"/>
      <c r="T40" s="16"/>
      <c r="V40" s="25"/>
      <c r="W40" s="25"/>
      <c r="X40" s="51">
        <v>27</v>
      </c>
      <c r="Y40" s="25">
        <v>3.3440000000000003</v>
      </c>
    </row>
    <row r="41" spans="1:25" ht="15" x14ac:dyDescent="0.2">
      <c r="A41" s="6" t="s">
        <v>72</v>
      </c>
      <c r="B41" s="6" t="s">
        <v>73</v>
      </c>
      <c r="C41" s="7" t="s">
        <v>73</v>
      </c>
      <c r="D41" s="10">
        <v>21416425742.809998</v>
      </c>
      <c r="E41" s="10"/>
      <c r="F41" s="10">
        <f t="shared" si="0"/>
        <v>21416425742.809998</v>
      </c>
      <c r="G41" s="8">
        <v>26.541</v>
      </c>
      <c r="H41" s="11">
        <v>0</v>
      </c>
      <c r="I41" s="16">
        <v>0</v>
      </c>
      <c r="J41" s="11">
        <v>0</v>
      </c>
      <c r="K41" s="8">
        <v>0</v>
      </c>
      <c r="L41" s="12">
        <v>6.0679999999999996</v>
      </c>
      <c r="M41" s="11">
        <f t="shared" si="1"/>
        <v>0</v>
      </c>
      <c r="N41" s="13">
        <f t="shared" si="2"/>
        <v>32.609000000000002</v>
      </c>
      <c r="O41" s="11">
        <v>40.349000000000004</v>
      </c>
      <c r="P41" s="11">
        <v>891631934.38</v>
      </c>
      <c r="Q41" s="14">
        <v>295715656.44007975</v>
      </c>
      <c r="R41" s="15"/>
      <c r="S41" s="16"/>
      <c r="T41" s="16"/>
      <c r="V41" s="25"/>
      <c r="W41" s="25"/>
      <c r="X41" s="51">
        <v>27</v>
      </c>
      <c r="Y41" s="25">
        <v>0.45900000000000007</v>
      </c>
    </row>
    <row r="42" spans="1:25" ht="15" x14ac:dyDescent="0.2">
      <c r="A42" s="82" t="s">
        <v>74</v>
      </c>
      <c r="B42" s="82" t="s">
        <v>75</v>
      </c>
      <c r="C42" s="83" t="s">
        <v>75</v>
      </c>
      <c r="D42" s="10">
        <f>113594096+4366538</f>
        <v>117960634</v>
      </c>
      <c r="E42" s="10">
        <v>0</v>
      </c>
      <c r="F42" s="10">
        <f t="shared" si="0"/>
        <v>117960634</v>
      </c>
      <c r="G42" s="8">
        <v>16.558999999999997</v>
      </c>
      <c r="H42" s="11">
        <v>0</v>
      </c>
      <c r="I42" s="16">
        <v>0</v>
      </c>
      <c r="J42" s="11">
        <v>0</v>
      </c>
      <c r="K42" s="8">
        <v>0</v>
      </c>
      <c r="L42" s="12">
        <v>0</v>
      </c>
      <c r="M42" s="11">
        <f t="shared" si="1"/>
        <v>1.4911076181567489E-2</v>
      </c>
      <c r="N42" s="13">
        <f t="shared" si="2"/>
        <v>16.573911076181567</v>
      </c>
      <c r="O42" s="11">
        <v>29.180999999999997</v>
      </c>
      <c r="P42" s="11">
        <v>3546978.82</v>
      </c>
      <c r="Q42" s="14">
        <v>1488948.9515940002</v>
      </c>
      <c r="R42" s="15">
        <f>78.23+1680.69</f>
        <v>1758.92</v>
      </c>
      <c r="S42" s="16"/>
      <c r="T42" s="16"/>
      <c r="V42" s="25"/>
      <c r="W42" s="25"/>
      <c r="X42" s="51">
        <v>18.684999999999999</v>
      </c>
      <c r="Y42" s="25">
        <v>2.1259999999999999</v>
      </c>
    </row>
    <row r="43" spans="1:25" ht="15" x14ac:dyDescent="0.2">
      <c r="A43" s="6" t="s">
        <v>76</v>
      </c>
      <c r="B43" s="6" t="s">
        <v>77</v>
      </c>
      <c r="C43" s="7" t="s">
        <v>77</v>
      </c>
      <c r="D43" s="10">
        <f>8139902550+52332906</f>
        <v>8192235456</v>
      </c>
      <c r="E43" s="10">
        <v>-74210819</v>
      </c>
      <c r="F43" s="10">
        <f t="shared" si="0"/>
        <v>8118024637</v>
      </c>
      <c r="G43" s="8">
        <v>26.44</v>
      </c>
      <c r="H43" s="11">
        <v>0</v>
      </c>
      <c r="I43" s="16">
        <v>0</v>
      </c>
      <c r="J43" s="11">
        <v>0</v>
      </c>
      <c r="K43" s="8">
        <v>0</v>
      </c>
      <c r="L43" s="12">
        <v>9.08</v>
      </c>
      <c r="M43" s="11">
        <f t="shared" si="1"/>
        <v>0.19475965529765613</v>
      </c>
      <c r="N43" s="13">
        <f t="shared" si="2"/>
        <v>35.714759655297662</v>
      </c>
      <c r="O43" s="11">
        <v>72.778999999999996</v>
      </c>
      <c r="P43" s="11">
        <v>606277442.98000002</v>
      </c>
      <c r="Q43" s="14">
        <v>376178893.27772003</v>
      </c>
      <c r="R43" s="15">
        <f>1500346.96+80716.72</f>
        <v>1581063.68</v>
      </c>
      <c r="S43" s="16"/>
      <c r="T43" s="16"/>
      <c r="V43" s="25"/>
      <c r="W43" s="25"/>
      <c r="X43" s="51">
        <v>27</v>
      </c>
      <c r="Y43" s="25">
        <v>0.56000000000000005</v>
      </c>
    </row>
    <row r="44" spans="1:25" ht="15" x14ac:dyDescent="0.2">
      <c r="A44" s="6" t="s">
        <v>78</v>
      </c>
      <c r="B44" s="6" t="s">
        <v>79</v>
      </c>
      <c r="C44" s="7" t="s">
        <v>79</v>
      </c>
      <c r="D44" s="10">
        <f>4846160+3383349080+10856050</f>
        <v>3399051290</v>
      </c>
      <c r="E44" s="10">
        <v>-137906040</v>
      </c>
      <c r="F44" s="10">
        <f t="shared" si="0"/>
        <v>3261145250</v>
      </c>
      <c r="G44" s="8">
        <v>12.138</v>
      </c>
      <c r="H44" s="11">
        <v>0</v>
      </c>
      <c r="I44" s="16">
        <v>0</v>
      </c>
      <c r="J44" s="11">
        <v>0.64899999999999991</v>
      </c>
      <c r="K44" s="8">
        <v>0</v>
      </c>
      <c r="L44" s="12">
        <v>2.7729999999999997</v>
      </c>
      <c r="M44" s="11">
        <f t="shared" si="1"/>
        <v>0.22051141696310522</v>
      </c>
      <c r="N44" s="13">
        <f t="shared" si="2"/>
        <v>15.780511416963105</v>
      </c>
      <c r="O44" s="11">
        <v>20.686</v>
      </c>
      <c r="P44" s="11">
        <v>69440465.400000006</v>
      </c>
      <c r="Q44" s="14">
        <v>27875006.445500005</v>
      </c>
      <c r="R44" s="15">
        <f>3862.47+181.41+9872.04+9252.05+358791.89+196928.69+140225.4+4.12+0.08+1.61</f>
        <v>719119.76</v>
      </c>
      <c r="S44" s="16"/>
      <c r="T44" s="16"/>
      <c r="V44" s="25"/>
      <c r="W44" s="25"/>
      <c r="X44" s="51">
        <v>12.138</v>
      </c>
      <c r="Y44" s="25">
        <v>0</v>
      </c>
    </row>
    <row r="45" spans="1:25" ht="15" x14ac:dyDescent="0.2">
      <c r="A45" s="128" t="s">
        <v>80</v>
      </c>
      <c r="B45" s="128" t="s">
        <v>81</v>
      </c>
      <c r="C45" s="129" t="s">
        <v>317</v>
      </c>
      <c r="D45" s="10">
        <v>275062057</v>
      </c>
      <c r="E45" s="10">
        <v>0</v>
      </c>
      <c r="F45" s="10">
        <f t="shared" si="0"/>
        <v>275062057</v>
      </c>
      <c r="G45" s="8">
        <v>27</v>
      </c>
      <c r="H45" s="11">
        <v>0</v>
      </c>
      <c r="I45" s="16">
        <v>0</v>
      </c>
      <c r="J45" s="11">
        <v>0</v>
      </c>
      <c r="K45" s="8">
        <v>0</v>
      </c>
      <c r="L45" s="12">
        <v>0</v>
      </c>
      <c r="M45" s="11">
        <f t="shared" si="1"/>
        <v>1.6217867519255844E-2</v>
      </c>
      <c r="N45" s="13">
        <f t="shared" si="2"/>
        <v>27.016217867519256</v>
      </c>
      <c r="O45" s="11">
        <v>73.036000000000001</v>
      </c>
      <c r="P45" s="11">
        <v>21223777.719999999</v>
      </c>
      <c r="Q45" s="14">
        <v>12662673.730999999</v>
      </c>
      <c r="R45" s="15">
        <f>3629.41+831.51</f>
        <v>4460.92</v>
      </c>
      <c r="S45" s="16"/>
      <c r="T45" s="16"/>
      <c r="V45" s="25"/>
      <c r="W45" s="25"/>
      <c r="X45" s="51">
        <v>27</v>
      </c>
      <c r="Y45" s="25">
        <v>0</v>
      </c>
    </row>
    <row r="46" spans="1:25" ht="15" x14ac:dyDescent="0.2">
      <c r="A46" s="128" t="s">
        <v>82</v>
      </c>
      <c r="B46" s="128" t="s">
        <v>81</v>
      </c>
      <c r="C46" s="129" t="s">
        <v>83</v>
      </c>
      <c r="D46" s="10">
        <v>52901372</v>
      </c>
      <c r="E46" s="10">
        <v>0</v>
      </c>
      <c r="F46" s="10">
        <f t="shared" si="0"/>
        <v>52901372</v>
      </c>
      <c r="G46" s="8">
        <v>20.187999999999999</v>
      </c>
      <c r="H46" s="11">
        <v>0</v>
      </c>
      <c r="I46" s="16">
        <v>0</v>
      </c>
      <c r="J46" s="11">
        <v>0</v>
      </c>
      <c r="K46" s="8">
        <v>0</v>
      </c>
      <c r="L46" s="12">
        <v>0</v>
      </c>
      <c r="M46" s="11">
        <f t="shared" si="1"/>
        <v>0</v>
      </c>
      <c r="N46" s="13">
        <f t="shared" si="2"/>
        <v>20.187999999999999</v>
      </c>
      <c r="O46" s="11">
        <v>67.66</v>
      </c>
      <c r="P46" s="11">
        <v>3715817.05</v>
      </c>
      <c r="Q46" s="14">
        <v>2511329.9020640003</v>
      </c>
      <c r="R46" s="15">
        <v>0</v>
      </c>
      <c r="S46" s="16"/>
      <c r="T46" s="16"/>
      <c r="V46" s="25"/>
      <c r="W46" s="25"/>
      <c r="X46" s="51">
        <v>27</v>
      </c>
      <c r="Y46" s="25">
        <v>6.8120000000000003</v>
      </c>
    </row>
    <row r="47" spans="1:25" ht="15" x14ac:dyDescent="0.2">
      <c r="A47" s="6" t="s">
        <v>84</v>
      </c>
      <c r="B47" s="6" t="s">
        <v>81</v>
      </c>
      <c r="C47" s="7" t="s">
        <v>318</v>
      </c>
      <c r="D47" s="10">
        <f>37077421+5203420</f>
        <v>42280841</v>
      </c>
      <c r="E47" s="10">
        <v>0</v>
      </c>
      <c r="F47" s="10">
        <f t="shared" si="0"/>
        <v>42280841</v>
      </c>
      <c r="G47" s="8">
        <v>26.359000000000002</v>
      </c>
      <c r="H47" s="11">
        <v>0</v>
      </c>
      <c r="I47" s="16">
        <v>0</v>
      </c>
      <c r="J47" s="11">
        <v>0</v>
      </c>
      <c r="K47" s="8">
        <v>0</v>
      </c>
      <c r="L47" s="12">
        <v>0</v>
      </c>
      <c r="M47" s="11">
        <f t="shared" si="1"/>
        <v>1.4047024277497223E-2</v>
      </c>
      <c r="N47" s="13">
        <f t="shared" si="2"/>
        <v>26.373047024277501</v>
      </c>
      <c r="O47" s="11">
        <v>96.197000000000003</v>
      </c>
      <c r="P47" s="11">
        <v>4144746.34</v>
      </c>
      <c r="Q47" s="14">
        <v>2952818.5320809996</v>
      </c>
      <c r="R47" s="15">
        <f>593.92</f>
        <v>593.91999999999996</v>
      </c>
      <c r="S47" s="16"/>
      <c r="T47" s="16"/>
      <c r="V47" s="25"/>
      <c r="W47" s="25"/>
      <c r="X47" s="51">
        <v>27</v>
      </c>
      <c r="Y47" s="25">
        <v>0.64100000000000001</v>
      </c>
    </row>
    <row r="48" spans="1:25" ht="15" x14ac:dyDescent="0.2">
      <c r="A48" s="6" t="s">
        <v>85</v>
      </c>
      <c r="B48" s="6" t="s">
        <v>81</v>
      </c>
      <c r="C48" s="7" t="s">
        <v>81</v>
      </c>
      <c r="D48" s="10">
        <v>27905711</v>
      </c>
      <c r="E48" s="10">
        <v>0</v>
      </c>
      <c r="F48" s="10">
        <f t="shared" si="0"/>
        <v>27905711</v>
      </c>
      <c r="G48" s="8">
        <v>21.596</v>
      </c>
      <c r="H48" s="11">
        <v>0</v>
      </c>
      <c r="I48" s="16">
        <v>0</v>
      </c>
      <c r="J48" s="11">
        <v>0</v>
      </c>
      <c r="K48" s="8">
        <v>0</v>
      </c>
      <c r="L48" s="12">
        <v>0</v>
      </c>
      <c r="M48" s="11">
        <f t="shared" si="1"/>
        <v>4.173339285281066E-3</v>
      </c>
      <c r="N48" s="13">
        <f t="shared" si="2"/>
        <v>21.600173339285281</v>
      </c>
      <c r="O48" s="11">
        <v>127.044</v>
      </c>
      <c r="P48" s="11">
        <v>3627016.11</v>
      </c>
      <c r="Q48" s="14">
        <v>2942597.5452439999</v>
      </c>
      <c r="R48" s="15">
        <f>116.46</f>
        <v>116.46</v>
      </c>
      <c r="S48" s="16"/>
      <c r="T48" s="16"/>
      <c r="V48" s="25"/>
      <c r="W48" s="25"/>
      <c r="X48" s="51">
        <v>24.431000000000001</v>
      </c>
      <c r="Y48" s="25">
        <v>2.835</v>
      </c>
    </row>
    <row r="49" spans="1:25" ht="15" x14ac:dyDescent="0.2">
      <c r="A49" s="128" t="s">
        <v>86</v>
      </c>
      <c r="B49" s="128" t="s">
        <v>81</v>
      </c>
      <c r="C49" s="129" t="s">
        <v>319</v>
      </c>
      <c r="D49" s="10">
        <v>24644409</v>
      </c>
      <c r="E49" s="10">
        <v>0</v>
      </c>
      <c r="F49" s="10">
        <f t="shared" si="0"/>
        <v>24644409</v>
      </c>
      <c r="G49" s="8">
        <v>17.797999999999998</v>
      </c>
      <c r="H49" s="11">
        <v>0</v>
      </c>
      <c r="I49" s="16">
        <v>0</v>
      </c>
      <c r="J49" s="11">
        <v>0</v>
      </c>
      <c r="K49" s="8">
        <v>0</v>
      </c>
      <c r="L49" s="12">
        <v>0</v>
      </c>
      <c r="M49" s="11">
        <f t="shared" si="1"/>
        <v>3.4450004461458177E-2</v>
      </c>
      <c r="N49" s="13">
        <f t="shared" si="2"/>
        <v>17.832450004461457</v>
      </c>
      <c r="O49" s="11">
        <v>59.558</v>
      </c>
      <c r="P49" s="11">
        <v>1519218.1</v>
      </c>
      <c r="Q49" s="14">
        <v>1029145.5186180001</v>
      </c>
      <c r="R49" s="15">
        <v>849</v>
      </c>
      <c r="S49" s="16"/>
      <c r="T49" s="16"/>
      <c r="V49" s="25"/>
      <c r="W49" s="25"/>
      <c r="X49" s="51">
        <v>27</v>
      </c>
      <c r="Y49" s="25">
        <v>9.202</v>
      </c>
    </row>
    <row r="50" spans="1:25" ht="15" x14ac:dyDescent="0.2">
      <c r="A50" s="82" t="s">
        <v>87</v>
      </c>
      <c r="B50" s="128" t="s">
        <v>88</v>
      </c>
      <c r="C50" s="129" t="s">
        <v>320</v>
      </c>
      <c r="D50" s="10">
        <f>4537840+47622320</f>
        <v>52160160</v>
      </c>
      <c r="E50" s="10">
        <v>0</v>
      </c>
      <c r="F50" s="10">
        <f t="shared" si="0"/>
        <v>52160160</v>
      </c>
      <c r="G50" s="8">
        <v>27</v>
      </c>
      <c r="H50" s="11">
        <v>0</v>
      </c>
      <c r="I50" s="16">
        <v>0</v>
      </c>
      <c r="J50" s="11">
        <v>0</v>
      </c>
      <c r="K50" s="8">
        <v>0</v>
      </c>
      <c r="L50" s="12">
        <v>0</v>
      </c>
      <c r="M50" s="11">
        <f t="shared" si="1"/>
        <v>0.342043429314634</v>
      </c>
      <c r="N50" s="13">
        <f t="shared" si="2"/>
        <v>27.342043429314636</v>
      </c>
      <c r="O50" s="11">
        <v>93.573000000000008</v>
      </c>
      <c r="P50" s="11">
        <v>5015868.97</v>
      </c>
      <c r="Q50" s="14">
        <v>3472453.4899999993</v>
      </c>
      <c r="R50" s="15">
        <f>17863.05-22.01</f>
        <v>17841.04</v>
      </c>
      <c r="S50" s="16"/>
      <c r="T50" s="16"/>
      <c r="V50" s="25"/>
      <c r="W50" s="25"/>
      <c r="X50" s="51">
        <v>27</v>
      </c>
      <c r="Y50" s="25">
        <v>0</v>
      </c>
    </row>
    <row r="51" spans="1:25" ht="15" x14ac:dyDescent="0.2">
      <c r="A51" s="6" t="s">
        <v>89</v>
      </c>
      <c r="B51" s="6" t="s">
        <v>88</v>
      </c>
      <c r="C51" s="7" t="s">
        <v>321</v>
      </c>
      <c r="D51" s="10">
        <v>829754160</v>
      </c>
      <c r="E51" s="10">
        <v>-10434930</v>
      </c>
      <c r="F51" s="10">
        <f t="shared" si="0"/>
        <v>819319230</v>
      </c>
      <c r="G51" s="8">
        <v>15.72</v>
      </c>
      <c r="H51" s="11">
        <v>0</v>
      </c>
      <c r="I51" s="16">
        <v>0</v>
      </c>
      <c r="J51" s="11">
        <v>0</v>
      </c>
      <c r="K51" s="8">
        <v>0</v>
      </c>
      <c r="L51" s="12">
        <v>7.0179999999999998</v>
      </c>
      <c r="M51" s="11">
        <f t="shared" si="1"/>
        <v>0.52749106108494492</v>
      </c>
      <c r="N51" s="13">
        <f t="shared" si="2"/>
        <v>23.265491061084944</v>
      </c>
      <c r="O51" s="11">
        <v>151.54500000000002</v>
      </c>
      <c r="P51" s="11">
        <v>125105692.54000001</v>
      </c>
      <c r="Q51" s="14">
        <v>111283644.18440001</v>
      </c>
      <c r="R51" s="15">
        <v>432183.57</v>
      </c>
      <c r="S51" s="16"/>
      <c r="T51" s="16"/>
      <c r="V51" s="25"/>
      <c r="W51" s="25"/>
      <c r="X51" s="51">
        <v>15.72</v>
      </c>
      <c r="Y51" s="25">
        <v>0</v>
      </c>
    </row>
    <row r="52" spans="1:25" ht="15" x14ac:dyDescent="0.2">
      <c r="A52" s="128" t="s">
        <v>90</v>
      </c>
      <c r="B52" s="128" t="s">
        <v>88</v>
      </c>
      <c r="C52" s="129" t="s">
        <v>322</v>
      </c>
      <c r="D52" s="10">
        <v>628534590</v>
      </c>
      <c r="E52" s="10">
        <v>-997020</v>
      </c>
      <c r="F52" s="10">
        <f t="shared" si="0"/>
        <v>627537570</v>
      </c>
      <c r="G52" s="8">
        <v>22.893999999999998</v>
      </c>
      <c r="H52" s="11">
        <v>0</v>
      </c>
      <c r="I52" s="16">
        <v>0</v>
      </c>
      <c r="J52" s="11">
        <v>0</v>
      </c>
      <c r="K52" s="8">
        <v>0</v>
      </c>
      <c r="L52" s="12">
        <v>6.2940000000000005</v>
      </c>
      <c r="M52" s="11">
        <f t="shared" si="1"/>
        <v>2.3866156730663949E-2</v>
      </c>
      <c r="N52" s="13">
        <f t="shared" si="2"/>
        <v>29.211866156730665</v>
      </c>
      <c r="O52" s="11">
        <v>131.44300000000001</v>
      </c>
      <c r="P52" s="11">
        <v>83379527.299999997</v>
      </c>
      <c r="Q52" s="14">
        <v>68118734.712420002</v>
      </c>
      <c r="R52" s="15">
        <f>17441.19-2464.28</f>
        <v>14976.909999999998</v>
      </c>
      <c r="S52" s="16"/>
      <c r="T52" s="16"/>
      <c r="V52" s="25"/>
      <c r="W52" s="25"/>
      <c r="X52" s="51">
        <v>27</v>
      </c>
      <c r="Y52" s="25">
        <v>4.1059999999999999</v>
      </c>
    </row>
    <row r="53" spans="1:25" ht="15" x14ac:dyDescent="0.2">
      <c r="A53" s="6" t="s">
        <v>91</v>
      </c>
      <c r="B53" s="6" t="s">
        <v>88</v>
      </c>
      <c r="C53" s="7" t="s">
        <v>323</v>
      </c>
      <c r="D53" s="10">
        <v>206985150</v>
      </c>
      <c r="E53" s="10">
        <v>-3368960</v>
      </c>
      <c r="F53" s="10">
        <f t="shared" si="0"/>
        <v>203616190</v>
      </c>
      <c r="G53" s="8">
        <v>20.684000000000001</v>
      </c>
      <c r="H53" s="11">
        <v>0</v>
      </c>
      <c r="I53" s="16">
        <v>0</v>
      </c>
      <c r="J53" s="11">
        <v>0</v>
      </c>
      <c r="K53" s="8">
        <v>0</v>
      </c>
      <c r="L53" s="12">
        <v>5</v>
      </c>
      <c r="M53" s="11">
        <f t="shared" si="1"/>
        <v>2.0211162972846121E-2</v>
      </c>
      <c r="N53" s="13">
        <f t="shared" si="2"/>
        <v>25.704211162972847</v>
      </c>
      <c r="O53" s="11">
        <v>365.37599999999998</v>
      </c>
      <c r="P53" s="11">
        <v>74758500.439999998</v>
      </c>
      <c r="Q53" s="14">
        <v>70184937.546039999</v>
      </c>
      <c r="R53" s="15">
        <f>4282.39-167.07</f>
        <v>4115.3200000000006</v>
      </c>
      <c r="S53" s="16"/>
      <c r="T53" s="16"/>
      <c r="V53" s="25"/>
      <c r="W53" s="25"/>
      <c r="X53" s="51">
        <v>27</v>
      </c>
      <c r="Y53" s="25">
        <v>6.3159999999999998</v>
      </c>
    </row>
    <row r="54" spans="1:25" ht="15" x14ac:dyDescent="0.2">
      <c r="A54" s="6" t="s">
        <v>92</v>
      </c>
      <c r="B54" s="6" t="s">
        <v>88</v>
      </c>
      <c r="C54" s="7" t="s">
        <v>324</v>
      </c>
      <c r="D54" s="10">
        <v>3588099690</v>
      </c>
      <c r="E54" s="10">
        <v>-76707620</v>
      </c>
      <c r="F54" s="10">
        <f t="shared" si="0"/>
        <v>3511392070</v>
      </c>
      <c r="G54" s="8">
        <v>20.715</v>
      </c>
      <c r="H54" s="11">
        <v>0</v>
      </c>
      <c r="I54" s="16">
        <v>0</v>
      </c>
      <c r="J54" s="11">
        <v>0</v>
      </c>
      <c r="K54" s="8">
        <v>0</v>
      </c>
      <c r="L54" s="12">
        <v>20.310000000000002</v>
      </c>
      <c r="M54" s="11">
        <f t="shared" si="1"/>
        <v>0.22114948844205828</v>
      </c>
      <c r="N54" s="13">
        <f t="shared" si="2"/>
        <v>41.246149488442065</v>
      </c>
      <c r="O54" s="11">
        <v>76.632000000000005</v>
      </c>
      <c r="P54" s="11">
        <v>275962166.36000001</v>
      </c>
      <c r="Q54" s="14">
        <v>196347616.71995002</v>
      </c>
      <c r="R54" s="15">
        <f>786999.77-10457.21</f>
        <v>776542.56</v>
      </c>
      <c r="S54" s="16"/>
      <c r="T54" s="16"/>
      <c r="V54" s="25"/>
      <c r="W54" s="25"/>
      <c r="X54" s="51">
        <v>20.715</v>
      </c>
      <c r="Y54" s="25">
        <v>0</v>
      </c>
    </row>
    <row r="55" spans="1:25" ht="15" x14ac:dyDescent="0.2">
      <c r="A55" s="128" t="s">
        <v>93</v>
      </c>
      <c r="B55" s="128" t="s">
        <v>88</v>
      </c>
      <c r="C55" s="129" t="s">
        <v>325</v>
      </c>
      <c r="D55" s="10">
        <v>474402940</v>
      </c>
      <c r="E55" s="10">
        <v>0</v>
      </c>
      <c r="F55" s="10">
        <f t="shared" si="0"/>
        <v>474402940</v>
      </c>
      <c r="G55" s="8">
        <v>27</v>
      </c>
      <c r="H55" s="11">
        <v>0</v>
      </c>
      <c r="I55" s="16">
        <v>0</v>
      </c>
      <c r="J55" s="11">
        <v>0</v>
      </c>
      <c r="K55" s="8">
        <v>0</v>
      </c>
      <c r="L55" s="12">
        <v>10.871</v>
      </c>
      <c r="M55" s="11">
        <f t="shared" si="1"/>
        <v>0.25909965903668303</v>
      </c>
      <c r="N55" s="13">
        <f t="shared" si="2"/>
        <v>38.130099659036688</v>
      </c>
      <c r="O55" s="11">
        <v>89.412000000000006</v>
      </c>
      <c r="P55" s="11">
        <v>43681680.93</v>
      </c>
      <c r="Q55" s="14">
        <v>29608285.810000002</v>
      </c>
      <c r="R55" s="15">
        <f>123471.47-553.83</f>
        <v>122917.64</v>
      </c>
      <c r="S55" s="16"/>
      <c r="T55" s="16"/>
      <c r="V55" s="25"/>
      <c r="W55" s="25"/>
      <c r="X55" s="51">
        <v>27</v>
      </c>
      <c r="Y55" s="25">
        <v>0</v>
      </c>
    </row>
    <row r="56" spans="1:25" ht="15" x14ac:dyDescent="0.2">
      <c r="A56" s="6" t="s">
        <v>94</v>
      </c>
      <c r="B56" s="6" t="s">
        <v>88</v>
      </c>
      <c r="C56" s="7" t="s">
        <v>326</v>
      </c>
      <c r="D56" s="10">
        <v>152461980</v>
      </c>
      <c r="E56" s="10">
        <v>-1511160</v>
      </c>
      <c r="F56" s="10">
        <f t="shared" si="0"/>
        <v>150950820</v>
      </c>
      <c r="G56" s="8">
        <v>23.815999999999999</v>
      </c>
      <c r="H56" s="11">
        <v>0</v>
      </c>
      <c r="I56" s="16">
        <v>0</v>
      </c>
      <c r="J56" s="11">
        <v>0</v>
      </c>
      <c r="K56" s="8">
        <v>0</v>
      </c>
      <c r="L56" s="12">
        <v>22.035</v>
      </c>
      <c r="M56" s="11">
        <f t="shared" si="1"/>
        <v>0.51312778559268502</v>
      </c>
      <c r="N56" s="13">
        <f t="shared" si="2"/>
        <v>46.364127785592686</v>
      </c>
      <c r="O56" s="11">
        <v>85.888999999999996</v>
      </c>
      <c r="P56" s="11">
        <v>13270028.779999999</v>
      </c>
      <c r="Q56" s="14">
        <v>9370000.1408799998</v>
      </c>
      <c r="R56" s="15">
        <f>78517.38-1060.32</f>
        <v>77457.06</v>
      </c>
      <c r="S56" s="16"/>
      <c r="T56" s="16"/>
      <c r="V56" s="25"/>
      <c r="W56" s="25"/>
      <c r="X56" s="51">
        <v>27</v>
      </c>
      <c r="Y56" s="25">
        <v>3.1840000000000002</v>
      </c>
    </row>
    <row r="57" spans="1:25" ht="15" x14ac:dyDescent="0.2">
      <c r="A57" s="6" t="s">
        <v>95</v>
      </c>
      <c r="B57" s="6" t="s">
        <v>88</v>
      </c>
      <c r="C57" s="7" t="s">
        <v>327</v>
      </c>
      <c r="D57" s="10">
        <v>2218631960</v>
      </c>
      <c r="E57" s="10">
        <v>-29168700</v>
      </c>
      <c r="F57" s="10">
        <f t="shared" si="0"/>
        <v>2189463260</v>
      </c>
      <c r="G57" s="8">
        <v>27</v>
      </c>
      <c r="H57" s="11">
        <v>0</v>
      </c>
      <c r="I57" s="16">
        <v>0</v>
      </c>
      <c r="J57" s="11">
        <v>0</v>
      </c>
      <c r="K57" s="8">
        <v>0</v>
      </c>
      <c r="L57" s="12">
        <v>12.218</v>
      </c>
      <c r="M57" s="11">
        <f t="shared" si="1"/>
        <v>0.36650872141147506</v>
      </c>
      <c r="N57" s="13">
        <f t="shared" si="2"/>
        <v>39.584508721411481</v>
      </c>
      <c r="O57" s="11">
        <v>102.95100000000001</v>
      </c>
      <c r="P57" s="11">
        <v>230668598.03999999</v>
      </c>
      <c r="Q57" s="14">
        <v>166292358.56999999</v>
      </c>
      <c r="R57" s="15">
        <f>917962.63-115505.25</f>
        <v>802457.38</v>
      </c>
      <c r="S57" s="16"/>
      <c r="T57" s="16"/>
      <c r="V57" s="25"/>
      <c r="W57" s="25"/>
      <c r="X57" s="51">
        <v>27</v>
      </c>
      <c r="Y57" s="25">
        <v>0</v>
      </c>
    </row>
    <row r="58" spans="1:25" ht="15" x14ac:dyDescent="0.2">
      <c r="A58" s="128" t="s">
        <v>96</v>
      </c>
      <c r="B58" s="128" t="s">
        <v>88</v>
      </c>
      <c r="C58" s="129" t="s">
        <v>328</v>
      </c>
      <c r="D58" s="10">
        <v>45772820</v>
      </c>
      <c r="E58" s="10">
        <v>0</v>
      </c>
      <c r="F58" s="10">
        <f t="shared" si="0"/>
        <v>45772820</v>
      </c>
      <c r="G58" s="8">
        <v>27</v>
      </c>
      <c r="H58" s="11">
        <v>0</v>
      </c>
      <c r="I58" s="16">
        <v>0</v>
      </c>
      <c r="J58" s="11">
        <v>0</v>
      </c>
      <c r="K58" s="8">
        <v>0</v>
      </c>
      <c r="L58" s="12">
        <v>0</v>
      </c>
      <c r="M58" s="11">
        <f t="shared" si="1"/>
        <v>3.3779653514902516E-2</v>
      </c>
      <c r="N58" s="13">
        <f t="shared" si="2"/>
        <v>27.033779653514902</v>
      </c>
      <c r="O58" s="11">
        <v>220.76000000000002</v>
      </c>
      <c r="P58" s="11">
        <v>10218201.6</v>
      </c>
      <c r="Q58" s="14">
        <v>8868921.4899999984</v>
      </c>
      <c r="R58" s="15">
        <f>1570.26-24.07</f>
        <v>1546.19</v>
      </c>
      <c r="S58" s="16"/>
      <c r="T58" s="16"/>
      <c r="V58" s="25"/>
      <c r="W58" s="25"/>
      <c r="X58" s="51">
        <v>27</v>
      </c>
      <c r="Y58" s="25">
        <v>0</v>
      </c>
    </row>
    <row r="59" spans="1:25" ht="15" x14ac:dyDescent="0.2">
      <c r="A59" s="82" t="s">
        <v>97</v>
      </c>
      <c r="B59" s="128" t="s">
        <v>88</v>
      </c>
      <c r="C59" s="129" t="s">
        <v>329</v>
      </c>
      <c r="D59" s="10">
        <f>1692670+58786710</f>
        <v>60479380</v>
      </c>
      <c r="E59" s="10">
        <v>0</v>
      </c>
      <c r="F59" s="10">
        <f t="shared" si="0"/>
        <v>60479380</v>
      </c>
      <c r="G59" s="8">
        <v>22.419</v>
      </c>
      <c r="H59" s="11">
        <v>0</v>
      </c>
      <c r="I59" s="16">
        <v>0</v>
      </c>
      <c r="J59" s="11">
        <v>0</v>
      </c>
      <c r="K59" s="8">
        <v>0</v>
      </c>
      <c r="L59" s="12">
        <v>0</v>
      </c>
      <c r="M59" s="11">
        <f t="shared" si="1"/>
        <v>5.2925311072964047E-2</v>
      </c>
      <c r="N59" s="13">
        <f t="shared" si="2"/>
        <v>22.471925311072965</v>
      </c>
      <c r="O59" s="11">
        <v>100.37899999999999</v>
      </c>
      <c r="P59" s="11">
        <v>6183216.1500000004</v>
      </c>
      <c r="Q59" s="14">
        <v>4714991.9797800006</v>
      </c>
      <c r="R59" s="15">
        <f>3231.05-30.16</f>
        <v>3200.8900000000003</v>
      </c>
      <c r="S59" s="16"/>
      <c r="T59" s="16"/>
      <c r="V59" s="25"/>
      <c r="W59" s="25"/>
      <c r="X59" s="51">
        <v>27</v>
      </c>
      <c r="Y59" s="25">
        <v>0</v>
      </c>
    </row>
    <row r="60" spans="1:25" ht="15" x14ac:dyDescent="0.2">
      <c r="A60" s="6" t="s">
        <v>98</v>
      </c>
      <c r="B60" s="6" t="s">
        <v>88</v>
      </c>
      <c r="C60" s="7" t="s">
        <v>330</v>
      </c>
      <c r="D60" s="10">
        <v>44726410</v>
      </c>
      <c r="E60" s="10">
        <v>0</v>
      </c>
      <c r="F60" s="10">
        <f t="shared" si="0"/>
        <v>44726410</v>
      </c>
      <c r="G60" s="8">
        <v>9.4329999999999998</v>
      </c>
      <c r="H60" s="11">
        <v>0</v>
      </c>
      <c r="I60" s="16">
        <v>0</v>
      </c>
      <c r="J60" s="11">
        <v>0</v>
      </c>
      <c r="K60" s="8">
        <v>0</v>
      </c>
      <c r="L60" s="12">
        <v>0</v>
      </c>
      <c r="M60" s="11">
        <f t="shared" si="1"/>
        <v>0.20994106166803908</v>
      </c>
      <c r="N60" s="13">
        <f t="shared" si="2"/>
        <v>9.6429410616680382</v>
      </c>
      <c r="O60" s="11">
        <v>83.965999999999994</v>
      </c>
      <c r="P60" s="11">
        <v>3770525.49</v>
      </c>
      <c r="Q60" s="14">
        <v>3333578.1244700002</v>
      </c>
      <c r="R60" s="15">
        <f>9411.24-21.33</f>
        <v>9389.91</v>
      </c>
      <c r="S60" s="16"/>
      <c r="T60" s="16"/>
      <c r="V60" s="25"/>
      <c r="W60" s="25"/>
      <c r="X60" s="51">
        <v>26.128</v>
      </c>
      <c r="Y60" s="25">
        <v>16.695</v>
      </c>
    </row>
    <row r="61" spans="1:25" ht="15" x14ac:dyDescent="0.2">
      <c r="A61" s="128" t="s">
        <v>99</v>
      </c>
      <c r="B61" s="128" t="s">
        <v>88</v>
      </c>
      <c r="C61" s="129" t="s">
        <v>331</v>
      </c>
      <c r="D61" s="10">
        <v>696486340</v>
      </c>
      <c r="E61" s="10">
        <v>0</v>
      </c>
      <c r="F61" s="10">
        <f t="shared" si="0"/>
        <v>696486340</v>
      </c>
      <c r="G61" s="8">
        <v>24.164000000000001</v>
      </c>
      <c r="H61" s="11">
        <v>0</v>
      </c>
      <c r="I61" s="16">
        <v>0</v>
      </c>
      <c r="J61" s="11">
        <v>0</v>
      </c>
      <c r="K61" s="8">
        <v>0</v>
      </c>
      <c r="L61" s="12">
        <v>5.7429999999999994</v>
      </c>
      <c r="M61" s="11">
        <f t="shared" si="1"/>
        <v>0</v>
      </c>
      <c r="N61" s="13">
        <f t="shared" si="2"/>
        <v>29.907</v>
      </c>
      <c r="O61" s="11">
        <v>81.408000000000001</v>
      </c>
      <c r="P61" s="11">
        <v>58133841.359999999</v>
      </c>
      <c r="Q61" s="14">
        <v>39869964.400239997</v>
      </c>
      <c r="R61" s="15"/>
      <c r="S61" s="16"/>
      <c r="T61" s="16"/>
      <c r="V61" s="25"/>
      <c r="W61" s="25"/>
      <c r="X61" s="51">
        <v>27</v>
      </c>
      <c r="Y61" s="25">
        <v>2.8359999999999999</v>
      </c>
    </row>
    <row r="62" spans="1:25" ht="15" x14ac:dyDescent="0.2">
      <c r="A62" s="128" t="s">
        <v>100</v>
      </c>
      <c r="B62" s="128" t="s">
        <v>88</v>
      </c>
      <c r="C62" s="129" t="s">
        <v>462</v>
      </c>
      <c r="D62" s="10">
        <v>1288562280</v>
      </c>
      <c r="E62" s="10"/>
      <c r="F62" s="10">
        <f t="shared" si="0"/>
        <v>1288562280</v>
      </c>
      <c r="G62" s="8">
        <v>25.459</v>
      </c>
      <c r="H62" s="11">
        <v>0</v>
      </c>
      <c r="I62" s="16">
        <v>0</v>
      </c>
      <c r="J62" s="11">
        <v>0</v>
      </c>
      <c r="K62" s="8">
        <v>0</v>
      </c>
      <c r="L62" s="12">
        <v>5.8199999999999994</v>
      </c>
      <c r="M62" s="11">
        <f t="shared" si="1"/>
        <v>0.18378833035528561</v>
      </c>
      <c r="N62" s="13">
        <f t="shared" si="2"/>
        <v>31.462788330355284</v>
      </c>
      <c r="O62" s="11">
        <v>197.989</v>
      </c>
      <c r="P62" s="11">
        <v>257055488.74000001</v>
      </c>
      <c r="Q62" s="14">
        <v>222315860.93348002</v>
      </c>
      <c r="R62" s="15">
        <f>44227.57-846.28+195962.79-2521.37</f>
        <v>236822.71000000002</v>
      </c>
      <c r="S62" s="16"/>
      <c r="T62" s="16"/>
      <c r="V62" s="25"/>
      <c r="W62" s="25"/>
      <c r="X62" s="51">
        <v>27</v>
      </c>
      <c r="Y62" s="25">
        <v>1.5409999999999999</v>
      </c>
    </row>
    <row r="63" spans="1:25" ht="15" x14ac:dyDescent="0.2">
      <c r="A63" s="128" t="s">
        <v>101</v>
      </c>
      <c r="B63" s="128" t="s">
        <v>88</v>
      </c>
      <c r="C63" s="129" t="s">
        <v>333</v>
      </c>
      <c r="D63" s="10">
        <f>3660035+339948+3164590</f>
        <v>7164573</v>
      </c>
      <c r="E63" s="10">
        <v>0</v>
      </c>
      <c r="F63" s="10">
        <f t="shared" si="0"/>
        <v>7164573</v>
      </c>
      <c r="G63" s="8">
        <v>27</v>
      </c>
      <c r="H63" s="11">
        <v>0</v>
      </c>
      <c r="I63" s="16">
        <v>0</v>
      </c>
      <c r="J63" s="11">
        <v>0</v>
      </c>
      <c r="K63" s="8">
        <v>0</v>
      </c>
      <c r="L63" s="12">
        <v>0</v>
      </c>
      <c r="M63" s="11">
        <f t="shared" si="1"/>
        <v>0</v>
      </c>
      <c r="N63" s="13">
        <f t="shared" si="2"/>
        <v>27</v>
      </c>
      <c r="O63" s="11">
        <v>394.35399999999998</v>
      </c>
      <c r="P63" s="11">
        <v>2838162.86</v>
      </c>
      <c r="Q63" s="14">
        <v>2631938.0290000001</v>
      </c>
      <c r="R63" s="15">
        <v>0</v>
      </c>
      <c r="S63" s="16"/>
      <c r="T63" s="16"/>
      <c r="V63" s="25"/>
      <c r="W63" s="25"/>
      <c r="X63" s="51">
        <v>27</v>
      </c>
      <c r="Y63" s="25">
        <v>0</v>
      </c>
    </row>
    <row r="64" spans="1:25" ht="15" x14ac:dyDescent="0.2">
      <c r="A64" s="82" t="s">
        <v>102</v>
      </c>
      <c r="B64" s="128" t="s">
        <v>88</v>
      </c>
      <c r="C64" s="129" t="s">
        <v>334</v>
      </c>
      <c r="D64" s="10">
        <f>23067900+1101000+23133340</f>
        <v>47302240</v>
      </c>
      <c r="E64" s="10">
        <v>0</v>
      </c>
      <c r="F64" s="10">
        <f t="shared" si="0"/>
        <v>47302240</v>
      </c>
      <c r="G64" s="8">
        <v>21.834</v>
      </c>
      <c r="H64" s="11">
        <v>0</v>
      </c>
      <c r="I64" s="16">
        <v>0</v>
      </c>
      <c r="J64" s="11">
        <v>0.85799999999999998</v>
      </c>
      <c r="K64" s="8">
        <v>0</v>
      </c>
      <c r="L64" s="12">
        <v>0</v>
      </c>
      <c r="M64" s="11">
        <f t="shared" si="1"/>
        <v>1.0183450086084718E-2</v>
      </c>
      <c r="N64" s="13">
        <f t="shared" si="2"/>
        <v>22.702183450086086</v>
      </c>
      <c r="O64" s="11">
        <v>81.37</v>
      </c>
      <c r="P64" s="11">
        <v>3909941.82</v>
      </c>
      <c r="Q64" s="14">
        <v>2816207.2218399998</v>
      </c>
      <c r="R64" s="15">
        <f>251.65-10.8+251.65-10.8</f>
        <v>481.7</v>
      </c>
      <c r="S64" s="16"/>
      <c r="T64" s="16"/>
      <c r="V64" s="25"/>
      <c r="W64" s="25"/>
      <c r="X64" s="51">
        <v>27</v>
      </c>
      <c r="Y64" s="25">
        <v>5.1660000000000004</v>
      </c>
    </row>
    <row r="65" spans="1:25" ht="15" x14ac:dyDescent="0.2">
      <c r="A65" s="128" t="s">
        <v>103</v>
      </c>
      <c r="B65" s="128" t="s">
        <v>104</v>
      </c>
      <c r="C65" s="129" t="s">
        <v>335</v>
      </c>
      <c r="D65" s="10">
        <v>317948281</v>
      </c>
      <c r="E65" s="10">
        <v>0</v>
      </c>
      <c r="F65" s="10">
        <f t="shared" si="0"/>
        <v>317948281</v>
      </c>
      <c r="G65" s="8">
        <v>27</v>
      </c>
      <c r="H65" s="11">
        <v>0</v>
      </c>
      <c r="I65" s="16">
        <v>0</v>
      </c>
      <c r="J65" s="11">
        <v>0</v>
      </c>
      <c r="K65" s="8">
        <v>0</v>
      </c>
      <c r="L65" s="12">
        <v>0</v>
      </c>
      <c r="M65" s="11">
        <f t="shared" si="1"/>
        <v>8.5652452387374275E-2</v>
      </c>
      <c r="N65" s="13">
        <f t="shared" si="2"/>
        <v>27.085652452387375</v>
      </c>
      <c r="O65" s="11">
        <v>98.606999999999999</v>
      </c>
      <c r="P65" s="11">
        <v>32342079.5</v>
      </c>
      <c r="Q65" s="14">
        <v>22767195.763000004</v>
      </c>
      <c r="R65" s="15">
        <v>27233.05</v>
      </c>
      <c r="S65" s="16"/>
      <c r="T65" s="16"/>
      <c r="V65" s="25"/>
      <c r="W65" s="25"/>
      <c r="X65" s="51">
        <v>27</v>
      </c>
      <c r="Y65" s="25">
        <v>0</v>
      </c>
    </row>
    <row r="66" spans="1:25" ht="15" x14ac:dyDescent="0.2">
      <c r="A66" s="82" t="s">
        <v>105</v>
      </c>
      <c r="B66" s="128" t="s">
        <v>104</v>
      </c>
      <c r="C66" s="129" t="s">
        <v>106</v>
      </c>
      <c r="D66" s="10">
        <f>3840050+168582098+8775770</f>
        <v>181197918</v>
      </c>
      <c r="E66" s="10">
        <v>0</v>
      </c>
      <c r="F66" s="10">
        <f t="shared" si="0"/>
        <v>181197918</v>
      </c>
      <c r="G66" s="8">
        <v>16.202999999999999</v>
      </c>
      <c r="H66" s="11">
        <v>0</v>
      </c>
      <c r="I66" s="16">
        <v>0</v>
      </c>
      <c r="J66" s="11">
        <v>0</v>
      </c>
      <c r="K66" s="8">
        <v>0</v>
      </c>
      <c r="L66" s="12">
        <v>1.9319999999999999</v>
      </c>
      <c r="M66" s="11">
        <f t="shared" si="1"/>
        <v>2.7580007845344003E-2</v>
      </c>
      <c r="N66" s="13">
        <f t="shared" si="2"/>
        <v>18.162580007845342</v>
      </c>
      <c r="O66" s="11">
        <v>69.414000000000001</v>
      </c>
      <c r="P66" s="11">
        <v>12933776.84</v>
      </c>
      <c r="Q66" s="14">
        <v>9641679.854646001</v>
      </c>
      <c r="R66" s="15">
        <v>4997.4399999999996</v>
      </c>
      <c r="S66" s="16"/>
      <c r="T66" s="16"/>
      <c r="V66" s="25"/>
      <c r="W66" s="25"/>
      <c r="X66" s="51">
        <v>27</v>
      </c>
      <c r="Y66" s="25">
        <v>10.797000000000001</v>
      </c>
    </row>
    <row r="67" spans="1:25" ht="15" x14ac:dyDescent="0.2">
      <c r="A67" s="128" t="s">
        <v>107</v>
      </c>
      <c r="B67" s="128" t="s">
        <v>104</v>
      </c>
      <c r="C67" s="129" t="s">
        <v>336</v>
      </c>
      <c r="D67" s="10">
        <v>77289907</v>
      </c>
      <c r="E67" s="10">
        <v>0</v>
      </c>
      <c r="F67" s="10">
        <f t="shared" ref="F67:F130" si="3">D67+E67</f>
        <v>77289907</v>
      </c>
      <c r="G67" s="8">
        <v>22.702000000000002</v>
      </c>
      <c r="H67" s="11">
        <v>0</v>
      </c>
      <c r="I67" s="16">
        <v>0</v>
      </c>
      <c r="J67" s="11">
        <v>0</v>
      </c>
      <c r="K67" s="8">
        <v>0</v>
      </c>
      <c r="L67" s="12">
        <v>0</v>
      </c>
      <c r="M67" s="11">
        <f t="shared" ref="M67:M130" si="4">IFERROR((R67/F67)*1000,0)</f>
        <v>6.204005394908807E-2</v>
      </c>
      <c r="N67" s="13">
        <f t="shared" ref="N67:N130" si="5">SUM(G67:M67)</f>
        <v>22.764040053949088</v>
      </c>
      <c r="O67" s="11">
        <v>38.283999999999999</v>
      </c>
      <c r="P67" s="11">
        <v>3171974.81</v>
      </c>
      <c r="Q67" s="14">
        <v>1204311.5012859998</v>
      </c>
      <c r="R67" s="15">
        <f>1067.53+3727.54</f>
        <v>4795.07</v>
      </c>
      <c r="S67" s="16"/>
      <c r="T67" s="16"/>
      <c r="V67" s="25"/>
      <c r="W67" s="25"/>
      <c r="X67" s="51">
        <v>27</v>
      </c>
      <c r="Y67" s="25">
        <v>4.298</v>
      </c>
    </row>
    <row r="68" spans="1:25" ht="15" x14ac:dyDescent="0.2">
      <c r="A68" s="82" t="s">
        <v>108</v>
      </c>
      <c r="B68" s="128" t="s">
        <v>109</v>
      </c>
      <c r="C68" s="129" t="s">
        <v>337</v>
      </c>
      <c r="D68" s="10">
        <f>274217910+769428410</f>
        <v>1043646320</v>
      </c>
      <c r="E68" s="10">
        <v>0</v>
      </c>
      <c r="F68" s="10">
        <f t="shared" si="3"/>
        <v>1043646320</v>
      </c>
      <c r="G68" s="8">
        <v>22.759</v>
      </c>
      <c r="H68" s="11">
        <v>0</v>
      </c>
      <c r="I68" s="16">
        <v>0</v>
      </c>
      <c r="J68" s="11">
        <v>0</v>
      </c>
      <c r="K68" s="8">
        <v>0</v>
      </c>
      <c r="L68" s="12">
        <v>8.4320000000000004</v>
      </c>
      <c r="M68" s="11">
        <f t="shared" si="4"/>
        <v>3.1293005469515765E-2</v>
      </c>
      <c r="N68" s="13">
        <f t="shared" si="5"/>
        <v>31.222293005469517</v>
      </c>
      <c r="O68" s="11">
        <v>57.863</v>
      </c>
      <c r="P68" s="11">
        <v>61790595.5</v>
      </c>
      <c r="Q68" s="14">
        <v>36636670.213119999</v>
      </c>
      <c r="R68" s="15">
        <f>5575-1639+3199+1902+16255.78-3829.32+5565.33-1320.06+9161.88-2211.78</f>
        <v>32658.83</v>
      </c>
      <c r="S68" s="16"/>
      <c r="T68" s="16"/>
      <c r="V68" s="25"/>
      <c r="W68" s="25"/>
      <c r="X68" s="51">
        <v>27</v>
      </c>
      <c r="Y68" s="25">
        <v>4.2409999999999997</v>
      </c>
    </row>
    <row r="69" spans="1:25" ht="15" x14ac:dyDescent="0.2">
      <c r="A69" s="128" t="s">
        <v>110</v>
      </c>
      <c r="B69" s="128" t="s">
        <v>109</v>
      </c>
      <c r="C69" s="129" t="s">
        <v>338</v>
      </c>
      <c r="D69" s="10">
        <v>666659670</v>
      </c>
      <c r="E69" s="10">
        <v>-1886200</v>
      </c>
      <c r="F69" s="10">
        <f t="shared" si="3"/>
        <v>664773470</v>
      </c>
      <c r="G69" s="8">
        <v>5.7</v>
      </c>
      <c r="H69" s="11">
        <v>0</v>
      </c>
      <c r="I69" s="16">
        <v>0</v>
      </c>
      <c r="J69" s="11">
        <v>0</v>
      </c>
      <c r="K69" s="8">
        <v>0</v>
      </c>
      <c r="L69" s="12">
        <v>6.468</v>
      </c>
      <c r="M69" s="11">
        <f t="shared" si="4"/>
        <v>1.5812875324281519E-2</v>
      </c>
      <c r="N69" s="13">
        <f t="shared" si="5"/>
        <v>12.18381287532428</v>
      </c>
      <c r="O69" s="11">
        <v>65.085000000000008</v>
      </c>
      <c r="P69" s="11">
        <v>43546479.149999999</v>
      </c>
      <c r="Q69" s="14">
        <v>39477336.620999999</v>
      </c>
      <c r="R69" s="15">
        <f>2115.97-331.78+5128.39-789.11+5193.43-804.92</f>
        <v>10511.980000000001</v>
      </c>
      <c r="S69" s="16"/>
      <c r="T69" s="16"/>
      <c r="V69" s="25"/>
      <c r="W69" s="25"/>
      <c r="X69" s="51">
        <v>16.282</v>
      </c>
      <c r="Y69" s="25">
        <v>10.582000000000001</v>
      </c>
    </row>
    <row r="70" spans="1:25" ht="15" x14ac:dyDescent="0.2">
      <c r="A70" s="128" t="s">
        <v>111</v>
      </c>
      <c r="B70" s="128" t="s">
        <v>109</v>
      </c>
      <c r="C70" s="129" t="s">
        <v>339</v>
      </c>
      <c r="D70" s="10">
        <v>504823920</v>
      </c>
      <c r="E70" s="10">
        <v>0</v>
      </c>
      <c r="F70" s="10">
        <f t="shared" si="3"/>
        <v>504823920</v>
      </c>
      <c r="G70" s="8">
        <v>3.2309999999999999</v>
      </c>
      <c r="H70" s="11">
        <v>0</v>
      </c>
      <c r="I70" s="16">
        <v>0</v>
      </c>
      <c r="J70" s="11">
        <v>0</v>
      </c>
      <c r="K70" s="8">
        <v>0</v>
      </c>
      <c r="L70" s="12">
        <v>4.2930000000000001</v>
      </c>
      <c r="M70" s="11">
        <f t="shared" si="4"/>
        <v>1.2952100209514638E-2</v>
      </c>
      <c r="N70" s="13">
        <f t="shared" si="5"/>
        <v>7.5369521002095148</v>
      </c>
      <c r="O70" s="11">
        <v>24.6</v>
      </c>
      <c r="P70" s="11">
        <v>12583559.189999999</v>
      </c>
      <c r="Q70" s="14">
        <v>10787588.754480001</v>
      </c>
      <c r="R70" s="15">
        <f>1115.86-20.37+3996.9-87.16+1567.71-34.41</f>
        <v>6538.5300000000007</v>
      </c>
      <c r="S70" s="16"/>
      <c r="T70" s="16"/>
      <c r="V70" s="25"/>
      <c r="W70" s="25"/>
      <c r="X70" s="51">
        <v>4.3949999999999996</v>
      </c>
      <c r="Y70" s="25">
        <v>1.1640000000000001</v>
      </c>
    </row>
    <row r="71" spans="1:25" ht="15" x14ac:dyDescent="0.2">
      <c r="A71" s="6" t="s">
        <v>112</v>
      </c>
      <c r="B71" s="6" t="s">
        <v>113</v>
      </c>
      <c r="C71" s="7" t="s">
        <v>113</v>
      </c>
      <c r="D71" s="10">
        <v>381389272</v>
      </c>
      <c r="E71" s="10"/>
      <c r="F71" s="10">
        <f t="shared" si="3"/>
        <v>381389272</v>
      </c>
      <c r="G71" s="8">
        <v>5.0750000000000002</v>
      </c>
      <c r="H71" s="11">
        <v>0</v>
      </c>
      <c r="I71" s="16">
        <v>0</v>
      </c>
      <c r="J71" s="11">
        <v>0</v>
      </c>
      <c r="K71" s="8">
        <v>0</v>
      </c>
      <c r="L71" s="12">
        <v>2.754</v>
      </c>
      <c r="M71" s="11">
        <f t="shared" si="4"/>
        <v>5.3425729290046723E-4</v>
      </c>
      <c r="N71" s="13">
        <f t="shared" si="5"/>
        <v>7.8295342572929014</v>
      </c>
      <c r="O71" s="11">
        <v>12.675000000000001</v>
      </c>
      <c r="P71" s="11">
        <v>4952533.54</v>
      </c>
      <c r="Q71" s="14">
        <v>2898747.7845999999</v>
      </c>
      <c r="R71" s="15">
        <f>0.12+74.22+10.37+119.05</f>
        <v>203.76</v>
      </c>
      <c r="S71" s="16"/>
      <c r="T71" s="16"/>
      <c r="V71" s="25"/>
      <c r="W71" s="25"/>
      <c r="X71" s="51">
        <v>6.6509999999999998</v>
      </c>
      <c r="Y71" s="25">
        <v>1.5760000000000001</v>
      </c>
    </row>
    <row r="72" spans="1:25" ht="15" x14ac:dyDescent="0.2">
      <c r="A72" s="82" t="s">
        <v>114</v>
      </c>
      <c r="B72" s="128" t="s">
        <v>115</v>
      </c>
      <c r="C72" s="129" t="s">
        <v>340</v>
      </c>
      <c r="D72" s="10">
        <v>112782055</v>
      </c>
      <c r="E72" s="10">
        <v>0</v>
      </c>
      <c r="F72" s="10">
        <f t="shared" si="3"/>
        <v>112782055</v>
      </c>
      <c r="G72" s="8">
        <v>13.811</v>
      </c>
      <c r="H72" s="11">
        <v>0</v>
      </c>
      <c r="I72" s="16">
        <v>0</v>
      </c>
      <c r="J72" s="11">
        <v>0</v>
      </c>
      <c r="K72" s="8">
        <v>0</v>
      </c>
      <c r="L72" s="12">
        <v>4.8770000000000007</v>
      </c>
      <c r="M72" s="11">
        <f t="shared" si="4"/>
        <v>5.004652557536747E-2</v>
      </c>
      <c r="N72" s="13">
        <f t="shared" si="5"/>
        <v>18.738046525575371</v>
      </c>
      <c r="O72" s="11">
        <v>42.660999999999994</v>
      </c>
      <c r="P72" s="11">
        <v>4938354.18</v>
      </c>
      <c r="Q72" s="14">
        <v>3253721.6983949994</v>
      </c>
      <c r="R72" s="15">
        <f>4095.05+1549.3</f>
        <v>5644.35</v>
      </c>
      <c r="S72" s="16"/>
      <c r="T72" s="16"/>
      <c r="V72" s="25"/>
      <c r="W72" s="25"/>
      <c r="X72" s="51">
        <v>13.811</v>
      </c>
      <c r="Y72" s="25">
        <v>0</v>
      </c>
    </row>
    <row r="73" spans="1:25" ht="15" x14ac:dyDescent="0.2">
      <c r="A73" s="6" t="s">
        <v>116</v>
      </c>
      <c r="B73" s="6" t="s">
        <v>115</v>
      </c>
      <c r="C73" s="7" t="s">
        <v>341</v>
      </c>
      <c r="D73" s="10">
        <v>774404900.71000004</v>
      </c>
      <c r="E73" s="10"/>
      <c r="F73" s="10">
        <f t="shared" si="3"/>
        <v>774404900.71000004</v>
      </c>
      <c r="G73" s="8">
        <v>12.775</v>
      </c>
      <c r="H73" s="11">
        <v>0</v>
      </c>
      <c r="I73" s="16">
        <v>0</v>
      </c>
      <c r="J73" s="11">
        <v>1.0129999999999999</v>
      </c>
      <c r="K73" s="8">
        <v>0</v>
      </c>
      <c r="L73" s="12">
        <v>1.7170000000000001</v>
      </c>
      <c r="M73" s="11">
        <f t="shared" si="4"/>
        <v>0</v>
      </c>
      <c r="N73" s="13">
        <f t="shared" si="5"/>
        <v>15.505000000000001</v>
      </c>
      <c r="O73" s="11">
        <v>15.357000000000001</v>
      </c>
      <c r="P73" s="11">
        <v>12489754.02</v>
      </c>
      <c r="Q73" s="14">
        <v>1999405.7034297483</v>
      </c>
      <c r="R73" s="15"/>
      <c r="S73" s="16"/>
      <c r="T73" s="16"/>
      <c r="V73" s="25"/>
      <c r="W73" s="25"/>
      <c r="X73" s="51">
        <v>12.776999999999999</v>
      </c>
      <c r="Y73" s="25">
        <v>2.0000000000000018E-3</v>
      </c>
    </row>
    <row r="74" spans="1:25" ht="15" x14ac:dyDescent="0.2">
      <c r="A74" s="82" t="s">
        <v>117</v>
      </c>
      <c r="B74" s="82" t="s">
        <v>118</v>
      </c>
      <c r="C74" s="83" t="s">
        <v>118</v>
      </c>
      <c r="D74" s="10">
        <v>778745620</v>
      </c>
      <c r="E74" s="10">
        <v>-14221920</v>
      </c>
      <c r="F74" s="10">
        <f t="shared" si="3"/>
        <v>764523700</v>
      </c>
      <c r="G74" s="8">
        <v>15.736000000000001</v>
      </c>
      <c r="H74" s="11">
        <v>0</v>
      </c>
      <c r="I74" s="16">
        <v>0</v>
      </c>
      <c r="J74" s="11">
        <v>0</v>
      </c>
      <c r="K74" s="8">
        <v>0</v>
      </c>
      <c r="L74" s="12">
        <v>4.97</v>
      </c>
      <c r="M74" s="11">
        <f t="shared" si="4"/>
        <v>4.2160890499535857E-2</v>
      </c>
      <c r="N74" s="13">
        <f t="shared" si="5"/>
        <v>20.748160890499534</v>
      </c>
      <c r="O74" s="11">
        <v>24.303000000000001</v>
      </c>
      <c r="P74" s="11">
        <v>19186077.170000002</v>
      </c>
      <c r="Q74" s="14">
        <v>6549444.8368000025</v>
      </c>
      <c r="R74" s="15">
        <f>45730-13497</f>
        <v>32233</v>
      </c>
      <c r="S74" s="16"/>
      <c r="T74" s="16"/>
      <c r="V74" s="25"/>
      <c r="W74" s="25"/>
      <c r="X74" s="51">
        <v>15.736000000000001</v>
      </c>
      <c r="Y74" s="25">
        <v>0</v>
      </c>
    </row>
    <row r="75" spans="1:25" ht="15" x14ac:dyDescent="0.2">
      <c r="A75" s="6" t="s">
        <v>119</v>
      </c>
      <c r="B75" s="6" t="s">
        <v>120</v>
      </c>
      <c r="C75" s="7" t="s">
        <v>120</v>
      </c>
      <c r="D75" s="10">
        <v>56059845.329999991</v>
      </c>
      <c r="E75" s="10"/>
      <c r="F75" s="10">
        <f t="shared" si="3"/>
        <v>56059845.329999991</v>
      </c>
      <c r="G75" s="8">
        <v>17.599</v>
      </c>
      <c r="H75" s="11">
        <v>0</v>
      </c>
      <c r="I75" s="16">
        <v>0</v>
      </c>
      <c r="J75" s="11">
        <v>0</v>
      </c>
      <c r="K75" s="8">
        <v>0</v>
      </c>
      <c r="L75" s="12">
        <v>0</v>
      </c>
      <c r="M75" s="11">
        <f t="shared" si="4"/>
        <v>0</v>
      </c>
      <c r="N75" s="13">
        <f t="shared" si="5"/>
        <v>17.599</v>
      </c>
      <c r="O75" s="11">
        <v>26.228000000000002</v>
      </c>
      <c r="P75" s="11">
        <v>1520194.78</v>
      </c>
      <c r="Q75" s="14">
        <v>483718.57203733025</v>
      </c>
      <c r="R75" s="15"/>
      <c r="S75" s="16"/>
      <c r="T75" s="16"/>
      <c r="V75" s="25"/>
      <c r="W75" s="25"/>
      <c r="X75" s="51">
        <v>19.067</v>
      </c>
      <c r="Y75" s="25">
        <v>1.468</v>
      </c>
    </row>
    <row r="76" spans="1:25" ht="15" x14ac:dyDescent="0.2">
      <c r="A76" s="128" t="s">
        <v>121</v>
      </c>
      <c r="B76" s="128" t="s">
        <v>122</v>
      </c>
      <c r="C76" s="129" t="s">
        <v>122</v>
      </c>
      <c r="D76" s="10">
        <v>110092558</v>
      </c>
      <c r="E76" s="10">
        <v>-312710</v>
      </c>
      <c r="F76" s="10">
        <f t="shared" si="3"/>
        <v>109779848</v>
      </c>
      <c r="G76" s="8">
        <v>24.780999999999999</v>
      </c>
      <c r="H76" s="11">
        <v>0</v>
      </c>
      <c r="I76" s="16">
        <v>0</v>
      </c>
      <c r="J76" s="11">
        <v>0</v>
      </c>
      <c r="K76" s="8">
        <v>0</v>
      </c>
      <c r="L76" s="12">
        <v>0</v>
      </c>
      <c r="M76" s="11">
        <f t="shared" si="4"/>
        <v>6.1783834861932042E-2</v>
      </c>
      <c r="N76" s="13">
        <f t="shared" si="5"/>
        <v>24.84278383486193</v>
      </c>
      <c r="O76" s="11">
        <v>47.565000000000005</v>
      </c>
      <c r="P76" s="11">
        <v>5479734.6600000001</v>
      </c>
      <c r="Q76" s="14">
        <v>2501210.4867120003</v>
      </c>
      <c r="R76" s="15">
        <f>6816.7-34.08</f>
        <v>6782.62</v>
      </c>
      <c r="S76" s="16"/>
      <c r="T76" s="16"/>
      <c r="V76" s="25"/>
      <c r="W76" s="25"/>
      <c r="X76" s="51">
        <v>27</v>
      </c>
      <c r="Y76" s="25">
        <v>2.2189999999999999</v>
      </c>
    </row>
    <row r="77" spans="1:25" ht="15" x14ac:dyDescent="0.2">
      <c r="A77" s="128" t="s">
        <v>123</v>
      </c>
      <c r="B77" s="128" t="s">
        <v>122</v>
      </c>
      <c r="C77" s="129" t="s">
        <v>342</v>
      </c>
      <c r="D77" s="10">
        <v>34104178</v>
      </c>
      <c r="E77" s="10">
        <v>0</v>
      </c>
      <c r="F77" s="10">
        <f t="shared" si="3"/>
        <v>34104178</v>
      </c>
      <c r="G77" s="8">
        <v>27</v>
      </c>
      <c r="H77" s="11">
        <v>0</v>
      </c>
      <c r="I77" s="16">
        <v>0</v>
      </c>
      <c r="J77" s="11">
        <v>0</v>
      </c>
      <c r="K77" s="8">
        <v>0</v>
      </c>
      <c r="L77" s="12">
        <v>0</v>
      </c>
      <c r="M77" s="11">
        <f t="shared" si="4"/>
        <v>0</v>
      </c>
      <c r="N77" s="13">
        <f t="shared" si="5"/>
        <v>27</v>
      </c>
      <c r="O77" s="11">
        <v>86.147999999999996</v>
      </c>
      <c r="P77" s="11">
        <v>3039220.07</v>
      </c>
      <c r="Q77" s="14">
        <v>2017210.034</v>
      </c>
      <c r="R77" s="15"/>
      <c r="S77" s="16"/>
      <c r="T77" s="16"/>
      <c r="V77" s="25"/>
      <c r="W77" s="25"/>
      <c r="X77" s="51">
        <v>27</v>
      </c>
      <c r="Y77" s="25">
        <v>0</v>
      </c>
    </row>
    <row r="78" spans="1:25" ht="15" x14ac:dyDescent="0.2">
      <c r="A78" s="6" t="s">
        <v>124</v>
      </c>
      <c r="B78" s="6" t="s">
        <v>125</v>
      </c>
      <c r="C78" s="7" t="s">
        <v>343</v>
      </c>
      <c r="D78" s="10">
        <v>81981534</v>
      </c>
      <c r="E78" s="10">
        <v>0</v>
      </c>
      <c r="F78" s="10">
        <f t="shared" si="3"/>
        <v>81981534</v>
      </c>
      <c r="G78" s="8">
        <v>23.041</v>
      </c>
      <c r="H78" s="11">
        <v>0</v>
      </c>
      <c r="I78" s="16">
        <v>0</v>
      </c>
      <c r="J78" s="11">
        <v>0</v>
      </c>
      <c r="K78" s="8">
        <v>0</v>
      </c>
      <c r="L78" s="12">
        <v>0</v>
      </c>
      <c r="M78" s="11">
        <f t="shared" si="4"/>
        <v>4.5193713989299104E-2</v>
      </c>
      <c r="N78" s="13">
        <f t="shared" si="5"/>
        <v>23.086193713989299</v>
      </c>
      <c r="O78" s="11">
        <v>29.632999999999999</v>
      </c>
      <c r="P78" s="11">
        <v>2731253.53</v>
      </c>
      <c r="Q78" s="14">
        <v>540454.08510599984</v>
      </c>
      <c r="R78" s="15">
        <f>4472.06-767.01</f>
        <v>3705.05</v>
      </c>
      <c r="S78" s="16"/>
      <c r="T78" s="16"/>
      <c r="V78" s="25"/>
      <c r="W78" s="25"/>
      <c r="X78" s="51">
        <v>23.041</v>
      </c>
      <c r="Y78" s="25">
        <v>0</v>
      </c>
    </row>
    <row r="79" spans="1:25" ht="15" x14ac:dyDescent="0.2">
      <c r="A79" s="82" t="s">
        <v>126</v>
      </c>
      <c r="B79" s="128" t="s">
        <v>127</v>
      </c>
      <c r="C79" s="129" t="s">
        <v>127</v>
      </c>
      <c r="D79" s="10">
        <f>12062623130+263641880</f>
        <v>12326265010</v>
      </c>
      <c r="E79" s="10">
        <f>-411311597-89014607</f>
        <v>-500326204</v>
      </c>
      <c r="F79" s="10">
        <f t="shared" si="3"/>
        <v>11825938806</v>
      </c>
      <c r="G79" s="8">
        <v>27</v>
      </c>
      <c r="H79" s="11">
        <v>0</v>
      </c>
      <c r="I79" s="16">
        <v>0</v>
      </c>
      <c r="J79" s="11">
        <v>0</v>
      </c>
      <c r="K79" s="8">
        <v>0</v>
      </c>
      <c r="L79" s="12">
        <v>9.5809999999999995</v>
      </c>
      <c r="M79" s="11">
        <f t="shared" si="4"/>
        <v>0.40307369911144469</v>
      </c>
      <c r="N79" s="13">
        <f t="shared" si="5"/>
        <v>36.984073699111448</v>
      </c>
      <c r="O79" s="11">
        <v>62.563999999999993</v>
      </c>
      <c r="P79" s="11">
        <v>760527704.42999995</v>
      </c>
      <c r="Q79" s="14">
        <v>420576779.83799994</v>
      </c>
      <c r="R79" s="15">
        <f>4797630-43651+100.49-8.85+1986.39-133.39+11611.07-809.81</f>
        <v>4766724.9000000013</v>
      </c>
      <c r="S79" s="16"/>
      <c r="T79" s="16"/>
      <c r="V79" s="25"/>
      <c r="W79" s="25"/>
      <c r="X79" s="51">
        <v>27</v>
      </c>
      <c r="Y79" s="25">
        <v>0</v>
      </c>
    </row>
    <row r="80" spans="1:25" ht="15" x14ac:dyDescent="0.2">
      <c r="A80" s="6" t="s">
        <v>128</v>
      </c>
      <c r="B80" s="6" t="s">
        <v>83</v>
      </c>
      <c r="C80" s="7" t="s">
        <v>344</v>
      </c>
      <c r="D80" s="10">
        <v>21319820</v>
      </c>
      <c r="E80" s="10">
        <v>0</v>
      </c>
      <c r="F80" s="10">
        <f t="shared" si="3"/>
        <v>21319820</v>
      </c>
      <c r="G80" s="8">
        <v>23.199000000000002</v>
      </c>
      <c r="H80" s="11">
        <v>0</v>
      </c>
      <c r="I80" s="16">
        <v>0</v>
      </c>
      <c r="J80" s="11">
        <v>0</v>
      </c>
      <c r="K80" s="8">
        <v>0</v>
      </c>
      <c r="L80" s="12">
        <v>0</v>
      </c>
      <c r="M80" s="11">
        <f t="shared" si="4"/>
        <v>1.4587365184133823E-4</v>
      </c>
      <c r="N80" s="13">
        <f t="shared" si="5"/>
        <v>23.199145873651844</v>
      </c>
      <c r="O80" s="11">
        <v>130.196</v>
      </c>
      <c r="P80" s="11">
        <v>2855957.52</v>
      </c>
      <c r="Q80" s="14">
        <v>2281162.7258199998</v>
      </c>
      <c r="R80" s="15">
        <v>3.11</v>
      </c>
      <c r="S80" s="16"/>
      <c r="T80" s="16"/>
      <c r="V80" s="25"/>
      <c r="W80" s="25"/>
      <c r="X80" s="51">
        <v>27</v>
      </c>
      <c r="Y80" s="25">
        <v>3.8010000000000002</v>
      </c>
    </row>
    <row r="81" spans="1:25" ht="15" x14ac:dyDescent="0.2">
      <c r="A81" s="128" t="s">
        <v>129</v>
      </c>
      <c r="B81" s="128" t="s">
        <v>83</v>
      </c>
      <c r="C81" s="129" t="s">
        <v>345</v>
      </c>
      <c r="D81" s="10">
        <v>16730200</v>
      </c>
      <c r="E81" s="10">
        <v>0</v>
      </c>
      <c r="F81" s="10">
        <f t="shared" si="3"/>
        <v>16730200</v>
      </c>
      <c r="G81" s="8">
        <v>20.52</v>
      </c>
      <c r="H81" s="11">
        <v>0</v>
      </c>
      <c r="I81" s="16">
        <v>0</v>
      </c>
      <c r="J81" s="11">
        <v>3.8580000000000001</v>
      </c>
      <c r="K81" s="8">
        <v>0</v>
      </c>
      <c r="L81" s="12">
        <v>0</v>
      </c>
      <c r="M81" s="11">
        <f t="shared" si="4"/>
        <v>6.9813869529354101E-4</v>
      </c>
      <c r="N81" s="13">
        <f t="shared" si="5"/>
        <v>24.378698138695295</v>
      </c>
      <c r="O81" s="11">
        <v>90.906999999999996</v>
      </c>
      <c r="P81" s="11">
        <v>1551963.96</v>
      </c>
      <c r="Q81" s="14">
        <v>1177586.3460000001</v>
      </c>
      <c r="R81" s="15">
        <v>11.68</v>
      </c>
      <c r="S81" s="16"/>
      <c r="T81" s="16"/>
      <c r="V81" s="25"/>
      <c r="W81" s="25"/>
      <c r="X81" s="51">
        <v>27</v>
      </c>
      <c r="Y81" s="25">
        <v>6.48</v>
      </c>
    </row>
    <row r="82" spans="1:25" ht="15" x14ac:dyDescent="0.2">
      <c r="A82" s="82" t="s">
        <v>130</v>
      </c>
      <c r="B82" s="128" t="s">
        <v>55</v>
      </c>
      <c r="C82" s="129" t="s">
        <v>346</v>
      </c>
      <c r="D82" s="10">
        <f>15537042+25470580</f>
        <v>41007622</v>
      </c>
      <c r="E82" s="10">
        <v>0</v>
      </c>
      <c r="F82" s="10">
        <f t="shared" si="3"/>
        <v>41007622</v>
      </c>
      <c r="G82" s="8">
        <v>27</v>
      </c>
      <c r="H82" s="11">
        <v>0</v>
      </c>
      <c r="I82" s="16">
        <v>0</v>
      </c>
      <c r="J82" s="11">
        <v>0</v>
      </c>
      <c r="K82" s="8">
        <v>0</v>
      </c>
      <c r="L82" s="12">
        <v>0</v>
      </c>
      <c r="M82" s="11">
        <f t="shared" si="4"/>
        <v>4.574759297186265E-2</v>
      </c>
      <c r="N82" s="13">
        <f t="shared" si="5"/>
        <v>27.045747592971864</v>
      </c>
      <c r="O82" s="11">
        <v>56.510999999999996</v>
      </c>
      <c r="P82" s="11">
        <v>2388953.87</v>
      </c>
      <c r="Q82" s="14">
        <v>1210185.696</v>
      </c>
      <c r="R82" s="15">
        <v>1876</v>
      </c>
      <c r="S82" s="16"/>
      <c r="T82" s="16"/>
      <c r="V82" s="25"/>
      <c r="W82" s="25"/>
      <c r="X82" s="51">
        <v>27</v>
      </c>
      <c r="Y82" s="25">
        <v>0</v>
      </c>
    </row>
    <row r="83" spans="1:25" ht="15" x14ac:dyDescent="0.2">
      <c r="A83" s="128" t="s">
        <v>131</v>
      </c>
      <c r="B83" s="128" t="s">
        <v>55</v>
      </c>
      <c r="C83" s="129" t="s">
        <v>347</v>
      </c>
      <c r="D83" s="10">
        <v>33714034</v>
      </c>
      <c r="E83" s="10">
        <v>0</v>
      </c>
      <c r="F83" s="10">
        <f t="shared" si="3"/>
        <v>33714034</v>
      </c>
      <c r="G83" s="8">
        <v>23.463000000000001</v>
      </c>
      <c r="H83" s="11">
        <v>0</v>
      </c>
      <c r="I83" s="16">
        <v>0</v>
      </c>
      <c r="J83" s="11">
        <v>4.1339999999999995</v>
      </c>
      <c r="K83" s="8">
        <v>0</v>
      </c>
      <c r="L83" s="12">
        <v>0</v>
      </c>
      <c r="M83" s="11">
        <f t="shared" si="4"/>
        <v>2.1059479266112149E-2</v>
      </c>
      <c r="N83" s="13">
        <f t="shared" si="5"/>
        <v>27.618059479266112</v>
      </c>
      <c r="O83" s="11">
        <v>66.358000000000004</v>
      </c>
      <c r="P83" s="11">
        <v>2319642.38</v>
      </c>
      <c r="Q83" s="14">
        <v>1446152.7502579999</v>
      </c>
      <c r="R83" s="15">
        <v>710</v>
      </c>
      <c r="S83" s="16"/>
      <c r="T83" s="16"/>
      <c r="V83" s="25"/>
      <c r="W83" s="25"/>
      <c r="X83" s="51">
        <v>24.334</v>
      </c>
      <c r="Y83" s="25">
        <v>0.871</v>
      </c>
    </row>
    <row r="84" spans="1:25" ht="15" x14ac:dyDescent="0.2">
      <c r="A84" s="6" t="s">
        <v>132</v>
      </c>
      <c r="B84" s="6" t="s">
        <v>55</v>
      </c>
      <c r="C84" s="7" t="s">
        <v>348</v>
      </c>
      <c r="D84" s="10">
        <v>25857356</v>
      </c>
      <c r="E84" s="10">
        <v>0</v>
      </c>
      <c r="F84" s="10">
        <f t="shared" si="3"/>
        <v>25857356</v>
      </c>
      <c r="G84" s="8">
        <v>27</v>
      </c>
      <c r="H84" s="11">
        <v>0</v>
      </c>
      <c r="I84" s="16">
        <v>0</v>
      </c>
      <c r="J84" s="11">
        <v>0</v>
      </c>
      <c r="K84" s="8">
        <v>0</v>
      </c>
      <c r="L84" s="12">
        <v>4.6100000000000003</v>
      </c>
      <c r="M84" s="11">
        <f t="shared" si="4"/>
        <v>0.14431405902444164</v>
      </c>
      <c r="N84" s="13">
        <f t="shared" si="5"/>
        <v>31.754314059024441</v>
      </c>
      <c r="O84" s="11">
        <v>117.995</v>
      </c>
      <c r="P84" s="11">
        <v>3115959.03</v>
      </c>
      <c r="Q84" s="14">
        <v>2352894.4579999996</v>
      </c>
      <c r="R84" s="15">
        <v>3731.58</v>
      </c>
      <c r="S84" s="16"/>
      <c r="T84" s="16"/>
      <c r="V84" s="25"/>
      <c r="W84" s="25"/>
      <c r="X84" s="51">
        <v>27</v>
      </c>
      <c r="Y84" s="25">
        <v>0</v>
      </c>
    </row>
    <row r="85" spans="1:25" ht="15" x14ac:dyDescent="0.2">
      <c r="A85" s="128" t="s">
        <v>133</v>
      </c>
      <c r="B85" s="128" t="s">
        <v>55</v>
      </c>
      <c r="C85" s="129" t="s">
        <v>349</v>
      </c>
      <c r="D85" s="10">
        <v>19529068</v>
      </c>
      <c r="E85" s="10">
        <v>0</v>
      </c>
      <c r="F85" s="10">
        <f t="shared" si="3"/>
        <v>19529068</v>
      </c>
      <c r="G85" s="8">
        <v>23.187999999999999</v>
      </c>
      <c r="H85" s="11">
        <v>0</v>
      </c>
      <c r="I85" s="16">
        <v>0</v>
      </c>
      <c r="J85" s="11">
        <v>0</v>
      </c>
      <c r="K85" s="8">
        <v>0</v>
      </c>
      <c r="L85" s="12">
        <v>0</v>
      </c>
      <c r="M85" s="11">
        <f t="shared" si="4"/>
        <v>1.1470081419144016E-2</v>
      </c>
      <c r="N85" s="13">
        <f t="shared" si="5"/>
        <v>23.199470081419143</v>
      </c>
      <c r="O85" s="11">
        <v>99.459000000000003</v>
      </c>
      <c r="P85" s="11">
        <v>1986433.67</v>
      </c>
      <c r="Q85" s="14">
        <v>1489500.5212159997</v>
      </c>
      <c r="R85" s="15">
        <f>369-145</f>
        <v>224</v>
      </c>
      <c r="S85" s="16"/>
      <c r="T85" s="16"/>
      <c r="V85" s="25"/>
      <c r="W85" s="25"/>
      <c r="X85" s="51">
        <v>27</v>
      </c>
      <c r="Y85" s="25">
        <v>3.8120000000000003</v>
      </c>
    </row>
    <row r="86" spans="1:25" ht="15" x14ac:dyDescent="0.2">
      <c r="A86" s="6" t="s">
        <v>134</v>
      </c>
      <c r="B86" s="6" t="s">
        <v>55</v>
      </c>
      <c r="C86" s="7" t="s">
        <v>350</v>
      </c>
      <c r="D86" s="10">
        <f>110238632+137600</f>
        <v>110376232</v>
      </c>
      <c r="E86" s="10">
        <v>0</v>
      </c>
      <c r="F86" s="10">
        <f t="shared" si="3"/>
        <v>110376232</v>
      </c>
      <c r="G86" s="8">
        <v>25.18</v>
      </c>
      <c r="H86" s="11">
        <v>0</v>
      </c>
      <c r="I86" s="16">
        <v>0</v>
      </c>
      <c r="J86" s="11">
        <v>0</v>
      </c>
      <c r="K86" s="8">
        <v>0</v>
      </c>
      <c r="L86" s="12">
        <v>3.5150000000000001</v>
      </c>
      <c r="M86" s="11">
        <f t="shared" si="4"/>
        <v>7.9762552503151216E-2</v>
      </c>
      <c r="N86" s="13">
        <f t="shared" si="5"/>
        <v>28.774762552503152</v>
      </c>
      <c r="O86" s="11">
        <v>54.760999999999996</v>
      </c>
      <c r="P86" s="11">
        <v>7214707.5800000001</v>
      </c>
      <c r="Q86" s="14">
        <v>3265023.0182400001</v>
      </c>
      <c r="R86" s="15">
        <v>8803.89</v>
      </c>
      <c r="S86" s="16"/>
      <c r="T86" s="16"/>
      <c r="V86" s="25"/>
      <c r="W86" s="25"/>
      <c r="X86" s="51">
        <v>27</v>
      </c>
      <c r="Y86" s="25">
        <v>1.8199999999999998</v>
      </c>
    </row>
    <row r="87" spans="1:25" ht="15" x14ac:dyDescent="0.2">
      <c r="A87" s="6" t="s">
        <v>135</v>
      </c>
      <c r="B87" s="6" t="s">
        <v>136</v>
      </c>
      <c r="C87" s="7" t="s">
        <v>136</v>
      </c>
      <c r="D87" s="10">
        <v>223684416.037</v>
      </c>
      <c r="E87" s="10"/>
      <c r="F87" s="10">
        <f t="shared" si="3"/>
        <v>223684416.037</v>
      </c>
      <c r="G87" s="8">
        <v>24.469000000000001</v>
      </c>
      <c r="H87" s="11">
        <v>0</v>
      </c>
      <c r="I87" s="16">
        <v>0</v>
      </c>
      <c r="J87" s="11">
        <v>0</v>
      </c>
      <c r="K87" s="8">
        <v>0</v>
      </c>
      <c r="L87" s="12">
        <v>2.9849999999999999</v>
      </c>
      <c r="M87" s="11">
        <f t="shared" si="4"/>
        <v>0</v>
      </c>
      <c r="N87" s="13">
        <f t="shared" si="5"/>
        <v>27.454000000000001</v>
      </c>
      <c r="O87" s="11">
        <v>43.500999999999998</v>
      </c>
      <c r="P87" s="11">
        <v>10027865.52</v>
      </c>
      <c r="Q87" s="14">
        <v>4257269.9339906462</v>
      </c>
      <c r="R87" s="15"/>
      <c r="S87" s="16"/>
      <c r="T87" s="16"/>
      <c r="V87" s="25"/>
      <c r="W87" s="25"/>
      <c r="X87" s="51">
        <v>26.513999999999999</v>
      </c>
      <c r="Y87" s="25">
        <v>2.0449999999999999</v>
      </c>
    </row>
    <row r="88" spans="1:25" ht="15" x14ac:dyDescent="0.2">
      <c r="A88" s="6" t="s">
        <v>137</v>
      </c>
      <c r="B88" s="6" t="s">
        <v>138</v>
      </c>
      <c r="C88" s="7" t="s">
        <v>351</v>
      </c>
      <c r="D88" s="10">
        <v>1355740120</v>
      </c>
      <c r="E88" s="10">
        <v>-2385510</v>
      </c>
      <c r="F88" s="10">
        <f t="shared" si="3"/>
        <v>1353354610</v>
      </c>
      <c r="G88" s="8">
        <v>7.601</v>
      </c>
      <c r="H88" s="11">
        <v>0</v>
      </c>
      <c r="I88" s="16">
        <v>0</v>
      </c>
      <c r="J88" s="11">
        <v>1.9369999999999998</v>
      </c>
      <c r="K88" s="8">
        <v>0</v>
      </c>
      <c r="L88" s="12">
        <v>4.1379999999999999</v>
      </c>
      <c r="M88" s="11">
        <f t="shared" si="4"/>
        <v>8.9390769504232151E-2</v>
      </c>
      <c r="N88" s="13">
        <f t="shared" si="5"/>
        <v>13.765390769504233</v>
      </c>
      <c r="O88" s="11">
        <v>41.397999999999996</v>
      </c>
      <c r="P88" s="11">
        <v>57162555.359999999</v>
      </c>
      <c r="Q88" s="14">
        <v>45739823.759389997</v>
      </c>
      <c r="R88" s="15">
        <f>31402.11+89575.3</f>
        <v>120977.41</v>
      </c>
      <c r="S88" s="16"/>
      <c r="T88" s="16"/>
      <c r="V88" s="25"/>
      <c r="W88" s="25"/>
      <c r="X88" s="51">
        <v>12.747999999999999</v>
      </c>
      <c r="Y88" s="25">
        <v>5.1470000000000002</v>
      </c>
    </row>
    <row r="89" spans="1:25" ht="15" x14ac:dyDescent="0.2">
      <c r="A89" s="82" t="s">
        <v>139</v>
      </c>
      <c r="B89" s="128" t="s">
        <v>138</v>
      </c>
      <c r="C89" s="129" t="s">
        <v>352</v>
      </c>
      <c r="D89" s="10">
        <f>870720+202577590</f>
        <v>203448310</v>
      </c>
      <c r="E89" s="10">
        <v>0</v>
      </c>
      <c r="F89" s="10">
        <f t="shared" si="3"/>
        <v>203448310</v>
      </c>
      <c r="G89" s="8">
        <v>9.2289999999999992</v>
      </c>
      <c r="H89" s="11">
        <v>0</v>
      </c>
      <c r="I89" s="16">
        <v>0</v>
      </c>
      <c r="J89" s="11">
        <v>0.16899999999999998</v>
      </c>
      <c r="K89" s="8">
        <v>0</v>
      </c>
      <c r="L89" s="12">
        <v>10.656000000000001</v>
      </c>
      <c r="M89" s="11">
        <f t="shared" si="4"/>
        <v>6.0678213547215011E-2</v>
      </c>
      <c r="N89" s="13">
        <f t="shared" si="5"/>
        <v>20.114678213547219</v>
      </c>
      <c r="O89" s="11">
        <v>66.173000000000002</v>
      </c>
      <c r="P89" s="11">
        <v>13656197.57</v>
      </c>
      <c r="Q89" s="14">
        <v>11585135.357010001</v>
      </c>
      <c r="R89" s="15">
        <f>8591.33-1345.2+6321.24-1222.49</f>
        <v>12344.88</v>
      </c>
      <c r="S89" s="16"/>
      <c r="T89" s="16"/>
      <c r="V89" s="25"/>
      <c r="W89" s="25"/>
      <c r="X89" s="51">
        <v>19.138000000000002</v>
      </c>
      <c r="Y89" s="25">
        <v>9.9090000000000007</v>
      </c>
    </row>
    <row r="90" spans="1:25" ht="15" x14ac:dyDescent="0.2">
      <c r="A90" s="82" t="s">
        <v>140</v>
      </c>
      <c r="B90" s="128" t="s">
        <v>138</v>
      </c>
      <c r="C90" s="129" t="s">
        <v>353</v>
      </c>
      <c r="D90" s="10">
        <f>21555370+159585640</f>
        <v>181141010</v>
      </c>
      <c r="E90" s="10">
        <v>0</v>
      </c>
      <c r="F90" s="10">
        <f t="shared" si="3"/>
        <v>181141010</v>
      </c>
      <c r="G90" s="8">
        <v>3.274</v>
      </c>
      <c r="H90" s="11">
        <v>0</v>
      </c>
      <c r="I90" s="16">
        <v>0</v>
      </c>
      <c r="J90" s="11">
        <v>0</v>
      </c>
      <c r="K90" s="8">
        <v>0</v>
      </c>
      <c r="L90" s="12">
        <v>6.0730000000000004</v>
      </c>
      <c r="M90" s="11">
        <f t="shared" si="4"/>
        <v>8.498406848896338E-2</v>
      </c>
      <c r="N90" s="13">
        <f t="shared" si="5"/>
        <v>9.4319840684889655</v>
      </c>
      <c r="O90" s="11">
        <v>46.576999999999998</v>
      </c>
      <c r="P90" s="11">
        <v>8498841.3399999999</v>
      </c>
      <c r="Q90" s="14">
        <v>7843969.1032599993</v>
      </c>
      <c r="R90" s="15">
        <f>5810.85-102.81+9860.5-174.44</f>
        <v>15394.1</v>
      </c>
      <c r="S90" s="16"/>
      <c r="T90" s="16"/>
      <c r="V90" s="25"/>
      <c r="W90" s="25"/>
      <c r="X90" s="51">
        <v>7.3310000000000004</v>
      </c>
      <c r="Y90" s="25">
        <v>4.0570000000000004</v>
      </c>
    </row>
    <row r="91" spans="1:25" ht="15" x14ac:dyDescent="0.2">
      <c r="A91" s="6" t="s">
        <v>141</v>
      </c>
      <c r="B91" s="6" t="s">
        <v>142</v>
      </c>
      <c r="C91" s="7" t="s">
        <v>354</v>
      </c>
      <c r="D91" s="10">
        <v>4173638157</v>
      </c>
      <c r="E91" s="10">
        <v>-228787405</v>
      </c>
      <c r="F91" s="10">
        <f t="shared" si="3"/>
        <v>3944850752</v>
      </c>
      <c r="G91" s="8">
        <v>27</v>
      </c>
      <c r="H91" s="11">
        <v>0</v>
      </c>
      <c r="I91" s="16">
        <v>0</v>
      </c>
      <c r="J91" s="11">
        <v>0</v>
      </c>
      <c r="K91" s="8">
        <v>0</v>
      </c>
      <c r="L91" s="12">
        <v>15.646000000000001</v>
      </c>
      <c r="M91" s="11">
        <f t="shared" si="4"/>
        <v>0.32658591186164093</v>
      </c>
      <c r="N91" s="13">
        <f t="shared" si="5"/>
        <v>42.972585911861643</v>
      </c>
      <c r="O91" s="11">
        <v>72.896000000000001</v>
      </c>
      <c r="P91" s="11">
        <v>295455061.05000001</v>
      </c>
      <c r="Q91" s="14">
        <v>181054296.13599998</v>
      </c>
      <c r="R91" s="15">
        <f>1288332.68</f>
        <v>1288332.68</v>
      </c>
      <c r="S91" s="16"/>
      <c r="T91" s="16"/>
      <c r="V91" s="25"/>
      <c r="W91" s="25"/>
      <c r="X91" s="51">
        <v>27</v>
      </c>
      <c r="Y91" s="25">
        <v>0</v>
      </c>
    </row>
    <row r="92" spans="1:25" ht="15" x14ac:dyDescent="0.2">
      <c r="A92" s="6" t="s">
        <v>143</v>
      </c>
      <c r="B92" s="6" t="s">
        <v>142</v>
      </c>
      <c r="C92" s="7" t="s">
        <v>355</v>
      </c>
      <c r="D92" s="10">
        <f>2572251062+49265470+5386890</f>
        <v>2626903422</v>
      </c>
      <c r="E92" s="10">
        <f>-170393925</f>
        <v>-170393925</v>
      </c>
      <c r="F92" s="10">
        <f t="shared" si="3"/>
        <v>2456509497</v>
      </c>
      <c r="G92" s="8">
        <v>23.36</v>
      </c>
      <c r="H92" s="11">
        <v>0</v>
      </c>
      <c r="I92" s="16">
        <v>0</v>
      </c>
      <c r="J92" s="11">
        <v>0</v>
      </c>
      <c r="K92" s="8">
        <v>0</v>
      </c>
      <c r="L92" s="12">
        <v>5.7149999999999999</v>
      </c>
      <c r="M92" s="11">
        <f t="shared" si="4"/>
        <v>0.12295434248019925</v>
      </c>
      <c r="N92" s="13">
        <f t="shared" si="5"/>
        <v>29.197954342480198</v>
      </c>
      <c r="O92" s="11">
        <v>54.593000000000004</v>
      </c>
      <c r="P92" s="11">
        <v>137372446.53</v>
      </c>
      <c r="Q92" s="14">
        <v>76723657.670079991</v>
      </c>
      <c r="R92" s="15">
        <f>295271.76+6386.75+380</f>
        <v>302038.51</v>
      </c>
      <c r="S92" s="16"/>
      <c r="T92" s="16"/>
      <c r="V92" s="25"/>
      <c r="W92" s="25"/>
      <c r="X92" s="51">
        <v>27</v>
      </c>
      <c r="Y92" s="25">
        <v>3.6399999999999997</v>
      </c>
    </row>
    <row r="93" spans="1:25" ht="15" x14ac:dyDescent="0.2">
      <c r="A93" s="6" t="s">
        <v>144</v>
      </c>
      <c r="B93" s="6" t="s">
        <v>142</v>
      </c>
      <c r="C93" s="7" t="s">
        <v>356</v>
      </c>
      <c r="D93" s="10">
        <v>475566723</v>
      </c>
      <c r="E93" s="10">
        <v>0</v>
      </c>
      <c r="F93" s="10">
        <f t="shared" si="3"/>
        <v>475566723</v>
      </c>
      <c r="G93" s="8">
        <v>20.548999999999999</v>
      </c>
      <c r="H93" s="11">
        <v>0</v>
      </c>
      <c r="I93" s="16">
        <v>0</v>
      </c>
      <c r="J93" s="11">
        <v>0</v>
      </c>
      <c r="K93" s="8">
        <v>0</v>
      </c>
      <c r="L93" s="12">
        <v>5.51</v>
      </c>
      <c r="M93" s="11">
        <v>0.159</v>
      </c>
      <c r="N93" s="13">
        <f t="shared" si="5"/>
        <v>26.217999999999996</v>
      </c>
      <c r="O93" s="11">
        <v>21.097999999999999</v>
      </c>
      <c r="P93" s="11">
        <v>10692571.470000001</v>
      </c>
      <c r="Q93" s="14">
        <v>261192.67907300149</v>
      </c>
      <c r="R93" s="15">
        <v>70242</v>
      </c>
      <c r="S93" s="16"/>
      <c r="T93" s="16"/>
      <c r="V93" s="25"/>
      <c r="W93" s="25"/>
      <c r="X93" s="51">
        <v>20.548999999999999</v>
      </c>
      <c r="Y93" s="25">
        <v>0</v>
      </c>
    </row>
    <row r="94" spans="1:25" ht="15" x14ac:dyDescent="0.2">
      <c r="A94" s="133" t="s">
        <v>145</v>
      </c>
      <c r="B94" s="133" t="s">
        <v>45</v>
      </c>
      <c r="C94" s="134" t="s">
        <v>357</v>
      </c>
      <c r="D94" s="10">
        <v>136463930</v>
      </c>
      <c r="E94" s="10">
        <v>-508106</v>
      </c>
      <c r="F94" s="10">
        <f t="shared" si="3"/>
        <v>135955824</v>
      </c>
      <c r="G94" s="8">
        <v>13.427</v>
      </c>
      <c r="H94" s="11">
        <v>0</v>
      </c>
      <c r="I94" s="16">
        <v>0</v>
      </c>
      <c r="J94" s="11">
        <v>0</v>
      </c>
      <c r="K94" s="8">
        <v>0</v>
      </c>
      <c r="L94" s="12">
        <v>0</v>
      </c>
      <c r="M94" s="11">
        <f t="shared" si="4"/>
        <v>5.0591433287918586E-3</v>
      </c>
      <c r="N94" s="13">
        <f t="shared" si="5"/>
        <v>13.432059143328791</v>
      </c>
      <c r="O94" s="11">
        <v>68.956000000000003</v>
      </c>
      <c r="P94" s="11">
        <v>9590450.1300000008</v>
      </c>
      <c r="Q94" s="14">
        <v>7549517.9411520008</v>
      </c>
      <c r="R94" s="15">
        <v>687.82</v>
      </c>
      <c r="S94" s="16"/>
      <c r="T94" s="16"/>
      <c r="V94" s="25"/>
      <c r="W94" s="25"/>
      <c r="X94" s="51">
        <v>27</v>
      </c>
      <c r="Y94" s="25">
        <v>13.573</v>
      </c>
    </row>
    <row r="95" spans="1:25" ht="15" x14ac:dyDescent="0.2">
      <c r="A95" s="6" t="s">
        <v>146</v>
      </c>
      <c r="B95" s="6" t="s">
        <v>45</v>
      </c>
      <c r="C95" s="7" t="s">
        <v>358</v>
      </c>
      <c r="D95" s="10">
        <v>81872736</v>
      </c>
      <c r="E95" s="10">
        <v>0</v>
      </c>
      <c r="F95" s="10">
        <f t="shared" si="3"/>
        <v>81872736</v>
      </c>
      <c r="G95" s="8">
        <v>2.6799999999999997</v>
      </c>
      <c r="H95" s="11">
        <v>0</v>
      </c>
      <c r="I95" s="16">
        <v>0</v>
      </c>
      <c r="J95" s="11">
        <v>0.96100000000000008</v>
      </c>
      <c r="K95" s="8">
        <v>0</v>
      </c>
      <c r="L95" s="12">
        <v>4.2750000000000004</v>
      </c>
      <c r="M95" s="11">
        <f t="shared" si="4"/>
        <v>6.7055289321221658E-5</v>
      </c>
      <c r="N95" s="13">
        <f t="shared" si="5"/>
        <v>7.9160670552893215</v>
      </c>
      <c r="O95" s="11">
        <v>38.695999999999998</v>
      </c>
      <c r="P95" s="11">
        <v>3220172.62</v>
      </c>
      <c r="Q95" s="14">
        <v>2948767.8975200001</v>
      </c>
      <c r="R95" s="15">
        <v>5.49</v>
      </c>
      <c r="S95" s="16">
        <v>1.526</v>
      </c>
      <c r="T95" s="16"/>
      <c r="V95" s="25"/>
      <c r="W95" s="25"/>
      <c r="X95" s="51">
        <v>4.1689999999999996</v>
      </c>
      <c r="Y95" s="25">
        <v>1.4889999999999999</v>
      </c>
    </row>
    <row r="96" spans="1:25" ht="15" x14ac:dyDescent="0.2">
      <c r="A96" s="128" t="s">
        <v>147</v>
      </c>
      <c r="B96" s="128" t="s">
        <v>45</v>
      </c>
      <c r="C96" s="129" t="s">
        <v>359</v>
      </c>
      <c r="D96" s="10">
        <v>54338193</v>
      </c>
      <c r="E96" s="10">
        <v>0</v>
      </c>
      <c r="F96" s="10">
        <f t="shared" si="3"/>
        <v>54338193</v>
      </c>
      <c r="G96" s="8">
        <v>23.658000000000001</v>
      </c>
      <c r="H96" s="11">
        <v>0</v>
      </c>
      <c r="I96" s="16">
        <v>0</v>
      </c>
      <c r="J96" s="11">
        <v>0</v>
      </c>
      <c r="K96" s="8">
        <v>0</v>
      </c>
      <c r="L96" s="12">
        <v>0</v>
      </c>
      <c r="M96" s="11">
        <f t="shared" si="4"/>
        <v>6.1650927552927637E-3</v>
      </c>
      <c r="N96" s="13">
        <f t="shared" si="5"/>
        <v>23.664165092755294</v>
      </c>
      <c r="O96" s="11">
        <v>72.424999999999997</v>
      </c>
      <c r="P96" s="11">
        <v>4140179.6</v>
      </c>
      <c r="Q96" s="14">
        <v>2649908.7800059998</v>
      </c>
      <c r="R96" s="15">
        <v>335</v>
      </c>
      <c r="S96" s="16"/>
      <c r="T96" s="16"/>
      <c r="V96" s="25"/>
      <c r="W96" s="25"/>
      <c r="X96" s="51">
        <v>27</v>
      </c>
      <c r="Y96" s="25">
        <v>3.3419999999999996</v>
      </c>
    </row>
    <row r="97" spans="1:25" ht="15" x14ac:dyDescent="0.2">
      <c r="A97" s="128" t="s">
        <v>148</v>
      </c>
      <c r="B97" s="128" t="s">
        <v>45</v>
      </c>
      <c r="C97" s="129" t="s">
        <v>360</v>
      </c>
      <c r="D97" s="10">
        <v>46035848</v>
      </c>
      <c r="E97" s="10">
        <v>0</v>
      </c>
      <c r="F97" s="10">
        <f t="shared" si="3"/>
        <v>46035848</v>
      </c>
      <c r="G97" s="8">
        <v>9.52</v>
      </c>
      <c r="H97" s="11">
        <v>0</v>
      </c>
      <c r="I97" s="16">
        <v>0</v>
      </c>
      <c r="J97" s="11">
        <v>0.64400000000000002</v>
      </c>
      <c r="K97" s="8">
        <v>0</v>
      </c>
      <c r="L97" s="12">
        <v>0</v>
      </c>
      <c r="M97" s="11">
        <f t="shared" si="4"/>
        <v>1.7594983804794905E-3</v>
      </c>
      <c r="N97" s="13">
        <f t="shared" si="5"/>
        <v>10.16575949838048</v>
      </c>
      <c r="O97" s="11">
        <v>41.243000000000002</v>
      </c>
      <c r="P97" s="11">
        <v>1960271.41</v>
      </c>
      <c r="Q97" s="14">
        <v>1460403.49704</v>
      </c>
      <c r="R97" s="15">
        <v>81</v>
      </c>
      <c r="S97" s="16"/>
      <c r="T97" s="16"/>
      <c r="V97" s="25"/>
      <c r="W97" s="25"/>
      <c r="X97" s="51">
        <v>23.288</v>
      </c>
      <c r="Y97" s="25">
        <v>13.768000000000001</v>
      </c>
    </row>
    <row r="98" spans="1:25" ht="15" x14ac:dyDescent="0.2">
      <c r="A98" s="6" t="s">
        <v>149</v>
      </c>
      <c r="B98" s="6" t="s">
        <v>45</v>
      </c>
      <c r="C98" s="7" t="s">
        <v>361</v>
      </c>
      <c r="D98" s="10">
        <v>18978307</v>
      </c>
      <c r="E98" s="10">
        <v>0</v>
      </c>
      <c r="F98" s="10">
        <f t="shared" si="3"/>
        <v>18978307</v>
      </c>
      <c r="G98" s="8">
        <v>20.616</v>
      </c>
      <c r="H98" s="11">
        <v>0</v>
      </c>
      <c r="I98" s="16">
        <v>0</v>
      </c>
      <c r="J98" s="11">
        <v>0</v>
      </c>
      <c r="K98" s="8">
        <v>0</v>
      </c>
      <c r="L98" s="12">
        <v>10.802000000000001</v>
      </c>
      <c r="M98" s="11">
        <f t="shared" si="4"/>
        <v>2.7975772549153093</v>
      </c>
      <c r="N98" s="13">
        <f t="shared" si="5"/>
        <v>34.21557725491531</v>
      </c>
      <c r="O98" s="11">
        <v>236.137</v>
      </c>
      <c r="P98" s="11">
        <v>4517812.34</v>
      </c>
      <c r="Q98" s="14">
        <v>4090225.9028879995</v>
      </c>
      <c r="R98" s="15">
        <f>11363.8+41729.48</f>
        <v>53093.279999999999</v>
      </c>
      <c r="S98" s="16"/>
      <c r="T98" s="16"/>
      <c r="V98" s="25"/>
      <c r="W98" s="25"/>
      <c r="X98" s="51">
        <v>27</v>
      </c>
      <c r="Y98" s="25">
        <v>6.3840000000000003</v>
      </c>
    </row>
    <row r="99" spans="1:25" ht="15" x14ac:dyDescent="0.2">
      <c r="A99" s="128" t="s">
        <v>150</v>
      </c>
      <c r="B99" s="128" t="s">
        <v>45</v>
      </c>
      <c r="C99" s="129" t="s">
        <v>362</v>
      </c>
      <c r="D99" s="10">
        <v>24754296</v>
      </c>
      <c r="E99" s="10">
        <v>0</v>
      </c>
      <c r="F99" s="10">
        <f t="shared" si="3"/>
        <v>24754296</v>
      </c>
      <c r="G99" s="8">
        <v>11.978999999999999</v>
      </c>
      <c r="H99" s="11">
        <v>0</v>
      </c>
      <c r="I99" s="16">
        <v>0</v>
      </c>
      <c r="J99" s="11">
        <v>1.145</v>
      </c>
      <c r="K99" s="8">
        <v>0</v>
      </c>
      <c r="L99" s="12">
        <v>6.9340000000000002</v>
      </c>
      <c r="M99" s="11">
        <f t="shared" si="4"/>
        <v>2.5854098213901945E-3</v>
      </c>
      <c r="N99" s="13">
        <f t="shared" si="5"/>
        <v>20.060585409821389</v>
      </c>
      <c r="O99" s="11">
        <v>35.051000000000002</v>
      </c>
      <c r="P99" s="11">
        <v>894802.91</v>
      </c>
      <c r="Q99" s="14">
        <v>571125.41821600008</v>
      </c>
      <c r="R99" s="15">
        <v>64</v>
      </c>
      <c r="S99" s="16"/>
      <c r="T99" s="16"/>
      <c r="V99" s="25"/>
      <c r="W99" s="25"/>
      <c r="X99" s="51">
        <v>27</v>
      </c>
      <c r="Y99" s="25">
        <v>15.021000000000001</v>
      </c>
    </row>
    <row r="100" spans="1:25" ht="15" x14ac:dyDescent="0.2">
      <c r="A100" s="6" t="s">
        <v>151</v>
      </c>
      <c r="B100" s="6" t="s">
        <v>152</v>
      </c>
      <c r="C100" s="7" t="s">
        <v>363</v>
      </c>
      <c r="D100" s="10">
        <v>67996275</v>
      </c>
      <c r="E100" s="10">
        <v>0</v>
      </c>
      <c r="F100" s="10">
        <f t="shared" si="3"/>
        <v>67996275</v>
      </c>
      <c r="G100" s="8">
        <v>17.379000000000001</v>
      </c>
      <c r="H100" s="11">
        <v>0</v>
      </c>
      <c r="I100" s="16">
        <v>0</v>
      </c>
      <c r="J100" s="11">
        <v>0</v>
      </c>
      <c r="K100" s="8">
        <v>0</v>
      </c>
      <c r="L100" s="12">
        <v>0</v>
      </c>
      <c r="M100" s="11">
        <f t="shared" si="4"/>
        <v>3.4540274448857683E-2</v>
      </c>
      <c r="N100" s="13">
        <f t="shared" si="5"/>
        <v>17.413540274448859</v>
      </c>
      <c r="O100" s="11">
        <v>42.798000000000002</v>
      </c>
      <c r="P100" s="11">
        <v>3015657.35</v>
      </c>
      <c r="Q100" s="14">
        <v>1728387.5567749999</v>
      </c>
      <c r="R100" s="15">
        <f>1729.7-3.42+623.74-1.41</f>
        <v>2348.61</v>
      </c>
      <c r="S100" s="16"/>
      <c r="T100" s="16"/>
      <c r="V100" s="25"/>
      <c r="W100" s="25"/>
      <c r="X100" s="51">
        <v>17.379000000000001</v>
      </c>
      <c r="Y100" s="25">
        <v>0</v>
      </c>
    </row>
    <row r="101" spans="1:25" ht="15" x14ac:dyDescent="0.2">
      <c r="A101" s="82" t="s">
        <v>153</v>
      </c>
      <c r="B101" s="128" t="s">
        <v>152</v>
      </c>
      <c r="C101" s="129" t="s">
        <v>364</v>
      </c>
      <c r="D101" s="10">
        <f>72067515+17736953</f>
        <v>89804468</v>
      </c>
      <c r="E101" s="10">
        <v>0</v>
      </c>
      <c r="F101" s="10">
        <f t="shared" si="3"/>
        <v>89804468</v>
      </c>
      <c r="G101" s="8">
        <v>22.824000000000002</v>
      </c>
      <c r="H101" s="11">
        <v>0</v>
      </c>
      <c r="I101" s="16">
        <v>0</v>
      </c>
      <c r="J101" s="11">
        <v>0</v>
      </c>
      <c r="K101" s="8">
        <v>0</v>
      </c>
      <c r="L101" s="12">
        <v>0</v>
      </c>
      <c r="M101" s="11">
        <f t="shared" si="4"/>
        <v>2.6162395394402869E-3</v>
      </c>
      <c r="N101" s="13">
        <f t="shared" si="5"/>
        <v>22.82661623953944</v>
      </c>
      <c r="O101" s="11">
        <v>53.538000000000004</v>
      </c>
      <c r="P101" s="11">
        <v>5002082.62</v>
      </c>
      <c r="Q101" s="14">
        <v>2758299.1723679998</v>
      </c>
      <c r="R101" s="15">
        <f>4.95+165+65</f>
        <v>234.95</v>
      </c>
      <c r="S101" s="16"/>
      <c r="T101" s="16"/>
      <c r="V101" s="25"/>
      <c r="W101" s="25"/>
      <c r="X101" s="51">
        <v>27</v>
      </c>
      <c r="Y101" s="25">
        <v>4.1760000000000002</v>
      </c>
    </row>
    <row r="102" spans="1:25" ht="15" x14ac:dyDescent="0.2">
      <c r="A102" s="6" t="s">
        <v>154</v>
      </c>
      <c r="B102" s="6" t="s">
        <v>152</v>
      </c>
      <c r="C102" s="7" t="s">
        <v>365</v>
      </c>
      <c r="D102" s="10">
        <v>6821902</v>
      </c>
      <c r="E102" s="10">
        <v>0</v>
      </c>
      <c r="F102" s="10">
        <f t="shared" si="3"/>
        <v>6821902</v>
      </c>
      <c r="G102" s="8">
        <v>27</v>
      </c>
      <c r="H102" s="11">
        <v>0</v>
      </c>
      <c r="I102" s="16">
        <v>0</v>
      </c>
      <c r="J102" s="11">
        <v>0</v>
      </c>
      <c r="K102" s="8">
        <v>0</v>
      </c>
      <c r="L102" s="12">
        <v>0</v>
      </c>
      <c r="M102" s="11">
        <f t="shared" si="4"/>
        <v>0</v>
      </c>
      <c r="N102" s="13">
        <f t="shared" si="5"/>
        <v>27</v>
      </c>
      <c r="O102" s="11">
        <v>139.60400000000001</v>
      </c>
      <c r="P102" s="11">
        <v>975135.83</v>
      </c>
      <c r="Q102" s="14">
        <v>768171.80599999998</v>
      </c>
      <c r="R102" s="15">
        <v>0</v>
      </c>
      <c r="S102" s="16"/>
      <c r="T102" s="16"/>
      <c r="V102" s="25"/>
      <c r="W102" s="25"/>
      <c r="X102" s="51">
        <v>27</v>
      </c>
      <c r="Y102" s="25">
        <v>0</v>
      </c>
    </row>
    <row r="103" spans="1:25" ht="15" x14ac:dyDescent="0.2">
      <c r="A103" s="128" t="s">
        <v>155</v>
      </c>
      <c r="B103" s="128" t="s">
        <v>156</v>
      </c>
      <c r="C103" s="129" t="s">
        <v>366</v>
      </c>
      <c r="D103" s="10">
        <v>237902920</v>
      </c>
      <c r="E103" s="10">
        <v>-8066570</v>
      </c>
      <c r="F103" s="10">
        <f t="shared" si="3"/>
        <v>229836350</v>
      </c>
      <c r="G103" s="8">
        <v>27</v>
      </c>
      <c r="H103" s="11">
        <v>0</v>
      </c>
      <c r="I103" s="16">
        <v>0</v>
      </c>
      <c r="J103" s="11">
        <v>0</v>
      </c>
      <c r="K103" s="8">
        <v>0</v>
      </c>
      <c r="L103" s="12">
        <v>2.1749999999999998</v>
      </c>
      <c r="M103" s="11">
        <f t="shared" si="4"/>
        <v>2.1160447422698802E-2</v>
      </c>
      <c r="N103" s="13">
        <f t="shared" si="5"/>
        <v>29.196160447422699</v>
      </c>
      <c r="O103" s="11">
        <v>81.951999999999998</v>
      </c>
      <c r="P103" s="11">
        <v>19424267.09</v>
      </c>
      <c r="Q103" s="14">
        <v>12630058.73</v>
      </c>
      <c r="R103" s="15">
        <f>5170-306.56</f>
        <v>4863.4399999999996</v>
      </c>
      <c r="S103" s="16"/>
      <c r="T103" s="16"/>
      <c r="V103" s="25"/>
      <c r="W103" s="25"/>
      <c r="X103" s="51">
        <v>27</v>
      </c>
      <c r="Y103" s="25">
        <v>0</v>
      </c>
    </row>
    <row r="104" spans="1:25" ht="15" x14ac:dyDescent="0.2">
      <c r="A104" s="6" t="s">
        <v>157</v>
      </c>
      <c r="B104" s="6" t="s">
        <v>156</v>
      </c>
      <c r="C104" s="7" t="s">
        <v>367</v>
      </c>
      <c r="D104" s="10">
        <v>47465260</v>
      </c>
      <c r="E104" s="10">
        <v>0</v>
      </c>
      <c r="F104" s="10">
        <f t="shared" si="3"/>
        <v>47465260</v>
      </c>
      <c r="G104" s="8">
        <v>27</v>
      </c>
      <c r="H104" s="11">
        <v>0</v>
      </c>
      <c r="I104" s="16">
        <v>0</v>
      </c>
      <c r="J104" s="11">
        <v>0.39200000000000002</v>
      </c>
      <c r="K104" s="8">
        <v>0</v>
      </c>
      <c r="L104" s="12">
        <v>0</v>
      </c>
      <c r="M104" s="11">
        <f t="shared" si="4"/>
        <v>1.4477957141707431E-3</v>
      </c>
      <c r="N104" s="13">
        <f t="shared" si="5"/>
        <v>27.39344779571417</v>
      </c>
      <c r="O104" s="11">
        <v>61.796999999999997</v>
      </c>
      <c r="P104" s="11">
        <v>3048150.23</v>
      </c>
      <c r="Q104" s="14">
        <v>1651659.89</v>
      </c>
      <c r="R104" s="15">
        <f>68.72</f>
        <v>68.72</v>
      </c>
      <c r="S104" s="16"/>
      <c r="T104" s="16"/>
      <c r="V104" s="25"/>
      <c r="W104" s="25"/>
      <c r="X104" s="51">
        <v>27</v>
      </c>
      <c r="Y104" s="25">
        <v>0</v>
      </c>
    </row>
    <row r="105" spans="1:25" ht="15" x14ac:dyDescent="0.2">
      <c r="A105" s="82" t="s">
        <v>158</v>
      </c>
      <c r="B105" s="128" t="s">
        <v>156</v>
      </c>
      <c r="C105" s="129" t="s">
        <v>368</v>
      </c>
      <c r="D105" s="10">
        <f>2703890+27809510+3970898</f>
        <v>34484298</v>
      </c>
      <c r="E105" s="10">
        <v>0</v>
      </c>
      <c r="F105" s="10">
        <f t="shared" si="3"/>
        <v>34484298</v>
      </c>
      <c r="G105" s="8">
        <v>27</v>
      </c>
      <c r="H105" s="11">
        <v>0</v>
      </c>
      <c r="I105" s="16">
        <v>0</v>
      </c>
      <c r="J105" s="11">
        <v>0</v>
      </c>
      <c r="K105" s="8">
        <v>0</v>
      </c>
      <c r="L105" s="12">
        <v>0</v>
      </c>
      <c r="M105" s="11">
        <f t="shared" si="4"/>
        <v>0</v>
      </c>
      <c r="N105" s="13">
        <f t="shared" si="5"/>
        <v>27</v>
      </c>
      <c r="O105" s="11">
        <v>111.056</v>
      </c>
      <c r="P105" s="11">
        <v>3898618.26</v>
      </c>
      <c r="Q105" s="14">
        <v>2898626.3239999996</v>
      </c>
      <c r="R105" s="15">
        <f>32.81-32.81</f>
        <v>0</v>
      </c>
      <c r="S105" s="16"/>
      <c r="T105" s="16"/>
      <c r="V105" s="25"/>
      <c r="W105" s="25"/>
      <c r="X105" s="51">
        <v>27</v>
      </c>
      <c r="Y105" s="25">
        <v>0</v>
      </c>
    </row>
    <row r="106" spans="1:25" ht="15" x14ac:dyDescent="0.2">
      <c r="A106" s="128" t="s">
        <v>159</v>
      </c>
      <c r="B106" s="128" t="s">
        <v>156</v>
      </c>
      <c r="C106" s="129" t="s">
        <v>369</v>
      </c>
      <c r="D106" s="10">
        <v>59311360</v>
      </c>
      <c r="E106" s="10">
        <v>0</v>
      </c>
      <c r="F106" s="10">
        <f t="shared" si="3"/>
        <v>59311360</v>
      </c>
      <c r="G106" s="8">
        <v>18.417999999999999</v>
      </c>
      <c r="H106" s="11">
        <v>0</v>
      </c>
      <c r="I106" s="16">
        <v>0</v>
      </c>
      <c r="J106" s="11">
        <v>0.61499999999999999</v>
      </c>
      <c r="K106" s="8">
        <v>0</v>
      </c>
      <c r="L106" s="12">
        <v>7.5030000000000001</v>
      </c>
      <c r="M106" s="11">
        <f t="shared" si="4"/>
        <v>3.2631691466862338E-2</v>
      </c>
      <c r="N106" s="13">
        <f t="shared" si="5"/>
        <v>26.568631691466859</v>
      </c>
      <c r="O106" s="11">
        <v>40.726999999999997</v>
      </c>
      <c r="P106" s="11">
        <v>2534882.67</v>
      </c>
      <c r="Q106" s="14">
        <v>1323188.08152</v>
      </c>
      <c r="R106" s="15">
        <f>513.8+1421.63</f>
        <v>1935.43</v>
      </c>
      <c r="S106" s="16"/>
      <c r="T106" s="16"/>
      <c r="V106" s="25"/>
      <c r="W106" s="25"/>
      <c r="X106" s="51">
        <v>25.81</v>
      </c>
      <c r="Y106" s="25">
        <v>7.3920000000000003</v>
      </c>
    </row>
    <row r="107" spans="1:25" ht="15" x14ac:dyDescent="0.2">
      <c r="A107" s="82" t="s">
        <v>160</v>
      </c>
      <c r="B107" s="128" t="s">
        <v>161</v>
      </c>
      <c r="C107" s="129" t="s">
        <v>370</v>
      </c>
      <c r="D107" s="10">
        <f>40491660+196490090</f>
        <v>236981750</v>
      </c>
      <c r="E107" s="10">
        <v>0</v>
      </c>
      <c r="F107" s="10">
        <f t="shared" si="3"/>
        <v>236981750</v>
      </c>
      <c r="G107" s="8">
        <v>3.43</v>
      </c>
      <c r="H107" s="11">
        <v>0</v>
      </c>
      <c r="I107" s="16">
        <v>0</v>
      </c>
      <c r="J107" s="11">
        <v>2.1999999999999999E-2</v>
      </c>
      <c r="K107" s="8">
        <v>0</v>
      </c>
      <c r="L107" s="12">
        <v>0</v>
      </c>
      <c r="M107" s="11">
        <f t="shared" si="4"/>
        <v>4.0656717236664856E-2</v>
      </c>
      <c r="N107" s="13">
        <f t="shared" si="5"/>
        <v>3.4926567172366649</v>
      </c>
      <c r="O107" s="11">
        <v>10.974</v>
      </c>
      <c r="P107" s="11">
        <v>2681835.1800000002</v>
      </c>
      <c r="Q107" s="14">
        <v>1787848.9675</v>
      </c>
      <c r="R107" s="15">
        <f>4269.54-1.9+5369.74-2.48</f>
        <v>9634.9000000000015</v>
      </c>
      <c r="S107" s="16"/>
      <c r="T107" s="16"/>
      <c r="V107" s="25"/>
      <c r="W107" s="25"/>
      <c r="X107" s="51">
        <v>3.43</v>
      </c>
      <c r="Y107" s="25">
        <v>0</v>
      </c>
    </row>
    <row r="108" spans="1:25" ht="15" x14ac:dyDescent="0.2">
      <c r="A108" s="128" t="s">
        <v>162</v>
      </c>
      <c r="B108" s="128" t="s">
        <v>161</v>
      </c>
      <c r="C108" s="129" t="s">
        <v>371</v>
      </c>
      <c r="D108" s="10">
        <v>139160530</v>
      </c>
      <c r="E108" s="10">
        <v>0</v>
      </c>
      <c r="F108" s="10">
        <f t="shared" si="3"/>
        <v>139160530</v>
      </c>
      <c r="G108" s="8">
        <v>11.895</v>
      </c>
      <c r="H108" s="11">
        <v>0</v>
      </c>
      <c r="I108" s="16">
        <v>0</v>
      </c>
      <c r="J108" s="11">
        <v>0</v>
      </c>
      <c r="K108" s="8">
        <v>0</v>
      </c>
      <c r="L108" s="12">
        <v>2.5149999999999997</v>
      </c>
      <c r="M108" s="11">
        <f t="shared" si="4"/>
        <v>2.9921055920094584</v>
      </c>
      <c r="N108" s="13">
        <f t="shared" si="5"/>
        <v>17.402105592009459</v>
      </c>
      <c r="O108" s="11">
        <v>29.134</v>
      </c>
      <c r="P108" s="11">
        <v>4314634.43</v>
      </c>
      <c r="Q108" s="14">
        <v>2398943.0156499995</v>
      </c>
      <c r="R108" s="15">
        <f>416793-410</f>
        <v>416383</v>
      </c>
      <c r="S108" s="16"/>
      <c r="T108" s="16"/>
      <c r="V108" s="25"/>
      <c r="W108" s="25"/>
      <c r="X108" s="51">
        <v>11.895</v>
      </c>
      <c r="Y108" s="25">
        <v>0</v>
      </c>
    </row>
    <row r="109" spans="1:25" ht="15" x14ac:dyDescent="0.2">
      <c r="A109" s="128" t="s">
        <v>163</v>
      </c>
      <c r="B109" s="128" t="s">
        <v>161</v>
      </c>
      <c r="C109" s="129" t="s">
        <v>372</v>
      </c>
      <c r="D109" s="10">
        <v>2131574860</v>
      </c>
      <c r="E109" s="10">
        <v>0</v>
      </c>
      <c r="F109" s="10">
        <f t="shared" si="3"/>
        <v>2131574860</v>
      </c>
      <c r="G109" s="8">
        <v>25.213999999999999</v>
      </c>
      <c r="H109" s="11">
        <v>0</v>
      </c>
      <c r="I109" s="16">
        <v>0</v>
      </c>
      <c r="J109" s="11">
        <v>0</v>
      </c>
      <c r="K109" s="8">
        <v>0</v>
      </c>
      <c r="L109" s="12">
        <v>7.383</v>
      </c>
      <c r="M109" s="11">
        <f t="shared" si="4"/>
        <v>6.9832405510731166E-2</v>
      </c>
      <c r="N109" s="13">
        <f t="shared" si="5"/>
        <v>32.666832405510732</v>
      </c>
      <c r="O109" s="11">
        <v>90.785000000000011</v>
      </c>
      <c r="P109" s="11">
        <v>198902975.34</v>
      </c>
      <c r="Q109" s="14">
        <v>139770132.36996001</v>
      </c>
      <c r="R109" s="15">
        <f>192013-43160</f>
        <v>148853</v>
      </c>
      <c r="S109" s="16"/>
      <c r="T109" s="16"/>
      <c r="V109" s="25"/>
      <c r="W109" s="25"/>
      <c r="X109" s="51">
        <v>27</v>
      </c>
      <c r="Y109" s="25">
        <v>1.786</v>
      </c>
    </row>
    <row r="110" spans="1:25" ht="15" x14ac:dyDescent="0.2">
      <c r="A110" s="128" t="s">
        <v>164</v>
      </c>
      <c r="B110" s="128" t="s">
        <v>165</v>
      </c>
      <c r="C110" s="129" t="s">
        <v>373</v>
      </c>
      <c r="D110" s="10">
        <v>49427424</v>
      </c>
      <c r="E110" s="10">
        <v>0</v>
      </c>
      <c r="F110" s="10">
        <f t="shared" si="3"/>
        <v>49427424</v>
      </c>
      <c r="G110" s="8">
        <v>21.452999999999999</v>
      </c>
      <c r="H110" s="11">
        <v>0</v>
      </c>
      <c r="I110" s="16">
        <v>0</v>
      </c>
      <c r="J110" s="11">
        <v>0</v>
      </c>
      <c r="K110" s="8">
        <v>0</v>
      </c>
      <c r="L110" s="12">
        <v>1.4159999999999999</v>
      </c>
      <c r="M110" s="11">
        <f t="shared" si="4"/>
        <v>0</v>
      </c>
      <c r="N110" s="13">
        <f t="shared" si="5"/>
        <v>22.869</v>
      </c>
      <c r="O110" s="11">
        <v>32.155999999999999</v>
      </c>
      <c r="P110" s="11">
        <v>1685594.03</v>
      </c>
      <c r="Q110" s="14">
        <v>528998.82292800001</v>
      </c>
      <c r="R110" s="15">
        <v>0</v>
      </c>
      <c r="S110" s="16"/>
      <c r="T110" s="16"/>
      <c r="V110" s="25"/>
      <c r="W110" s="25"/>
      <c r="X110" s="51">
        <v>27</v>
      </c>
      <c r="Y110" s="25">
        <v>5.5469999999999997</v>
      </c>
    </row>
    <row r="111" spans="1:25" ht="15" x14ac:dyDescent="0.2">
      <c r="A111" s="6" t="s">
        <v>166</v>
      </c>
      <c r="B111" s="6" t="s">
        <v>167</v>
      </c>
      <c r="C111" s="7" t="s">
        <v>167</v>
      </c>
      <c r="D111" s="10">
        <v>426604795</v>
      </c>
      <c r="E111" s="10">
        <v>0</v>
      </c>
      <c r="F111" s="10">
        <f t="shared" si="3"/>
        <v>426604795</v>
      </c>
      <c r="G111" s="8">
        <v>21.515999999999998</v>
      </c>
      <c r="H111" s="11">
        <v>0</v>
      </c>
      <c r="I111" s="16">
        <v>0</v>
      </c>
      <c r="J111" s="11">
        <v>0.65100000000000002</v>
      </c>
      <c r="K111" s="8">
        <v>0</v>
      </c>
      <c r="L111" s="12">
        <v>4.4539999999999997</v>
      </c>
      <c r="M111" s="11">
        <f t="shared" si="4"/>
        <v>2.0685562148920526E-2</v>
      </c>
      <c r="N111" s="13">
        <f t="shared" si="5"/>
        <v>26.641685562148918</v>
      </c>
      <c r="O111" s="11">
        <v>42.253</v>
      </c>
      <c r="P111" s="11">
        <v>18851025.789999999</v>
      </c>
      <c r="Q111" s="14">
        <v>8846567.2407800015</v>
      </c>
      <c r="R111" s="15">
        <f>9747.09-922.53</f>
        <v>8824.56</v>
      </c>
      <c r="S111" s="16"/>
      <c r="T111" s="16"/>
      <c r="V111" s="25"/>
      <c r="W111" s="25"/>
      <c r="X111" s="51">
        <v>27</v>
      </c>
      <c r="Y111" s="25">
        <v>5.484</v>
      </c>
    </row>
    <row r="112" spans="1:25" ht="15" x14ac:dyDescent="0.2">
      <c r="A112" s="128" t="s">
        <v>168</v>
      </c>
      <c r="B112" s="128" t="s">
        <v>169</v>
      </c>
      <c r="C112" s="129" t="s">
        <v>169</v>
      </c>
      <c r="D112" s="10">
        <v>473928870</v>
      </c>
      <c r="E112" s="10">
        <v>0</v>
      </c>
      <c r="F112" s="10">
        <f t="shared" si="3"/>
        <v>473928870</v>
      </c>
      <c r="G112" s="8">
        <v>19.844999999999999</v>
      </c>
      <c r="H112" s="11">
        <v>0</v>
      </c>
      <c r="I112" s="16">
        <v>0</v>
      </c>
      <c r="J112" s="11">
        <v>0</v>
      </c>
      <c r="K112" s="8">
        <v>0</v>
      </c>
      <c r="L112" s="12">
        <v>0</v>
      </c>
      <c r="M112" s="11">
        <f t="shared" si="4"/>
        <v>3.5815669975960744E-2</v>
      </c>
      <c r="N112" s="13">
        <f t="shared" si="5"/>
        <v>19.880815669975959</v>
      </c>
      <c r="O112" s="11">
        <v>50.427</v>
      </c>
      <c r="P112" s="11">
        <v>24865238.93</v>
      </c>
      <c r="Q112" s="14">
        <v>14493580.33485</v>
      </c>
      <c r="R112" s="15">
        <f>15422.25-80.52+1640.92-8.57</f>
        <v>16974.080000000002</v>
      </c>
      <c r="S112" s="16"/>
      <c r="T112" s="16"/>
      <c r="V112" s="25"/>
      <c r="W112" s="25"/>
      <c r="X112" s="51">
        <v>27</v>
      </c>
      <c r="Y112" s="25">
        <v>7.1549999999999994</v>
      </c>
    </row>
    <row r="113" spans="1:25" ht="15" x14ac:dyDescent="0.2">
      <c r="A113" s="128" t="s">
        <v>170</v>
      </c>
      <c r="B113" s="128" t="s">
        <v>169</v>
      </c>
      <c r="C113" s="129" t="s">
        <v>75</v>
      </c>
      <c r="D113" s="10">
        <v>65373210</v>
      </c>
      <c r="E113" s="10">
        <v>0</v>
      </c>
      <c r="F113" s="10">
        <f t="shared" si="3"/>
        <v>65373210</v>
      </c>
      <c r="G113" s="8">
        <v>21.882999999999999</v>
      </c>
      <c r="H113" s="11">
        <v>0</v>
      </c>
      <c r="I113" s="16">
        <v>0</v>
      </c>
      <c r="J113" s="11">
        <v>0</v>
      </c>
      <c r="K113" s="8">
        <v>0</v>
      </c>
      <c r="L113" s="12">
        <v>5.9660000000000002</v>
      </c>
      <c r="M113" s="11">
        <f t="shared" si="4"/>
        <v>0.12032528309379331</v>
      </c>
      <c r="N113" s="13">
        <f t="shared" si="5"/>
        <v>27.969325283093795</v>
      </c>
      <c r="O113" s="11">
        <v>103.06899999999999</v>
      </c>
      <c r="P113" s="11">
        <v>6850631.6900000004</v>
      </c>
      <c r="Q113" s="14">
        <v>5307415.8655700004</v>
      </c>
      <c r="R113" s="15">
        <f>6826.96-120.2+1180.07-20.78</f>
        <v>7866.05</v>
      </c>
      <c r="S113" s="16"/>
      <c r="T113" s="16"/>
      <c r="V113" s="25"/>
      <c r="W113" s="25"/>
      <c r="X113" s="51">
        <v>27</v>
      </c>
      <c r="Y113" s="25">
        <v>5.117</v>
      </c>
    </row>
    <row r="114" spans="1:25" ht="15" x14ac:dyDescent="0.2">
      <c r="A114" s="128" t="s">
        <v>171</v>
      </c>
      <c r="B114" s="128" t="s">
        <v>169</v>
      </c>
      <c r="C114" s="129" t="s">
        <v>374</v>
      </c>
      <c r="D114" s="10">
        <v>52745450</v>
      </c>
      <c r="E114" s="10">
        <v>0</v>
      </c>
      <c r="F114" s="10">
        <f t="shared" si="3"/>
        <v>52745450</v>
      </c>
      <c r="G114" s="8">
        <v>16.658000000000001</v>
      </c>
      <c r="H114" s="11">
        <v>0</v>
      </c>
      <c r="I114" s="16">
        <v>0</v>
      </c>
      <c r="J114" s="11">
        <v>0</v>
      </c>
      <c r="K114" s="8">
        <v>0</v>
      </c>
      <c r="L114" s="12">
        <v>6.3290000000000006</v>
      </c>
      <c r="M114" s="11">
        <f t="shared" si="4"/>
        <v>0.22651906467761676</v>
      </c>
      <c r="N114" s="13">
        <f t="shared" si="5"/>
        <v>23.213519064677619</v>
      </c>
      <c r="O114" s="11">
        <v>94.657000000000011</v>
      </c>
      <c r="P114" s="11">
        <v>5045322.49</v>
      </c>
      <c r="Q114" s="14">
        <v>4114105.4639000003</v>
      </c>
      <c r="R114" s="15">
        <f>4459.44-904.44+10527.26-2134.41</f>
        <v>11947.85</v>
      </c>
      <c r="S114" s="16"/>
      <c r="T114" s="16"/>
      <c r="V114" s="25"/>
      <c r="W114" s="25"/>
      <c r="X114" s="51">
        <v>27</v>
      </c>
      <c r="Y114" s="25">
        <v>10.342000000000001</v>
      </c>
    </row>
    <row r="115" spans="1:25" ht="15" x14ac:dyDescent="0.2">
      <c r="A115" s="6" t="s">
        <v>172</v>
      </c>
      <c r="B115" s="6" t="s">
        <v>173</v>
      </c>
      <c r="C115" s="7" t="s">
        <v>173</v>
      </c>
      <c r="D115" s="10">
        <f>635739147+5653130+8576250</f>
        <v>649968527</v>
      </c>
      <c r="E115" s="10">
        <v>-4787825</v>
      </c>
      <c r="F115" s="10">
        <f t="shared" si="3"/>
        <v>645180702</v>
      </c>
      <c r="G115" s="8">
        <v>22.966999999999999</v>
      </c>
      <c r="H115" s="11">
        <v>0</v>
      </c>
      <c r="I115" s="16">
        <v>0</v>
      </c>
      <c r="J115" s="11">
        <v>0</v>
      </c>
      <c r="K115" s="8">
        <v>0</v>
      </c>
      <c r="L115" s="12">
        <v>0</v>
      </c>
      <c r="M115" s="11">
        <f t="shared" si="4"/>
        <v>4.7379594438024586E-2</v>
      </c>
      <c r="N115" s="13">
        <f t="shared" si="5"/>
        <v>23.014379594438022</v>
      </c>
      <c r="O115" s="11">
        <v>84.804000000000002</v>
      </c>
      <c r="P115" s="11">
        <v>56293091.100000001</v>
      </c>
      <c r="Q115" s="14">
        <v>39895747.667166002</v>
      </c>
      <c r="R115" s="15">
        <f>23640.12+3728.58+73+2709.62+417.08</f>
        <v>30568.399999999998</v>
      </c>
      <c r="S115" s="16"/>
      <c r="T115" s="16"/>
      <c r="V115" s="25"/>
      <c r="W115" s="25"/>
      <c r="X115" s="51">
        <v>27</v>
      </c>
      <c r="Y115" s="25">
        <v>4.0330000000000004</v>
      </c>
    </row>
    <row r="116" spans="1:25" ht="15" x14ac:dyDescent="0.2">
      <c r="A116" s="6" t="s">
        <v>174</v>
      </c>
      <c r="B116" s="6" t="s">
        <v>173</v>
      </c>
      <c r="C116" s="7" t="s">
        <v>375</v>
      </c>
      <c r="D116" s="10">
        <v>25864700</v>
      </c>
      <c r="E116" s="10">
        <v>0</v>
      </c>
      <c r="F116" s="10">
        <f t="shared" si="3"/>
        <v>25864700</v>
      </c>
      <c r="G116" s="8">
        <v>20.899000000000001</v>
      </c>
      <c r="H116" s="11">
        <v>0</v>
      </c>
      <c r="I116" s="16">
        <v>0</v>
      </c>
      <c r="J116" s="11">
        <v>0</v>
      </c>
      <c r="K116" s="8">
        <v>0</v>
      </c>
      <c r="L116" s="12">
        <v>9.5879999999999992</v>
      </c>
      <c r="M116" s="11">
        <f t="shared" si="4"/>
        <v>0</v>
      </c>
      <c r="N116" s="13">
        <f t="shared" si="5"/>
        <v>30.487000000000002</v>
      </c>
      <c r="O116" s="11">
        <v>147.84900000000002</v>
      </c>
      <c r="P116" s="11">
        <v>3933261.29</v>
      </c>
      <c r="Q116" s="14">
        <v>3283524.0946999998</v>
      </c>
      <c r="R116" s="15">
        <v>0</v>
      </c>
      <c r="S116" s="16"/>
      <c r="T116" s="16"/>
      <c r="V116" s="25"/>
      <c r="W116" s="25"/>
      <c r="X116" s="51">
        <v>27</v>
      </c>
      <c r="Y116" s="25">
        <v>6.101</v>
      </c>
    </row>
    <row r="117" spans="1:25" ht="15" x14ac:dyDescent="0.2">
      <c r="A117" s="82" t="s">
        <v>175</v>
      </c>
      <c r="B117" s="128" t="s">
        <v>176</v>
      </c>
      <c r="C117" s="129" t="s">
        <v>376</v>
      </c>
      <c r="D117" s="10">
        <f>265545640+1528193</f>
        <v>267073833</v>
      </c>
      <c r="E117" s="10">
        <v>0</v>
      </c>
      <c r="F117" s="10">
        <f t="shared" si="3"/>
        <v>267073833</v>
      </c>
      <c r="G117" s="8">
        <v>27</v>
      </c>
      <c r="H117" s="11">
        <v>0</v>
      </c>
      <c r="I117" s="16">
        <v>0</v>
      </c>
      <c r="J117" s="11">
        <v>0</v>
      </c>
      <c r="K117" s="8">
        <v>0</v>
      </c>
      <c r="L117" s="12">
        <v>1.498</v>
      </c>
      <c r="M117" s="11">
        <f t="shared" si="4"/>
        <v>1.1468738683957857E-2</v>
      </c>
      <c r="N117" s="13">
        <f t="shared" si="5"/>
        <v>28.50946873868396</v>
      </c>
      <c r="O117" s="11">
        <v>49.451000000000001</v>
      </c>
      <c r="P117" s="11">
        <v>13888900.859999999</v>
      </c>
      <c r="Q117" s="14">
        <v>5996055.1689999998</v>
      </c>
      <c r="R117" s="15">
        <f>1730+576+757</f>
        <v>3063</v>
      </c>
      <c r="S117" s="16"/>
      <c r="T117" s="16"/>
      <c r="V117" s="25"/>
      <c r="W117" s="25"/>
      <c r="X117" s="51">
        <v>27</v>
      </c>
      <c r="Y117" s="25">
        <v>0</v>
      </c>
    </row>
    <row r="118" spans="1:25" ht="15" x14ac:dyDescent="0.2">
      <c r="A118" s="128" t="s">
        <v>177</v>
      </c>
      <c r="B118" s="128" t="s">
        <v>176</v>
      </c>
      <c r="C118" s="129" t="s">
        <v>377</v>
      </c>
      <c r="D118" s="10">
        <v>310217030</v>
      </c>
      <c r="E118" s="10">
        <v>0</v>
      </c>
      <c r="F118" s="10">
        <f t="shared" si="3"/>
        <v>310217030</v>
      </c>
      <c r="G118" s="8">
        <v>27</v>
      </c>
      <c r="H118" s="11">
        <v>0</v>
      </c>
      <c r="I118" s="16">
        <v>0</v>
      </c>
      <c r="J118" s="11">
        <v>0</v>
      </c>
      <c r="K118" s="8">
        <v>0</v>
      </c>
      <c r="L118" s="12">
        <v>1.7730000000000001</v>
      </c>
      <c r="M118" s="11">
        <f t="shared" si="4"/>
        <v>8.4492460004532949E-2</v>
      </c>
      <c r="N118" s="13">
        <f t="shared" si="5"/>
        <v>28.857492460004533</v>
      </c>
      <c r="O118" s="11">
        <v>97.197000000000003</v>
      </c>
      <c r="P118" s="11">
        <v>30829054.399999999</v>
      </c>
      <c r="Q118" s="14">
        <v>21776174.379999999</v>
      </c>
      <c r="R118" s="15">
        <f>17803+1236+7172</f>
        <v>26211</v>
      </c>
      <c r="S118" s="16"/>
      <c r="T118" s="16"/>
      <c r="V118" s="25"/>
      <c r="W118" s="25"/>
      <c r="X118" s="51">
        <v>27</v>
      </c>
      <c r="Y118" s="25">
        <v>0</v>
      </c>
    </row>
    <row r="119" spans="1:25" ht="15" x14ac:dyDescent="0.2">
      <c r="A119" s="82" t="s">
        <v>178</v>
      </c>
      <c r="B119" s="128" t="s">
        <v>176</v>
      </c>
      <c r="C119" s="129" t="s">
        <v>378</v>
      </c>
      <c r="D119" s="10">
        <f>86070+31385460</f>
        <v>31471530</v>
      </c>
      <c r="E119" s="10">
        <v>0</v>
      </c>
      <c r="F119" s="10">
        <f t="shared" si="3"/>
        <v>31471530</v>
      </c>
      <c r="G119" s="8">
        <v>27</v>
      </c>
      <c r="H119" s="11">
        <v>0</v>
      </c>
      <c r="I119" s="16">
        <v>0</v>
      </c>
      <c r="J119" s="11">
        <v>0.30599999999999999</v>
      </c>
      <c r="K119" s="8">
        <v>0</v>
      </c>
      <c r="L119" s="12">
        <v>0</v>
      </c>
      <c r="M119" s="11">
        <f t="shared" si="4"/>
        <v>0.10280815708673841</v>
      </c>
      <c r="N119" s="13">
        <f t="shared" si="5"/>
        <v>27.408808157086739</v>
      </c>
      <c r="O119" s="11">
        <v>101.373</v>
      </c>
      <c r="P119" s="11">
        <v>3234378.64</v>
      </c>
      <c r="Q119" s="14">
        <v>2340644.87</v>
      </c>
      <c r="R119" s="15">
        <f>7.53+3170+58</f>
        <v>3235.53</v>
      </c>
      <c r="S119" s="16"/>
      <c r="T119" s="16"/>
      <c r="V119" s="25"/>
      <c r="W119" s="25"/>
      <c r="X119" s="51">
        <v>27</v>
      </c>
      <c r="Y119" s="25">
        <v>0</v>
      </c>
    </row>
    <row r="120" spans="1:25" ht="15" x14ac:dyDescent="0.2">
      <c r="A120" s="82" t="s">
        <v>179</v>
      </c>
      <c r="B120" s="128" t="s">
        <v>176</v>
      </c>
      <c r="C120" s="129" t="s">
        <v>379</v>
      </c>
      <c r="D120" s="10">
        <f>157906040+65950920+6418160</f>
        <v>230275120</v>
      </c>
      <c r="E120" s="10">
        <v>0</v>
      </c>
      <c r="F120" s="10">
        <f t="shared" si="3"/>
        <v>230275120</v>
      </c>
      <c r="G120" s="8">
        <v>24.545000000000002</v>
      </c>
      <c r="H120" s="11">
        <v>0</v>
      </c>
      <c r="I120" s="16">
        <v>0</v>
      </c>
      <c r="J120" s="11">
        <v>0</v>
      </c>
      <c r="K120" s="8">
        <v>0</v>
      </c>
      <c r="L120" s="12">
        <v>0</v>
      </c>
      <c r="M120" s="11">
        <f t="shared" si="4"/>
        <v>1.1106801290560612E-2</v>
      </c>
      <c r="N120" s="13">
        <f t="shared" si="5"/>
        <v>24.556106801290561</v>
      </c>
      <c r="O120" s="11">
        <v>33.512999999999998</v>
      </c>
      <c r="P120" s="11">
        <v>8033464.8300000001</v>
      </c>
      <c r="Q120" s="14">
        <v>2065119.4095999994</v>
      </c>
      <c r="R120" s="15">
        <f>2248.62+204+91+14</f>
        <v>2557.62</v>
      </c>
      <c r="S120" s="16"/>
      <c r="T120" s="16"/>
      <c r="V120" s="25"/>
      <c r="W120" s="25"/>
      <c r="X120" s="51">
        <v>24.545000000000002</v>
      </c>
      <c r="Y120" s="25">
        <v>0</v>
      </c>
    </row>
    <row r="121" spans="1:25" ht="15" x14ac:dyDescent="0.2">
      <c r="A121" s="6" t="s">
        <v>180</v>
      </c>
      <c r="B121" s="6" t="s">
        <v>181</v>
      </c>
      <c r="C121" s="7" t="s">
        <v>380</v>
      </c>
      <c r="D121" s="10">
        <v>82293908</v>
      </c>
      <c r="E121" s="10">
        <v>-2240593</v>
      </c>
      <c r="F121" s="10">
        <f t="shared" si="3"/>
        <v>80053315</v>
      </c>
      <c r="G121" s="8">
        <v>25.417000000000002</v>
      </c>
      <c r="H121" s="11">
        <v>0</v>
      </c>
      <c r="I121" s="16">
        <v>0</v>
      </c>
      <c r="J121" s="11">
        <v>0</v>
      </c>
      <c r="K121" s="8">
        <v>0</v>
      </c>
      <c r="L121" s="12">
        <v>0</v>
      </c>
      <c r="M121" s="11">
        <f t="shared" si="4"/>
        <v>3.002998689061159E-3</v>
      </c>
      <c r="N121" s="13">
        <f t="shared" si="5"/>
        <v>25.420002998689064</v>
      </c>
      <c r="O121" s="11">
        <v>177.50299999999999</v>
      </c>
      <c r="P121" s="11">
        <v>14581070.25</v>
      </c>
      <c r="Q121" s="14">
        <v>12175026.692645</v>
      </c>
      <c r="R121" s="15">
        <v>240.4</v>
      </c>
      <c r="S121" s="16"/>
      <c r="T121" s="16"/>
      <c r="V121" s="25"/>
      <c r="W121" s="25"/>
      <c r="X121" s="51">
        <v>27</v>
      </c>
      <c r="Y121" s="25">
        <v>1.5830000000000002</v>
      </c>
    </row>
    <row r="122" spans="1:25" ht="15" x14ac:dyDescent="0.2">
      <c r="A122" s="6" t="s">
        <v>182</v>
      </c>
      <c r="B122" s="6" t="s">
        <v>181</v>
      </c>
      <c r="C122" s="7" t="s">
        <v>381</v>
      </c>
      <c r="D122" s="10">
        <v>39584034</v>
      </c>
      <c r="E122" s="10">
        <v>0</v>
      </c>
      <c r="F122" s="10">
        <f t="shared" si="3"/>
        <v>39584034</v>
      </c>
      <c r="G122" s="8">
        <v>26.923999999999999</v>
      </c>
      <c r="H122" s="11">
        <v>0</v>
      </c>
      <c r="I122" s="16">
        <v>0</v>
      </c>
      <c r="J122" s="11">
        <v>0</v>
      </c>
      <c r="K122" s="8">
        <v>0</v>
      </c>
      <c r="L122" s="12">
        <v>0</v>
      </c>
      <c r="M122" s="11">
        <f t="shared" si="4"/>
        <v>1.1790107092167514E-3</v>
      </c>
      <c r="N122" s="13">
        <f t="shared" si="5"/>
        <v>26.925179010709215</v>
      </c>
      <c r="O122" s="11">
        <v>206.417</v>
      </c>
      <c r="P122" s="11">
        <v>8374685.3700000001</v>
      </c>
      <c r="Q122" s="14">
        <v>7105048.4985840004</v>
      </c>
      <c r="R122" s="15">
        <v>46.67</v>
      </c>
      <c r="S122" s="16"/>
      <c r="T122" s="16"/>
      <c r="V122" s="25"/>
      <c r="W122" s="25"/>
      <c r="X122" s="51">
        <v>27</v>
      </c>
      <c r="Y122" s="25">
        <v>7.6000000000000068E-2</v>
      </c>
    </row>
    <row r="123" spans="1:25" ht="15" x14ac:dyDescent="0.2">
      <c r="A123" s="82" t="s">
        <v>183</v>
      </c>
      <c r="B123" s="128" t="s">
        <v>181</v>
      </c>
      <c r="C123" s="129" t="s">
        <v>382</v>
      </c>
      <c r="D123" s="10">
        <v>1173156</v>
      </c>
      <c r="E123" s="10">
        <v>0</v>
      </c>
      <c r="F123" s="10">
        <f t="shared" si="3"/>
        <v>1173156</v>
      </c>
      <c r="G123" s="8">
        <v>22.728999999999999</v>
      </c>
      <c r="H123" s="11">
        <v>0</v>
      </c>
      <c r="I123" s="16">
        <v>0</v>
      </c>
      <c r="J123" s="11">
        <v>0</v>
      </c>
      <c r="K123" s="8">
        <v>0</v>
      </c>
      <c r="L123" s="12">
        <v>0</v>
      </c>
      <c r="M123" s="11">
        <f t="shared" si="4"/>
        <v>0</v>
      </c>
      <c r="N123" s="13">
        <f t="shared" si="5"/>
        <v>22.728999999999999</v>
      </c>
      <c r="O123" s="11">
        <v>2332.8310000000001</v>
      </c>
      <c r="P123" s="11">
        <v>2782185.19</v>
      </c>
      <c r="Q123" s="14">
        <v>2710110.547276</v>
      </c>
      <c r="R123" s="15"/>
      <c r="S123" s="16"/>
      <c r="T123" s="16"/>
      <c r="V123" s="25"/>
      <c r="W123" s="25"/>
      <c r="X123" s="51">
        <v>27</v>
      </c>
      <c r="Y123" s="25">
        <v>4.2709999999999999</v>
      </c>
    </row>
    <row r="124" spans="1:25" ht="15" x14ac:dyDescent="0.2">
      <c r="A124" s="82" t="s">
        <v>184</v>
      </c>
      <c r="B124" s="128" t="s">
        <v>181</v>
      </c>
      <c r="C124" s="129" t="s">
        <v>383</v>
      </c>
      <c r="D124" s="10">
        <f>9386321+1689758</f>
        <v>11076079</v>
      </c>
      <c r="E124" s="10">
        <v>0</v>
      </c>
      <c r="F124" s="10">
        <f t="shared" si="3"/>
        <v>11076079</v>
      </c>
      <c r="G124" s="8">
        <v>27</v>
      </c>
      <c r="H124" s="11">
        <v>0</v>
      </c>
      <c r="I124" s="16">
        <v>0</v>
      </c>
      <c r="J124" s="11">
        <v>0</v>
      </c>
      <c r="K124" s="8">
        <v>0</v>
      </c>
      <c r="L124" s="12">
        <v>0</v>
      </c>
      <c r="M124" s="11">
        <f t="shared" si="4"/>
        <v>0</v>
      </c>
      <c r="N124" s="13">
        <f t="shared" si="5"/>
        <v>27</v>
      </c>
      <c r="O124" s="11">
        <v>390.75799999999998</v>
      </c>
      <c r="P124" s="11">
        <v>4439734.5199999996</v>
      </c>
      <c r="Q124" s="14">
        <v>4029013.5369999995</v>
      </c>
      <c r="R124" s="15">
        <v>0</v>
      </c>
      <c r="S124" s="16"/>
      <c r="T124" s="16"/>
      <c r="V124" s="25"/>
      <c r="W124" s="25"/>
      <c r="X124" s="51">
        <v>27</v>
      </c>
      <c r="Y124" s="25">
        <v>0</v>
      </c>
    </row>
    <row r="125" spans="1:25" ht="15" x14ac:dyDescent="0.2">
      <c r="A125" s="128" t="s">
        <v>185</v>
      </c>
      <c r="B125" s="128" t="s">
        <v>181</v>
      </c>
      <c r="C125" s="129" t="s">
        <v>384</v>
      </c>
      <c r="D125" s="10">
        <v>8587116</v>
      </c>
      <c r="E125" s="10">
        <v>0</v>
      </c>
      <c r="F125" s="10">
        <f t="shared" si="3"/>
        <v>8587116</v>
      </c>
      <c r="G125" s="8">
        <v>27</v>
      </c>
      <c r="H125" s="11">
        <v>0</v>
      </c>
      <c r="I125" s="16">
        <v>0</v>
      </c>
      <c r="J125" s="11">
        <v>0</v>
      </c>
      <c r="K125" s="8">
        <v>0</v>
      </c>
      <c r="L125" s="12">
        <v>0</v>
      </c>
      <c r="M125" s="11">
        <f t="shared" si="4"/>
        <v>2.2475531948095261E-4</v>
      </c>
      <c r="N125" s="13">
        <f t="shared" si="5"/>
        <v>27.000224755319479</v>
      </c>
      <c r="O125" s="11">
        <v>373.363</v>
      </c>
      <c r="P125" s="11">
        <v>3248382.39</v>
      </c>
      <c r="Q125" s="14">
        <v>2974257.2680000002</v>
      </c>
      <c r="R125" s="15">
        <v>1.93</v>
      </c>
      <c r="S125" s="16"/>
      <c r="T125" s="16"/>
      <c r="V125" s="25"/>
      <c r="W125" s="25"/>
      <c r="X125" s="51">
        <v>27</v>
      </c>
      <c r="Y125" s="25">
        <v>0</v>
      </c>
    </row>
    <row r="126" spans="1:25" ht="15" x14ac:dyDescent="0.2">
      <c r="A126" s="6" t="s">
        <v>186</v>
      </c>
      <c r="B126" s="6" t="s">
        <v>181</v>
      </c>
      <c r="C126" s="7" t="s">
        <v>385</v>
      </c>
      <c r="D126" s="10">
        <v>20076645</v>
      </c>
      <c r="E126" s="10">
        <v>-663468</v>
      </c>
      <c r="F126" s="10">
        <f t="shared" si="3"/>
        <v>19413177</v>
      </c>
      <c r="G126" s="8">
        <v>22.997</v>
      </c>
      <c r="H126" s="11">
        <v>0</v>
      </c>
      <c r="I126" s="16">
        <v>0</v>
      </c>
      <c r="J126" s="11">
        <v>0</v>
      </c>
      <c r="K126" s="8">
        <v>0</v>
      </c>
      <c r="L126" s="12">
        <v>0.81700000000000006</v>
      </c>
      <c r="M126" s="11">
        <f t="shared" si="4"/>
        <v>0</v>
      </c>
      <c r="N126" s="13">
        <f t="shared" si="5"/>
        <v>23.814</v>
      </c>
      <c r="O126" s="11">
        <v>204.53800000000001</v>
      </c>
      <c r="P126" s="11">
        <v>4058483.98</v>
      </c>
      <c r="Q126" s="14">
        <v>3524290.8885310004</v>
      </c>
      <c r="R126" s="15">
        <v>0</v>
      </c>
      <c r="S126" s="16"/>
      <c r="T126" s="16"/>
      <c r="V126" s="25"/>
      <c r="W126" s="25"/>
      <c r="X126" s="51">
        <v>27</v>
      </c>
      <c r="Y126" s="25">
        <v>4.0030000000000001</v>
      </c>
    </row>
    <row r="127" spans="1:25" ht="15" x14ac:dyDescent="0.2">
      <c r="A127" s="128" t="s">
        <v>187</v>
      </c>
      <c r="B127" s="128" t="s">
        <v>188</v>
      </c>
      <c r="C127" s="129" t="s">
        <v>188</v>
      </c>
      <c r="D127" s="10">
        <v>8576140</v>
      </c>
      <c r="E127" s="10">
        <v>0</v>
      </c>
      <c r="F127" s="10">
        <f t="shared" si="3"/>
        <v>8576140</v>
      </c>
      <c r="G127" s="8">
        <v>19.931000000000001</v>
      </c>
      <c r="H127" s="11">
        <v>0</v>
      </c>
      <c r="I127" s="16">
        <v>0</v>
      </c>
      <c r="J127" s="11">
        <v>0</v>
      </c>
      <c r="K127" s="8">
        <v>0</v>
      </c>
      <c r="L127" s="12">
        <v>18.073</v>
      </c>
      <c r="M127" s="11">
        <f t="shared" si="4"/>
        <v>0.50052471158353284</v>
      </c>
      <c r="N127" s="13">
        <f t="shared" si="5"/>
        <v>38.504524711583535</v>
      </c>
      <c r="O127" s="11">
        <v>361.32299999999998</v>
      </c>
      <c r="P127" s="11">
        <v>3192621.38</v>
      </c>
      <c r="Q127" s="14">
        <v>2927824.83366</v>
      </c>
      <c r="R127" s="15">
        <f>2709.62-1.96+417.08-0.3+2579.12-1836.65+1060.58-755.25+418.03-297.7</f>
        <v>4292.57</v>
      </c>
      <c r="S127" s="16"/>
      <c r="T127" s="16"/>
      <c r="V127" s="25"/>
      <c r="W127" s="25"/>
      <c r="X127" s="51">
        <v>27</v>
      </c>
      <c r="Y127" s="25">
        <v>7.0690000000000008</v>
      </c>
    </row>
    <row r="128" spans="1:25" ht="15" x14ac:dyDescent="0.2">
      <c r="A128" s="6" t="s">
        <v>189</v>
      </c>
      <c r="B128" s="6" t="s">
        <v>188</v>
      </c>
      <c r="C128" s="7" t="s">
        <v>386</v>
      </c>
      <c r="D128" s="10">
        <v>127163600</v>
      </c>
      <c r="E128" s="10">
        <v>0</v>
      </c>
      <c r="F128" s="10">
        <f t="shared" si="3"/>
        <v>127163600</v>
      </c>
      <c r="G128" s="8">
        <v>13.928000000000001</v>
      </c>
      <c r="H128" s="11">
        <v>0</v>
      </c>
      <c r="I128" s="16">
        <v>0</v>
      </c>
      <c r="J128" s="11">
        <v>0</v>
      </c>
      <c r="K128" s="8">
        <v>0</v>
      </c>
      <c r="L128" s="12">
        <v>4.0609999999999999</v>
      </c>
      <c r="M128" s="11">
        <f t="shared" si="4"/>
        <v>3.4057072935965951E-2</v>
      </c>
      <c r="N128" s="13">
        <f t="shared" si="5"/>
        <v>18.023057072935966</v>
      </c>
      <c r="O128" s="11">
        <v>32.975999999999999</v>
      </c>
      <c r="P128" s="11">
        <v>4323536.71</v>
      </c>
      <c r="Q128" s="14">
        <v>2422251.6291999999</v>
      </c>
      <c r="R128" s="15">
        <f>2122.53-1.17+1000.23-0.55+1210.44-0.66</f>
        <v>4330.82</v>
      </c>
      <c r="S128" s="16"/>
      <c r="T128" s="16"/>
      <c r="V128" s="25"/>
      <c r="W128" s="25"/>
      <c r="X128" s="51">
        <v>21.643000000000001</v>
      </c>
      <c r="Y128" s="25">
        <v>7.7149999999999999</v>
      </c>
    </row>
    <row r="129" spans="1:25" ht="15" x14ac:dyDescent="0.2">
      <c r="A129" s="6" t="s">
        <v>190</v>
      </c>
      <c r="B129" s="6" t="s">
        <v>191</v>
      </c>
      <c r="C129" s="7" t="s">
        <v>387</v>
      </c>
      <c r="D129" s="10">
        <v>181500102</v>
      </c>
      <c r="E129" s="10">
        <v>0</v>
      </c>
      <c r="F129" s="10">
        <f t="shared" si="3"/>
        <v>181500102</v>
      </c>
      <c r="G129" s="8">
        <v>18.661999999999999</v>
      </c>
      <c r="H129" s="11">
        <v>0</v>
      </c>
      <c r="I129" s="16">
        <v>0</v>
      </c>
      <c r="J129" s="11">
        <v>0</v>
      </c>
      <c r="K129" s="8">
        <v>0</v>
      </c>
      <c r="L129" s="12">
        <v>3.0309999999999997</v>
      </c>
      <c r="M129" s="11">
        <f t="shared" si="4"/>
        <v>5.7154237852714812E-2</v>
      </c>
      <c r="N129" s="13">
        <f t="shared" si="5"/>
        <v>21.750154237852712</v>
      </c>
      <c r="O129" s="11">
        <v>44.707999999999998</v>
      </c>
      <c r="P129" s="11">
        <v>8390176.8100000005</v>
      </c>
      <c r="Q129" s="14">
        <v>4727325.3664760003</v>
      </c>
      <c r="R129" s="15">
        <v>10373.5</v>
      </c>
      <c r="S129" s="16"/>
      <c r="T129" s="16"/>
      <c r="V129" s="25"/>
      <c r="W129" s="25"/>
      <c r="X129" s="51">
        <v>27</v>
      </c>
      <c r="Y129" s="25">
        <v>8.3379999999999992</v>
      </c>
    </row>
    <row r="130" spans="1:25" ht="15" x14ac:dyDescent="0.2">
      <c r="A130" s="6" t="s">
        <v>192</v>
      </c>
      <c r="B130" s="6" t="s">
        <v>191</v>
      </c>
      <c r="C130" s="7" t="s">
        <v>191</v>
      </c>
      <c r="D130" s="10">
        <v>388585649</v>
      </c>
      <c r="E130" s="10">
        <v>0</v>
      </c>
      <c r="F130" s="10">
        <f t="shared" si="3"/>
        <v>388585649</v>
      </c>
      <c r="G130" s="8">
        <v>12.173</v>
      </c>
      <c r="H130" s="11">
        <v>0</v>
      </c>
      <c r="I130" s="16">
        <v>0</v>
      </c>
      <c r="J130" s="11">
        <v>1.4179999999999999</v>
      </c>
      <c r="K130" s="8">
        <v>0</v>
      </c>
      <c r="L130" s="12">
        <v>0.53300000000000003</v>
      </c>
      <c r="M130" s="11">
        <f t="shared" si="4"/>
        <v>0.11602795964294606</v>
      </c>
      <c r="N130" s="13">
        <f t="shared" si="5"/>
        <v>14.240027959642944</v>
      </c>
      <c r="O130" s="11">
        <v>15.114000000000001</v>
      </c>
      <c r="P130" s="11">
        <v>6538305.9500000002</v>
      </c>
      <c r="Q130" s="14">
        <v>1142810.2247230001</v>
      </c>
      <c r="R130" s="15">
        <v>45086.8</v>
      </c>
      <c r="S130" s="16"/>
      <c r="T130" s="16"/>
      <c r="V130" s="25"/>
      <c r="W130" s="25"/>
      <c r="X130" s="51">
        <v>12.173</v>
      </c>
      <c r="Y130" s="25">
        <v>0</v>
      </c>
    </row>
    <row r="131" spans="1:25" ht="15" x14ac:dyDescent="0.2">
      <c r="A131" s="82" t="s">
        <v>193</v>
      </c>
      <c r="B131" s="128" t="s">
        <v>194</v>
      </c>
      <c r="C131" s="129" t="s">
        <v>388</v>
      </c>
      <c r="D131" s="10">
        <f>73286940+6816070+117280</f>
        <v>80220290</v>
      </c>
      <c r="E131" s="10">
        <v>0</v>
      </c>
      <c r="F131" s="10">
        <f t="shared" ref="F131:F179" si="6">D131+E131</f>
        <v>80220290</v>
      </c>
      <c r="G131" s="8">
        <v>27</v>
      </c>
      <c r="H131" s="11">
        <v>0</v>
      </c>
      <c r="I131" s="16">
        <v>0</v>
      </c>
      <c r="J131" s="11">
        <v>0</v>
      </c>
      <c r="K131" s="8">
        <v>0</v>
      </c>
      <c r="L131" s="12">
        <v>5.5830000000000002</v>
      </c>
      <c r="M131" s="11">
        <f t="shared" ref="M131:M179" si="7">IFERROR((R131/F131)*1000,0)</f>
        <v>5.0697897003364114E-4</v>
      </c>
      <c r="N131" s="13">
        <f t="shared" ref="N131:N179" si="8">SUM(G131:M131)</f>
        <v>32.583506978970036</v>
      </c>
      <c r="O131" s="11">
        <v>74.815000000000012</v>
      </c>
      <c r="P131" s="11">
        <v>6217613.4000000004</v>
      </c>
      <c r="Q131" s="14">
        <v>3835737.08</v>
      </c>
      <c r="R131" s="15">
        <f>40.67</f>
        <v>40.67</v>
      </c>
      <c r="S131" s="16"/>
      <c r="T131" s="16"/>
      <c r="V131" s="25"/>
      <c r="W131" s="25"/>
      <c r="X131" s="51">
        <v>27</v>
      </c>
      <c r="Y131" s="25">
        <v>0</v>
      </c>
    </row>
    <row r="132" spans="1:25" ht="15" x14ac:dyDescent="0.2">
      <c r="A132" s="6" t="s">
        <v>195</v>
      </c>
      <c r="B132" s="6" t="s">
        <v>194</v>
      </c>
      <c r="C132" s="7" t="s">
        <v>389</v>
      </c>
      <c r="D132" s="10">
        <f>6363300+27100120+742008+1672920</f>
        <v>35878348</v>
      </c>
      <c r="E132" s="10">
        <v>0</v>
      </c>
      <c r="F132" s="10">
        <f t="shared" si="6"/>
        <v>35878348</v>
      </c>
      <c r="G132" s="8">
        <v>27</v>
      </c>
      <c r="H132" s="11">
        <v>0</v>
      </c>
      <c r="I132" s="16">
        <v>0</v>
      </c>
      <c r="J132" s="11">
        <v>0</v>
      </c>
      <c r="K132" s="8">
        <v>0</v>
      </c>
      <c r="L132" s="12">
        <v>0</v>
      </c>
      <c r="M132" s="11">
        <f t="shared" si="7"/>
        <v>4.483762741807399E-2</v>
      </c>
      <c r="N132" s="13">
        <f t="shared" si="8"/>
        <v>27.044837627418072</v>
      </c>
      <c r="O132" s="11">
        <v>102.574</v>
      </c>
      <c r="P132" s="11">
        <v>3770272.2</v>
      </c>
      <c r="Q132" s="14">
        <v>2711486.8440000005</v>
      </c>
      <c r="R132" s="15">
        <f>335.76+1272.94</f>
        <v>1608.7</v>
      </c>
      <c r="S132" s="16"/>
      <c r="T132" s="16"/>
      <c r="V132" s="25"/>
      <c r="W132" s="25"/>
      <c r="X132" s="51">
        <v>27</v>
      </c>
      <c r="Y132" s="25">
        <v>0</v>
      </c>
    </row>
    <row r="133" spans="1:25" ht="15" x14ac:dyDescent="0.2">
      <c r="A133" s="128" t="s">
        <v>196</v>
      </c>
      <c r="B133" s="128" t="s">
        <v>197</v>
      </c>
      <c r="C133" s="129" t="s">
        <v>390</v>
      </c>
      <c r="D133" s="10">
        <v>3482194600</v>
      </c>
      <c r="E133" s="10">
        <v>0</v>
      </c>
      <c r="F133" s="10">
        <f t="shared" si="6"/>
        <v>3482194600</v>
      </c>
      <c r="G133" s="8">
        <v>4.4119999999999999</v>
      </c>
      <c r="H133" s="11">
        <v>0</v>
      </c>
      <c r="I133" s="16">
        <v>0</v>
      </c>
      <c r="J133" s="11">
        <v>0.20399999999999999</v>
      </c>
      <c r="K133" s="8">
        <v>0</v>
      </c>
      <c r="L133" s="12">
        <v>1.1219999999999999</v>
      </c>
      <c r="M133" s="11">
        <f t="shared" si="7"/>
        <v>9.6926691001128999E-3</v>
      </c>
      <c r="N133" s="13">
        <f t="shared" si="8"/>
        <v>5.747692669100112</v>
      </c>
      <c r="O133" s="11">
        <v>5.7229999999999999</v>
      </c>
      <c r="P133" s="11">
        <v>20387509.940000001</v>
      </c>
      <c r="Q133" s="14">
        <v>4565246.0248000007</v>
      </c>
      <c r="R133" s="15">
        <f>34142.4-390.64</f>
        <v>33751.760000000002</v>
      </c>
      <c r="S133" s="16"/>
      <c r="T133" s="16"/>
      <c r="V133" s="25"/>
      <c r="W133" s="25"/>
      <c r="X133" s="51">
        <v>4.4119999999999999</v>
      </c>
      <c r="Y133" s="25">
        <v>0</v>
      </c>
    </row>
    <row r="134" spans="1:25" ht="15" x14ac:dyDescent="0.2">
      <c r="A134" s="128" t="s">
        <v>198</v>
      </c>
      <c r="B134" s="128" t="s">
        <v>199</v>
      </c>
      <c r="C134" s="129" t="s">
        <v>391</v>
      </c>
      <c r="D134" s="10">
        <v>16683816</v>
      </c>
      <c r="E134" s="10"/>
      <c r="F134" s="10">
        <f t="shared" si="6"/>
        <v>16683816</v>
      </c>
      <c r="G134" s="8">
        <v>27</v>
      </c>
      <c r="H134" s="11">
        <v>0</v>
      </c>
      <c r="I134" s="16">
        <v>0</v>
      </c>
      <c r="J134" s="11">
        <v>0</v>
      </c>
      <c r="K134" s="8">
        <v>0</v>
      </c>
      <c r="L134" s="12">
        <v>0</v>
      </c>
      <c r="M134" s="11">
        <f t="shared" si="7"/>
        <v>2.3975330344089144E-3</v>
      </c>
      <c r="N134" s="13">
        <f t="shared" si="8"/>
        <v>27.002397533034408</v>
      </c>
      <c r="O134" s="11">
        <v>171.12800000000001</v>
      </c>
      <c r="P134" s="11">
        <v>2920933.41</v>
      </c>
      <c r="Q134" s="14">
        <v>2404609.1379999998</v>
      </c>
      <c r="R134" s="15">
        <v>40</v>
      </c>
      <c r="S134" s="16"/>
      <c r="T134" s="16"/>
      <c r="V134" s="25"/>
      <c r="W134" s="25"/>
      <c r="X134" s="51">
        <v>27</v>
      </c>
      <c r="Y134" s="25">
        <v>0</v>
      </c>
    </row>
    <row r="135" spans="1:25" ht="15" x14ac:dyDescent="0.2">
      <c r="A135" s="6" t="s">
        <v>200</v>
      </c>
      <c r="B135" s="6" t="s">
        <v>199</v>
      </c>
      <c r="C135" s="7" t="s">
        <v>392</v>
      </c>
      <c r="D135" s="10">
        <v>97373174</v>
      </c>
      <c r="E135" s="10">
        <v>-2607326</v>
      </c>
      <c r="F135" s="10">
        <f t="shared" si="6"/>
        <v>94765848</v>
      </c>
      <c r="G135" s="8">
        <v>20.594999999999999</v>
      </c>
      <c r="H135" s="11">
        <v>0</v>
      </c>
      <c r="I135" s="16">
        <v>0</v>
      </c>
      <c r="J135" s="11">
        <v>0</v>
      </c>
      <c r="K135" s="8">
        <v>0</v>
      </c>
      <c r="L135" s="12">
        <v>0</v>
      </c>
      <c r="M135" s="11">
        <f t="shared" si="7"/>
        <v>2.0249911128321252E-2</v>
      </c>
      <c r="N135" s="13">
        <f t="shared" si="8"/>
        <v>20.61524991112832</v>
      </c>
      <c r="O135" s="11">
        <v>154.256</v>
      </c>
      <c r="P135" s="11">
        <v>14855668.039999999</v>
      </c>
      <c r="Q135" s="14">
        <v>12666544.15044</v>
      </c>
      <c r="R135" s="15">
        <v>1919</v>
      </c>
      <c r="S135" s="16"/>
      <c r="T135" s="16"/>
      <c r="V135" s="25"/>
      <c r="W135" s="25"/>
      <c r="X135" s="51">
        <v>27</v>
      </c>
      <c r="Y135" s="25">
        <v>6.4050000000000002</v>
      </c>
    </row>
    <row r="136" spans="1:25" ht="15" x14ac:dyDescent="0.2">
      <c r="A136" s="128" t="s">
        <v>201</v>
      </c>
      <c r="B136" s="128" t="s">
        <v>199</v>
      </c>
      <c r="C136" s="129" t="s">
        <v>393</v>
      </c>
      <c r="D136" s="10">
        <v>29346577</v>
      </c>
      <c r="E136" s="10">
        <v>0</v>
      </c>
      <c r="F136" s="10">
        <f t="shared" si="6"/>
        <v>29346577</v>
      </c>
      <c r="G136" s="8">
        <v>27</v>
      </c>
      <c r="H136" s="11">
        <v>0</v>
      </c>
      <c r="I136" s="16">
        <v>0</v>
      </c>
      <c r="J136" s="11">
        <v>0</v>
      </c>
      <c r="K136" s="8">
        <v>0</v>
      </c>
      <c r="L136" s="12">
        <v>0</v>
      </c>
      <c r="M136" s="11">
        <f t="shared" si="7"/>
        <v>0.10573635214764569</v>
      </c>
      <c r="N136" s="13">
        <f t="shared" si="8"/>
        <v>27.105736352147645</v>
      </c>
      <c r="O136" s="11">
        <v>116.70899999999999</v>
      </c>
      <c r="P136" s="11">
        <v>3515797.35</v>
      </c>
      <c r="Q136" s="14">
        <v>2632661.0810000002</v>
      </c>
      <c r="R136" s="15">
        <f>3113-10</f>
        <v>3103</v>
      </c>
      <c r="S136" s="16"/>
      <c r="T136" s="16"/>
      <c r="V136" s="25"/>
      <c r="W136" s="25"/>
      <c r="X136" s="51">
        <v>27</v>
      </c>
      <c r="Y136" s="25">
        <v>0</v>
      </c>
    </row>
    <row r="137" spans="1:25" ht="15" x14ac:dyDescent="0.2">
      <c r="A137" s="128" t="s">
        <v>202</v>
      </c>
      <c r="B137" s="128" t="s">
        <v>199</v>
      </c>
      <c r="C137" s="129" t="s">
        <v>394</v>
      </c>
      <c r="D137" s="10">
        <v>10475171</v>
      </c>
      <c r="E137" s="10">
        <v>0</v>
      </c>
      <c r="F137" s="10">
        <f t="shared" si="6"/>
        <v>10475171</v>
      </c>
      <c r="G137" s="8">
        <v>26.053000000000001</v>
      </c>
      <c r="H137" s="11">
        <v>0</v>
      </c>
      <c r="I137" s="16">
        <v>0</v>
      </c>
      <c r="J137" s="11">
        <v>0</v>
      </c>
      <c r="K137" s="8">
        <v>0</v>
      </c>
      <c r="L137" s="12">
        <v>0</v>
      </c>
      <c r="M137" s="11">
        <f t="shared" si="7"/>
        <v>7.2552514894506258E-3</v>
      </c>
      <c r="N137" s="13">
        <f t="shared" si="8"/>
        <v>26.060255251489451</v>
      </c>
      <c r="O137" s="11">
        <v>313.79500000000002</v>
      </c>
      <c r="P137" s="11">
        <v>3333517.75</v>
      </c>
      <c r="Q137" s="14">
        <v>3014141.9599369997</v>
      </c>
      <c r="R137" s="15">
        <f>83-7</f>
        <v>76</v>
      </c>
      <c r="S137" s="16"/>
      <c r="T137" s="16"/>
      <c r="V137" s="25"/>
      <c r="W137" s="25"/>
      <c r="X137" s="51">
        <v>27</v>
      </c>
      <c r="Y137" s="25">
        <v>0.94700000000000006</v>
      </c>
    </row>
    <row r="138" spans="1:25" ht="15" x14ac:dyDescent="0.2">
      <c r="A138" s="6" t="s">
        <v>203</v>
      </c>
      <c r="B138" s="6" t="s">
        <v>204</v>
      </c>
      <c r="C138" s="7" t="s">
        <v>395</v>
      </c>
      <c r="D138" s="10">
        <v>1267729208</v>
      </c>
      <c r="E138" s="10">
        <v>-62887514</v>
      </c>
      <c r="F138" s="10">
        <f t="shared" si="6"/>
        <v>1204841694</v>
      </c>
      <c r="G138" s="8">
        <v>27</v>
      </c>
      <c r="H138" s="11">
        <v>0</v>
      </c>
      <c r="I138" s="16">
        <v>0</v>
      </c>
      <c r="J138" s="11">
        <v>0</v>
      </c>
      <c r="K138" s="8">
        <v>0</v>
      </c>
      <c r="L138" s="12">
        <v>0</v>
      </c>
      <c r="M138" s="11">
        <f t="shared" si="7"/>
        <v>0.46249395482822658</v>
      </c>
      <c r="N138" s="13">
        <f t="shared" si="8"/>
        <v>27.462493954828226</v>
      </c>
      <c r="O138" s="11">
        <v>125.22500000000001</v>
      </c>
      <c r="P138" s="11">
        <v>153048510.09999999</v>
      </c>
      <c r="Q138" s="14">
        <v>118345585.38199998</v>
      </c>
      <c r="R138" s="15">
        <f>557232</f>
        <v>557232</v>
      </c>
      <c r="S138" s="16"/>
      <c r="T138" s="16"/>
      <c r="V138" s="25"/>
      <c r="W138" s="25"/>
      <c r="X138" s="51">
        <v>27</v>
      </c>
      <c r="Y138" s="25">
        <v>0</v>
      </c>
    </row>
    <row r="139" spans="1:25" ht="15" x14ac:dyDescent="0.2">
      <c r="A139" s="6" t="s">
        <v>205</v>
      </c>
      <c r="B139" s="6" t="s">
        <v>204</v>
      </c>
      <c r="C139" s="7" t="s">
        <v>396</v>
      </c>
      <c r="D139" s="10">
        <v>885003884</v>
      </c>
      <c r="E139" s="10">
        <v>-39683497</v>
      </c>
      <c r="F139" s="10">
        <f t="shared" si="6"/>
        <v>845320387</v>
      </c>
      <c r="G139" s="8">
        <v>27</v>
      </c>
      <c r="H139" s="11">
        <v>0</v>
      </c>
      <c r="I139" s="16">
        <v>0</v>
      </c>
      <c r="J139" s="11">
        <v>0</v>
      </c>
      <c r="K139" s="8">
        <v>0</v>
      </c>
      <c r="L139" s="12">
        <v>0</v>
      </c>
      <c r="M139" s="11">
        <f t="shared" si="7"/>
        <v>5.1061113234454621E-2</v>
      </c>
      <c r="N139" s="13">
        <f t="shared" si="8"/>
        <v>27.051061113234454</v>
      </c>
      <c r="O139" s="11">
        <v>106.259</v>
      </c>
      <c r="P139" s="11">
        <v>91695733.659999996</v>
      </c>
      <c r="Q139" s="14">
        <v>66999082.220999993</v>
      </c>
      <c r="R139" s="15">
        <f>64357-21194</f>
        <v>43163</v>
      </c>
      <c r="S139" s="16"/>
      <c r="T139" s="16"/>
      <c r="V139" s="25"/>
      <c r="W139" s="25"/>
      <c r="X139" s="51">
        <v>27</v>
      </c>
      <c r="Y139" s="25">
        <v>0</v>
      </c>
    </row>
    <row r="140" spans="1:25" ht="15" x14ac:dyDescent="0.2">
      <c r="A140" s="6" t="s">
        <v>206</v>
      </c>
      <c r="B140" s="6" t="s">
        <v>207</v>
      </c>
      <c r="C140" s="7" t="s">
        <v>397</v>
      </c>
      <c r="D140" s="10">
        <v>463584297.22999996</v>
      </c>
      <c r="E140" s="10"/>
      <c r="F140" s="10">
        <f t="shared" si="6"/>
        <v>463584297.22999996</v>
      </c>
      <c r="G140" s="8">
        <v>5.7670000000000003</v>
      </c>
      <c r="H140" s="11">
        <v>0</v>
      </c>
      <c r="I140" s="16">
        <v>0</v>
      </c>
      <c r="J140" s="11">
        <v>0</v>
      </c>
      <c r="K140" s="8">
        <v>0</v>
      </c>
      <c r="L140" s="12">
        <v>0.873</v>
      </c>
      <c r="M140" s="11">
        <f t="shared" si="7"/>
        <v>0</v>
      </c>
      <c r="N140" s="13">
        <f t="shared" si="8"/>
        <v>6.6400000000000006</v>
      </c>
      <c r="O140" s="11">
        <v>14.725</v>
      </c>
      <c r="P140" s="11">
        <v>6933414.25</v>
      </c>
      <c r="Q140" s="14">
        <v>4152953.2378745899</v>
      </c>
      <c r="R140" s="15"/>
      <c r="S140" s="16"/>
      <c r="T140" s="16"/>
      <c r="V140" s="25"/>
      <c r="W140" s="25"/>
      <c r="X140" s="51">
        <v>5.7670000000000003</v>
      </c>
      <c r="Y140" s="25">
        <v>0</v>
      </c>
    </row>
    <row r="141" spans="1:25" ht="15" x14ac:dyDescent="0.2">
      <c r="A141" s="6" t="s">
        <v>208</v>
      </c>
      <c r="B141" s="6" t="s">
        <v>207</v>
      </c>
      <c r="C141" s="7" t="s">
        <v>398</v>
      </c>
      <c r="D141" s="10">
        <v>194434588.40000001</v>
      </c>
      <c r="E141" s="10"/>
      <c r="F141" s="10">
        <f t="shared" si="6"/>
        <v>194434588.40000001</v>
      </c>
      <c r="G141" s="8">
        <v>3.1160000000000001</v>
      </c>
      <c r="H141" s="11">
        <v>0</v>
      </c>
      <c r="I141" s="16">
        <v>0</v>
      </c>
      <c r="J141" s="11">
        <v>3.4520000000000004</v>
      </c>
      <c r="K141" s="8">
        <v>0</v>
      </c>
      <c r="L141" s="12">
        <v>0</v>
      </c>
      <c r="M141" s="11">
        <f t="shared" si="7"/>
        <v>0</v>
      </c>
      <c r="N141" s="13">
        <f t="shared" si="8"/>
        <v>6.5680000000000005</v>
      </c>
      <c r="O141" s="11">
        <v>24.556999999999999</v>
      </c>
      <c r="P141" s="11">
        <v>4850341.8600000003</v>
      </c>
      <c r="Q141" s="14">
        <v>4168938.1525456007</v>
      </c>
      <c r="R141" s="15"/>
      <c r="S141" s="16"/>
      <c r="T141" s="16"/>
      <c r="V141" s="25"/>
      <c r="W141" s="25"/>
      <c r="X141" s="51">
        <v>6.1429999999999998</v>
      </c>
      <c r="Y141" s="25">
        <v>3.0270000000000001</v>
      </c>
    </row>
    <row r="142" spans="1:25" ht="15" x14ac:dyDescent="0.2">
      <c r="A142" s="6" t="s">
        <v>209</v>
      </c>
      <c r="B142" s="6" t="s">
        <v>210</v>
      </c>
      <c r="C142" s="7" t="s">
        <v>399</v>
      </c>
      <c r="D142" s="10">
        <v>98761316</v>
      </c>
      <c r="E142" s="10">
        <v>0</v>
      </c>
      <c r="F142" s="10">
        <f t="shared" si="6"/>
        <v>98761316</v>
      </c>
      <c r="G142" s="8">
        <v>17.308</v>
      </c>
      <c r="H142" s="11">
        <v>0</v>
      </c>
      <c r="I142" s="16">
        <v>0</v>
      </c>
      <c r="J142" s="11">
        <v>0</v>
      </c>
      <c r="K142" s="8">
        <v>0</v>
      </c>
      <c r="L142" s="12">
        <v>8.43</v>
      </c>
      <c r="M142" s="11">
        <f t="shared" si="7"/>
        <v>4.6748567019904839E-2</v>
      </c>
      <c r="N142" s="13">
        <f t="shared" si="8"/>
        <v>25.784748567019903</v>
      </c>
      <c r="O142" s="11">
        <v>44.786000000000001</v>
      </c>
      <c r="P142" s="11">
        <v>4601406.4800000004</v>
      </c>
      <c r="Q142" s="14">
        <v>2713804.9226720002</v>
      </c>
      <c r="R142" s="15">
        <v>4616.95</v>
      </c>
      <c r="S142" s="16"/>
      <c r="T142" s="16"/>
      <c r="V142" s="25"/>
      <c r="W142" s="25"/>
      <c r="X142" s="51">
        <v>27</v>
      </c>
      <c r="Y142" s="25">
        <v>9.6920000000000002</v>
      </c>
    </row>
    <row r="143" spans="1:25" ht="15" x14ac:dyDescent="0.2">
      <c r="A143" s="6" t="s">
        <v>211</v>
      </c>
      <c r="B143" s="6" t="s">
        <v>210</v>
      </c>
      <c r="C143" s="7" t="s">
        <v>400</v>
      </c>
      <c r="D143" s="10">
        <v>65662622</v>
      </c>
      <c r="E143" s="10">
        <v>0</v>
      </c>
      <c r="F143" s="10">
        <f t="shared" si="6"/>
        <v>65662622</v>
      </c>
      <c r="G143" s="8">
        <v>27</v>
      </c>
      <c r="H143" s="11">
        <v>0</v>
      </c>
      <c r="I143" s="16">
        <v>0</v>
      </c>
      <c r="J143" s="11">
        <v>0</v>
      </c>
      <c r="K143" s="8">
        <v>0</v>
      </c>
      <c r="L143" s="12">
        <v>2.97</v>
      </c>
      <c r="M143" s="11">
        <f t="shared" si="7"/>
        <v>2.8737506095933847E-2</v>
      </c>
      <c r="N143" s="13">
        <f t="shared" si="8"/>
        <v>29.998737506095932</v>
      </c>
      <c r="O143" s="11">
        <v>160.48699999999999</v>
      </c>
      <c r="P143" s="11">
        <v>10729953.74</v>
      </c>
      <c r="Q143" s="14">
        <v>8765113.9960000012</v>
      </c>
      <c r="R143" s="15">
        <f>1922.56-35.58</f>
        <v>1886.98</v>
      </c>
      <c r="S143" s="16"/>
      <c r="T143" s="16"/>
      <c r="V143" s="25"/>
      <c r="W143" s="25"/>
      <c r="X143" s="51">
        <v>27</v>
      </c>
      <c r="Y143" s="25">
        <v>0</v>
      </c>
    </row>
    <row r="144" spans="1:25" ht="15" x14ac:dyDescent="0.2">
      <c r="A144" s="128" t="s">
        <v>212</v>
      </c>
      <c r="B144" s="128" t="s">
        <v>210</v>
      </c>
      <c r="C144" s="129" t="s">
        <v>401</v>
      </c>
      <c r="D144" s="10">
        <f>9623586+36766539</f>
        <v>46390125</v>
      </c>
      <c r="E144" s="10">
        <v>0</v>
      </c>
      <c r="F144" s="10">
        <f t="shared" si="6"/>
        <v>46390125</v>
      </c>
      <c r="G144" s="8">
        <v>27</v>
      </c>
      <c r="H144" s="11">
        <v>0</v>
      </c>
      <c r="I144" s="16">
        <v>0</v>
      </c>
      <c r="J144" s="11">
        <v>0</v>
      </c>
      <c r="K144" s="8">
        <v>0</v>
      </c>
      <c r="L144" s="12">
        <v>1.617</v>
      </c>
      <c r="M144" s="11">
        <f t="shared" si="7"/>
        <v>2.1448530263714529E-4</v>
      </c>
      <c r="N144" s="13">
        <f t="shared" si="8"/>
        <v>28.61721448530264</v>
      </c>
      <c r="O144" s="11">
        <v>86.26100000000001</v>
      </c>
      <c r="P144" s="11">
        <v>4143341.96</v>
      </c>
      <c r="Q144" s="14">
        <v>2749106.5249999999</v>
      </c>
      <c r="R144" s="15">
        <v>9.9499999999999993</v>
      </c>
      <c r="S144" s="16"/>
      <c r="T144" s="16"/>
      <c r="V144" s="25"/>
      <c r="W144" s="25"/>
      <c r="X144" s="51">
        <v>27</v>
      </c>
      <c r="Y144" s="25">
        <v>0</v>
      </c>
    </row>
    <row r="145" spans="1:25" ht="15" x14ac:dyDescent="0.2">
      <c r="A145" s="6" t="s">
        <v>213</v>
      </c>
      <c r="B145" s="6" t="s">
        <v>214</v>
      </c>
      <c r="C145" s="7" t="s">
        <v>402</v>
      </c>
      <c r="D145" s="10">
        <v>132719100</v>
      </c>
      <c r="E145" s="10">
        <v>0</v>
      </c>
      <c r="F145" s="10">
        <f t="shared" si="6"/>
        <v>132719100</v>
      </c>
      <c r="G145" s="8">
        <v>21.585999999999999</v>
      </c>
      <c r="H145" s="11">
        <v>0</v>
      </c>
      <c r="I145" s="16">
        <v>0</v>
      </c>
      <c r="J145" s="11">
        <v>0</v>
      </c>
      <c r="K145" s="8">
        <v>0</v>
      </c>
      <c r="L145" s="12">
        <v>6.8220000000000001</v>
      </c>
      <c r="M145" s="11">
        <f t="shared" si="7"/>
        <v>9.4953552276951861E-2</v>
      </c>
      <c r="N145" s="13">
        <f t="shared" si="8"/>
        <v>28.502953552276949</v>
      </c>
      <c r="O145" s="11">
        <v>35.168999999999997</v>
      </c>
      <c r="P145" s="11">
        <v>4803657.29</v>
      </c>
      <c r="Q145" s="14">
        <v>1802759.6474000006</v>
      </c>
      <c r="R145" s="15">
        <f>7899.89+277.97+4424.29</f>
        <v>12602.150000000001</v>
      </c>
      <c r="S145" s="16"/>
      <c r="T145" s="16"/>
      <c r="V145" s="25"/>
      <c r="W145" s="25"/>
      <c r="X145" s="51">
        <v>27</v>
      </c>
      <c r="Y145" s="25">
        <v>5.4139999999999997</v>
      </c>
    </row>
    <row r="146" spans="1:25" ht="15" x14ac:dyDescent="0.2">
      <c r="A146" s="6" t="s">
        <v>215</v>
      </c>
      <c r="B146" s="6" t="s">
        <v>214</v>
      </c>
      <c r="C146" s="7" t="s">
        <v>403</v>
      </c>
      <c r="D146" s="10">
        <v>1130897560</v>
      </c>
      <c r="E146" s="10">
        <v>-54112848</v>
      </c>
      <c r="F146" s="10">
        <f t="shared" si="6"/>
        <v>1076784712</v>
      </c>
      <c r="G146" s="8">
        <v>8.6290000000000013</v>
      </c>
      <c r="H146" s="11">
        <v>0</v>
      </c>
      <c r="I146" s="16">
        <v>0</v>
      </c>
      <c r="J146" s="11">
        <v>0.98799999999999999</v>
      </c>
      <c r="K146" s="8">
        <v>0</v>
      </c>
      <c r="L146" s="12">
        <v>1.4610000000000001</v>
      </c>
      <c r="M146" s="11">
        <f t="shared" si="7"/>
        <v>0.16775320821976905</v>
      </c>
      <c r="N146" s="13">
        <f t="shared" si="8"/>
        <v>11.245753208219771</v>
      </c>
      <c r="O146" s="11">
        <v>23.383000000000003</v>
      </c>
      <c r="P146" s="11">
        <v>25867564.140000001</v>
      </c>
      <c r="Q146" s="14">
        <v>15886578.950151999</v>
      </c>
      <c r="R146" s="15">
        <f>65316.54+1164.62+105111.49+9041.44</f>
        <v>180634.09000000003</v>
      </c>
      <c r="S146" s="16"/>
      <c r="T146" s="16"/>
      <c r="V146" s="25"/>
      <c r="W146" s="25"/>
      <c r="X146" s="51">
        <v>9.3989999999999991</v>
      </c>
      <c r="Y146" s="25">
        <v>0</v>
      </c>
    </row>
    <row r="147" spans="1:25" ht="15" x14ac:dyDescent="0.2">
      <c r="A147" s="82" t="s">
        <v>216</v>
      </c>
      <c r="B147" s="6" t="s">
        <v>214</v>
      </c>
      <c r="C147" s="129" t="s">
        <v>404</v>
      </c>
      <c r="D147" s="132">
        <v>96461330</v>
      </c>
      <c r="E147" s="10">
        <v>0</v>
      </c>
      <c r="F147" s="10">
        <f t="shared" si="6"/>
        <v>96461330</v>
      </c>
      <c r="G147" s="8">
        <v>21.283000000000001</v>
      </c>
      <c r="H147" s="11">
        <v>0</v>
      </c>
      <c r="I147" s="16">
        <v>0</v>
      </c>
      <c r="J147" s="11">
        <v>0</v>
      </c>
      <c r="K147" s="8">
        <v>0</v>
      </c>
      <c r="L147" s="12">
        <v>9.48</v>
      </c>
      <c r="M147" s="11">
        <f t="shared" si="7"/>
        <v>5.1834242799679415E-5</v>
      </c>
      <c r="N147" s="13">
        <f t="shared" si="8"/>
        <v>30.763051834242802</v>
      </c>
      <c r="O147" s="11">
        <v>42.152000000000001</v>
      </c>
      <c r="P147" s="11">
        <v>4177765.98</v>
      </c>
      <c r="Q147" s="14">
        <v>2013040.8636100003</v>
      </c>
      <c r="R147" s="15">
        <v>5</v>
      </c>
      <c r="S147" s="16"/>
      <c r="T147" s="16"/>
      <c r="V147" s="25"/>
      <c r="W147" s="25"/>
      <c r="X147" s="51">
        <v>21.283000000000001</v>
      </c>
      <c r="Y147" s="25">
        <v>0</v>
      </c>
    </row>
    <row r="148" spans="1:25" ht="15" x14ac:dyDescent="0.2">
      <c r="A148" s="6" t="s">
        <v>217</v>
      </c>
      <c r="B148" s="6" t="s">
        <v>218</v>
      </c>
      <c r="C148" s="7" t="s">
        <v>405</v>
      </c>
      <c r="D148" s="10">
        <v>22651351.93</v>
      </c>
      <c r="E148" s="10"/>
      <c r="F148" s="10">
        <f t="shared" si="6"/>
        <v>22651351.93</v>
      </c>
      <c r="G148" s="8">
        <v>24.558</v>
      </c>
      <c r="H148" s="11">
        <v>0</v>
      </c>
      <c r="I148" s="16">
        <v>0</v>
      </c>
      <c r="J148" s="11">
        <v>0</v>
      </c>
      <c r="K148" s="8">
        <v>0</v>
      </c>
      <c r="L148" s="12">
        <v>0</v>
      </c>
      <c r="M148" s="11">
        <f t="shared" si="7"/>
        <v>0</v>
      </c>
      <c r="N148" s="13">
        <f t="shared" si="8"/>
        <v>24.558</v>
      </c>
      <c r="O148" s="11">
        <v>112.86699999999999</v>
      </c>
      <c r="P148" s="11">
        <v>2636815.3599999999</v>
      </c>
      <c r="Q148" s="14">
        <v>2000313.5493030599</v>
      </c>
      <c r="R148" s="15"/>
      <c r="S148" s="16"/>
      <c r="T148" s="16"/>
      <c r="V148" s="25"/>
      <c r="W148" s="25"/>
      <c r="X148" s="51">
        <v>27</v>
      </c>
      <c r="Y148" s="25">
        <v>2.4420000000000002</v>
      </c>
    </row>
    <row r="149" spans="1:25" ht="15" x14ac:dyDescent="0.2">
      <c r="A149" s="6" t="s">
        <v>219</v>
      </c>
      <c r="B149" s="6" t="s">
        <v>218</v>
      </c>
      <c r="C149" s="7" t="s">
        <v>167</v>
      </c>
      <c r="D149" s="10">
        <v>24477523.27</v>
      </c>
      <c r="E149" s="10"/>
      <c r="F149" s="10">
        <f t="shared" si="6"/>
        <v>24477523.27</v>
      </c>
      <c r="G149" s="8">
        <v>27</v>
      </c>
      <c r="H149" s="11">
        <v>0</v>
      </c>
      <c r="I149" s="16">
        <v>0</v>
      </c>
      <c r="J149" s="11">
        <v>0</v>
      </c>
      <c r="K149" s="8">
        <v>0</v>
      </c>
      <c r="L149" s="12">
        <v>6.7039999999999997</v>
      </c>
      <c r="M149" s="11">
        <f t="shared" si="7"/>
        <v>0</v>
      </c>
      <c r="N149" s="13">
        <f t="shared" si="8"/>
        <v>33.704000000000001</v>
      </c>
      <c r="O149" s="11">
        <v>149.32400000000001</v>
      </c>
      <c r="P149" s="11">
        <v>3745637.04</v>
      </c>
      <c r="Q149" s="14">
        <v>2994195.8417100003</v>
      </c>
      <c r="R149" s="15"/>
      <c r="S149" s="16"/>
      <c r="T149" s="16"/>
      <c r="V149" s="25"/>
      <c r="W149" s="25"/>
      <c r="X149" s="51">
        <v>27</v>
      </c>
      <c r="Y149" s="25">
        <v>0</v>
      </c>
    </row>
    <row r="150" spans="1:25" ht="15" x14ac:dyDescent="0.2">
      <c r="A150" s="82" t="s">
        <v>220</v>
      </c>
      <c r="B150" s="128" t="s">
        <v>218</v>
      </c>
      <c r="C150" s="129" t="s">
        <v>406</v>
      </c>
      <c r="D150" s="10">
        <f>12500817+205924</f>
        <v>12706741</v>
      </c>
      <c r="E150" s="10">
        <v>0</v>
      </c>
      <c r="F150" s="10">
        <f t="shared" si="6"/>
        <v>12706741</v>
      </c>
      <c r="G150" s="8">
        <v>27</v>
      </c>
      <c r="H150" s="11">
        <v>0</v>
      </c>
      <c r="I150" s="16">
        <v>0</v>
      </c>
      <c r="J150" s="11">
        <v>0</v>
      </c>
      <c r="K150" s="8">
        <v>0</v>
      </c>
      <c r="L150" s="12">
        <v>0</v>
      </c>
      <c r="M150" s="11">
        <f t="shared" si="7"/>
        <v>0.17476078248545396</v>
      </c>
      <c r="N150" s="13">
        <f t="shared" si="8"/>
        <v>27.174760782485453</v>
      </c>
      <c r="O150" s="11">
        <v>534.95600000000002</v>
      </c>
      <c r="P150" s="11">
        <v>6890050.7199999997</v>
      </c>
      <c r="Q150" s="14">
        <v>6454469.7129999995</v>
      </c>
      <c r="R150" s="15">
        <v>2220.64</v>
      </c>
      <c r="S150" s="16"/>
      <c r="T150" s="16"/>
      <c r="V150" s="25"/>
      <c r="W150" s="25"/>
      <c r="X150" s="51">
        <v>27</v>
      </c>
      <c r="Y150" s="25">
        <v>0</v>
      </c>
    </row>
    <row r="151" spans="1:25" ht="15" x14ac:dyDescent="0.2">
      <c r="A151" s="6" t="s">
        <v>221</v>
      </c>
      <c r="B151" s="6" t="s">
        <v>222</v>
      </c>
      <c r="C151" s="7" t="s">
        <v>407</v>
      </c>
      <c r="D151" s="10">
        <v>53832082</v>
      </c>
      <c r="E151" s="10">
        <v>0</v>
      </c>
      <c r="F151" s="10">
        <f t="shared" si="6"/>
        <v>53832082</v>
      </c>
      <c r="G151" s="8">
        <v>11.965</v>
      </c>
      <c r="H151" s="11">
        <v>0</v>
      </c>
      <c r="I151" s="16">
        <v>0</v>
      </c>
      <c r="J151" s="11">
        <v>0.36799999999999999</v>
      </c>
      <c r="K151" s="8">
        <v>0</v>
      </c>
      <c r="L151" s="12">
        <v>0</v>
      </c>
      <c r="M151" s="11">
        <f t="shared" si="7"/>
        <v>6.2583498070908711E-2</v>
      </c>
      <c r="N151" s="13">
        <f t="shared" si="8"/>
        <v>12.395583498070909</v>
      </c>
      <c r="O151" s="11">
        <v>31.33</v>
      </c>
      <c r="P151" s="11">
        <v>1723838.12</v>
      </c>
      <c r="Q151" s="14">
        <v>1042484.78887</v>
      </c>
      <c r="R151" s="15">
        <v>3369</v>
      </c>
      <c r="S151" s="16"/>
      <c r="T151" s="16"/>
      <c r="V151" s="25"/>
      <c r="W151" s="25"/>
      <c r="X151" s="51">
        <v>15.009</v>
      </c>
      <c r="Y151" s="25">
        <v>3.0439999999999996</v>
      </c>
    </row>
    <row r="152" spans="1:25" ht="15" x14ac:dyDescent="0.2">
      <c r="A152" s="128" t="s">
        <v>223</v>
      </c>
      <c r="B152" s="128" t="s">
        <v>224</v>
      </c>
      <c r="C152" s="129" t="s">
        <v>408</v>
      </c>
      <c r="D152" s="10">
        <v>911985613</v>
      </c>
      <c r="E152" s="10">
        <v>0</v>
      </c>
      <c r="F152" s="10">
        <f t="shared" si="6"/>
        <v>911985613</v>
      </c>
      <c r="G152" s="8">
        <v>7.0529999999999999</v>
      </c>
      <c r="H152" s="11">
        <v>0</v>
      </c>
      <c r="I152" s="16">
        <v>0</v>
      </c>
      <c r="J152" s="11">
        <v>0</v>
      </c>
      <c r="K152" s="8">
        <v>0</v>
      </c>
      <c r="L152" s="12">
        <v>2.0270000000000001</v>
      </c>
      <c r="M152" s="11">
        <f t="shared" si="7"/>
        <v>0.23828336423548382</v>
      </c>
      <c r="N152" s="13">
        <f t="shared" si="8"/>
        <v>9.3182833642354836</v>
      </c>
      <c r="O152" s="11">
        <v>12.48</v>
      </c>
      <c r="P152" s="11">
        <v>11602482.68</v>
      </c>
      <c r="Q152" s="14">
        <v>4949713.5115109999</v>
      </c>
      <c r="R152" s="15">
        <v>217311</v>
      </c>
      <c r="S152" s="16"/>
      <c r="T152" s="16"/>
      <c r="V152" s="25"/>
      <c r="W152" s="25"/>
      <c r="X152" s="51">
        <v>7.2809999999999997</v>
      </c>
      <c r="Y152" s="25">
        <v>0.22799999999999998</v>
      </c>
    </row>
    <row r="153" spans="1:25" ht="15" x14ac:dyDescent="0.2">
      <c r="A153" s="82" t="s">
        <v>225</v>
      </c>
      <c r="B153" s="128" t="s">
        <v>224</v>
      </c>
      <c r="C153" s="129" t="s">
        <v>409</v>
      </c>
      <c r="D153" s="10">
        <f>43043448+9653088</f>
        <v>52696536</v>
      </c>
      <c r="E153" s="10">
        <v>0</v>
      </c>
      <c r="F153" s="10">
        <f t="shared" si="6"/>
        <v>52696536</v>
      </c>
      <c r="G153" s="8">
        <v>4.91</v>
      </c>
      <c r="H153" s="11">
        <v>0</v>
      </c>
      <c r="I153" s="16">
        <v>0</v>
      </c>
      <c r="J153" s="11">
        <v>0</v>
      </c>
      <c r="K153" s="8">
        <v>0</v>
      </c>
      <c r="L153" s="12">
        <v>7.5490000000000004</v>
      </c>
      <c r="M153" s="11">
        <f t="shared" si="7"/>
        <v>1.7737219008095714E-2</v>
      </c>
      <c r="N153" s="13">
        <f t="shared" si="8"/>
        <v>12.476737219008095</v>
      </c>
      <c r="O153" s="11">
        <v>60.002000000000002</v>
      </c>
      <c r="P153" s="11">
        <v>3172643.94</v>
      </c>
      <c r="Q153" s="14">
        <v>2903160.08824</v>
      </c>
      <c r="R153" s="15">
        <v>934.69</v>
      </c>
      <c r="S153" s="16"/>
      <c r="T153" s="16"/>
      <c r="V153" s="25"/>
      <c r="W153" s="25"/>
      <c r="X153" s="51">
        <v>16.998999999999999</v>
      </c>
      <c r="Y153" s="25">
        <v>12.089</v>
      </c>
    </row>
    <row r="154" spans="1:25" ht="15" x14ac:dyDescent="0.2">
      <c r="A154" s="6" t="s">
        <v>226</v>
      </c>
      <c r="B154" s="6" t="s">
        <v>227</v>
      </c>
      <c r="C154" s="7" t="s">
        <v>410</v>
      </c>
      <c r="D154" s="10">
        <f>32153101+71120</f>
        <v>32224221</v>
      </c>
      <c r="E154" s="10">
        <v>0</v>
      </c>
      <c r="F154" s="10">
        <f t="shared" si="6"/>
        <v>32224221</v>
      </c>
      <c r="G154" s="8">
        <v>27</v>
      </c>
      <c r="H154" s="11">
        <v>0</v>
      </c>
      <c r="I154" s="16">
        <v>0</v>
      </c>
      <c r="J154" s="11">
        <v>0</v>
      </c>
      <c r="K154" s="8">
        <v>0</v>
      </c>
      <c r="L154" s="12">
        <v>0</v>
      </c>
      <c r="M154" s="11">
        <f t="shared" si="7"/>
        <v>2.489431784867662E-3</v>
      </c>
      <c r="N154" s="13">
        <f t="shared" si="8"/>
        <v>27.002489431784866</v>
      </c>
      <c r="O154" s="11">
        <v>226.06399999999999</v>
      </c>
      <c r="P154" s="11">
        <v>7389941.5300000003</v>
      </c>
      <c r="Q154" s="14">
        <v>6414669.5329999998</v>
      </c>
      <c r="R154" s="15">
        <v>80.22</v>
      </c>
      <c r="S154" s="16"/>
      <c r="T154" s="16"/>
      <c r="V154" s="25"/>
      <c r="W154" s="25"/>
      <c r="X154" s="51">
        <v>27</v>
      </c>
      <c r="Y154" s="25">
        <v>0</v>
      </c>
    </row>
    <row r="155" spans="1:25" ht="15" x14ac:dyDescent="0.2">
      <c r="A155" s="6" t="s">
        <v>228</v>
      </c>
      <c r="B155" s="6" t="s">
        <v>227</v>
      </c>
      <c r="C155" s="7" t="s">
        <v>432</v>
      </c>
      <c r="D155" s="10">
        <v>27511786</v>
      </c>
      <c r="E155" s="10">
        <v>0</v>
      </c>
      <c r="F155" s="10">
        <f t="shared" si="6"/>
        <v>27511786</v>
      </c>
      <c r="G155" s="8">
        <v>23.942</v>
      </c>
      <c r="H155" s="11">
        <v>0</v>
      </c>
      <c r="I155" s="16">
        <v>0</v>
      </c>
      <c r="J155" s="11">
        <v>2.702</v>
      </c>
      <c r="K155" s="8">
        <v>0</v>
      </c>
      <c r="L155" s="12">
        <v>0</v>
      </c>
      <c r="M155" s="11">
        <f t="shared" si="7"/>
        <v>1.468461553168522E-3</v>
      </c>
      <c r="N155" s="13">
        <f t="shared" si="8"/>
        <v>26.645468461553168</v>
      </c>
      <c r="O155" s="11">
        <v>84.477999999999994</v>
      </c>
      <c r="P155" s="11">
        <v>2406464.14</v>
      </c>
      <c r="Q155" s="14">
        <v>1663084.7559020002</v>
      </c>
      <c r="R155" s="15">
        <v>40.4</v>
      </c>
      <c r="S155" s="16"/>
      <c r="T155" s="16"/>
      <c r="V155" s="25"/>
      <c r="W155" s="25"/>
      <c r="X155" s="51">
        <v>27</v>
      </c>
      <c r="Y155" s="25">
        <v>3.0579999999999998</v>
      </c>
    </row>
    <row r="156" spans="1:25" ht="15" x14ac:dyDescent="0.2">
      <c r="A156" s="6" t="s">
        <v>229</v>
      </c>
      <c r="B156" s="6" t="s">
        <v>230</v>
      </c>
      <c r="C156" s="7" t="s">
        <v>230</v>
      </c>
      <c r="D156" s="10">
        <v>2468313700</v>
      </c>
      <c r="E156" s="10">
        <v>-26746210</v>
      </c>
      <c r="F156" s="10">
        <f t="shared" si="6"/>
        <v>2441567490</v>
      </c>
      <c r="G156" s="8">
        <v>10.666</v>
      </c>
      <c r="H156" s="11">
        <v>0</v>
      </c>
      <c r="I156" s="16">
        <v>0</v>
      </c>
      <c r="J156" s="11">
        <v>0.60400000000000009</v>
      </c>
      <c r="K156" s="8">
        <v>0</v>
      </c>
      <c r="L156" s="12">
        <v>1.9200000000000002</v>
      </c>
      <c r="M156" s="11">
        <f t="shared" si="7"/>
        <v>0.10254114253462639</v>
      </c>
      <c r="N156" s="13">
        <f t="shared" si="8"/>
        <v>13.292541142534626</v>
      </c>
      <c r="O156" s="11">
        <v>13.936999999999999</v>
      </c>
      <c r="P156" s="11">
        <v>35428641.409999996</v>
      </c>
      <c r="Q156" s="14">
        <v>7985242.3516599955</v>
      </c>
      <c r="R156" s="15">
        <v>250361.12</v>
      </c>
      <c r="S156" s="16"/>
      <c r="T156" s="16"/>
      <c r="V156" s="25"/>
      <c r="W156" s="25"/>
      <c r="X156" s="51">
        <v>10.666</v>
      </c>
      <c r="Y156" s="25">
        <v>0</v>
      </c>
    </row>
    <row r="157" spans="1:25" ht="15" x14ac:dyDescent="0.2">
      <c r="A157" s="128" t="s">
        <v>231</v>
      </c>
      <c r="B157" s="128" t="s">
        <v>232</v>
      </c>
      <c r="C157" s="129" t="s">
        <v>412</v>
      </c>
      <c r="D157" s="10">
        <v>373906220</v>
      </c>
      <c r="E157" s="10">
        <v>0</v>
      </c>
      <c r="F157" s="10">
        <f t="shared" si="6"/>
        <v>373906220</v>
      </c>
      <c r="G157" s="8">
        <v>9.6240000000000006</v>
      </c>
      <c r="H157" s="11">
        <v>0</v>
      </c>
      <c r="I157" s="16">
        <v>0</v>
      </c>
      <c r="J157" s="11">
        <v>0</v>
      </c>
      <c r="K157" s="8">
        <v>0</v>
      </c>
      <c r="L157" s="12">
        <v>1.5620000000000001</v>
      </c>
      <c r="M157" s="11">
        <f t="shared" si="7"/>
        <v>1.6043809059929522E-2</v>
      </c>
      <c r="N157" s="13">
        <f t="shared" si="8"/>
        <v>11.20204380905993</v>
      </c>
      <c r="O157" s="11">
        <v>10.214</v>
      </c>
      <c r="P157" s="11">
        <v>4207038.7699999996</v>
      </c>
      <c r="Q157" s="14">
        <v>220622.13871999917</v>
      </c>
      <c r="R157" s="15">
        <v>5998.88</v>
      </c>
      <c r="S157" s="16"/>
      <c r="T157" s="16"/>
      <c r="V157" s="25"/>
      <c r="W157" s="25"/>
      <c r="X157" s="51">
        <v>9.6240000000000006</v>
      </c>
      <c r="Y157" s="25">
        <v>0</v>
      </c>
    </row>
    <row r="158" spans="1:25" ht="15" x14ac:dyDescent="0.2">
      <c r="A158" s="128" t="s">
        <v>233</v>
      </c>
      <c r="B158" s="128" t="s">
        <v>232</v>
      </c>
      <c r="C158" s="129" t="s">
        <v>413</v>
      </c>
      <c r="D158" s="10">
        <v>343972360</v>
      </c>
      <c r="E158" s="10">
        <v>-9905429</v>
      </c>
      <c r="F158" s="10">
        <f t="shared" si="6"/>
        <v>334066931</v>
      </c>
      <c r="G158" s="8">
        <v>23.55</v>
      </c>
      <c r="H158" s="11">
        <v>0</v>
      </c>
      <c r="I158" s="16">
        <v>0</v>
      </c>
      <c r="J158" s="11">
        <v>0</v>
      </c>
      <c r="K158" s="8">
        <v>0</v>
      </c>
      <c r="L158" s="12">
        <v>3.2929999999999997</v>
      </c>
      <c r="M158" s="11">
        <f t="shared" si="7"/>
        <v>0.72863865714382836</v>
      </c>
      <c r="N158" s="13">
        <f t="shared" si="8"/>
        <v>27.571638657143829</v>
      </c>
      <c r="O158" s="11">
        <v>55.980000000000004</v>
      </c>
      <c r="P158" s="11">
        <v>19404844.43</v>
      </c>
      <c r="Q158" s="14">
        <v>10833937.534949999</v>
      </c>
      <c r="R158" s="15">
        <v>243414.08</v>
      </c>
      <c r="S158" s="16"/>
      <c r="T158" s="16"/>
      <c r="V158" s="25"/>
      <c r="W158" s="25"/>
      <c r="X158" s="51">
        <v>27</v>
      </c>
      <c r="Y158" s="25">
        <v>3.45</v>
      </c>
    </row>
    <row r="159" spans="1:25" ht="15" x14ac:dyDescent="0.2">
      <c r="A159" s="6" t="s">
        <v>234</v>
      </c>
      <c r="B159" s="6" t="s">
        <v>235</v>
      </c>
      <c r="C159" s="7" t="s">
        <v>414</v>
      </c>
      <c r="D159" s="10">
        <v>47607006</v>
      </c>
      <c r="E159" s="10">
        <v>0</v>
      </c>
      <c r="F159" s="10">
        <f t="shared" si="6"/>
        <v>47607006</v>
      </c>
      <c r="G159" s="8">
        <v>25.437999999999999</v>
      </c>
      <c r="H159" s="11">
        <v>0</v>
      </c>
      <c r="I159" s="16">
        <v>0</v>
      </c>
      <c r="J159" s="11">
        <v>0</v>
      </c>
      <c r="K159" s="8">
        <v>0</v>
      </c>
      <c r="L159" s="12">
        <v>0</v>
      </c>
      <c r="M159" s="11">
        <f t="shared" si="7"/>
        <v>0.1673415463261857</v>
      </c>
      <c r="N159" s="13">
        <f t="shared" si="8"/>
        <v>25.605341546326184</v>
      </c>
      <c r="O159" s="11">
        <v>95.650999999999996</v>
      </c>
      <c r="P159" s="11">
        <v>4665640.42</v>
      </c>
      <c r="Q159" s="14">
        <v>3342611.3913719999</v>
      </c>
      <c r="R159" s="15">
        <v>7966.63</v>
      </c>
      <c r="S159" s="16"/>
      <c r="T159" s="16"/>
      <c r="V159" s="25"/>
      <c r="W159" s="25"/>
      <c r="X159" s="51">
        <v>27</v>
      </c>
      <c r="Y159" s="25">
        <v>1.5619999999999998</v>
      </c>
    </row>
    <row r="160" spans="1:25" ht="15" x14ac:dyDescent="0.2">
      <c r="A160" s="6" t="s">
        <v>236</v>
      </c>
      <c r="B160" s="6" t="s">
        <v>235</v>
      </c>
      <c r="C160" s="7" t="s">
        <v>415</v>
      </c>
      <c r="D160" s="10">
        <v>30623578</v>
      </c>
      <c r="E160" s="10">
        <v>0</v>
      </c>
      <c r="F160" s="10">
        <f t="shared" si="6"/>
        <v>30623578</v>
      </c>
      <c r="G160" s="8">
        <v>15.180999999999999</v>
      </c>
      <c r="H160" s="11">
        <v>0</v>
      </c>
      <c r="I160" s="16">
        <v>0</v>
      </c>
      <c r="J160" s="11">
        <v>0.255</v>
      </c>
      <c r="K160" s="8">
        <v>0</v>
      </c>
      <c r="L160" s="12">
        <v>8.1639999999999997</v>
      </c>
      <c r="M160" s="11">
        <f t="shared" si="7"/>
        <v>4.4717178378045834E-2</v>
      </c>
      <c r="N160" s="13">
        <f t="shared" si="8"/>
        <v>23.644717178378048</v>
      </c>
      <c r="O160" s="11">
        <v>59.096000000000004</v>
      </c>
      <c r="P160" s="11">
        <v>1866211</v>
      </c>
      <c r="Q160" s="14">
        <v>1344837.8523819998</v>
      </c>
      <c r="R160" s="15">
        <v>1369.4</v>
      </c>
      <c r="S160" s="16"/>
      <c r="T160" s="16"/>
      <c r="V160" s="25"/>
      <c r="W160" s="25"/>
      <c r="X160" s="51">
        <v>27</v>
      </c>
      <c r="Y160" s="25">
        <v>11.819000000000001</v>
      </c>
    </row>
    <row r="161" spans="1:25" ht="15" x14ac:dyDescent="0.2">
      <c r="A161" s="6" t="s">
        <v>237</v>
      </c>
      <c r="B161" s="6" t="s">
        <v>235</v>
      </c>
      <c r="C161" s="7" t="s">
        <v>416</v>
      </c>
      <c r="D161" s="10">
        <v>20108346</v>
      </c>
      <c r="E161" s="10">
        <v>0</v>
      </c>
      <c r="F161" s="10">
        <f t="shared" si="6"/>
        <v>20108346</v>
      </c>
      <c r="G161" s="8">
        <v>27</v>
      </c>
      <c r="H161" s="11">
        <v>0</v>
      </c>
      <c r="I161" s="16">
        <v>0</v>
      </c>
      <c r="J161" s="11">
        <v>0</v>
      </c>
      <c r="K161" s="8">
        <v>0</v>
      </c>
      <c r="L161" s="12">
        <v>0</v>
      </c>
      <c r="M161" s="11">
        <f t="shared" si="7"/>
        <v>0</v>
      </c>
      <c r="N161" s="13">
        <f t="shared" si="8"/>
        <v>27</v>
      </c>
      <c r="O161" s="11">
        <v>158.90899999999999</v>
      </c>
      <c r="P161" s="11">
        <v>3251869.22</v>
      </c>
      <c r="Q161" s="14">
        <v>2652467.5480000004</v>
      </c>
      <c r="R161" s="15">
        <v>0</v>
      </c>
      <c r="S161" s="16"/>
      <c r="T161" s="16"/>
      <c r="V161" s="25"/>
      <c r="W161" s="25"/>
      <c r="X161" s="51">
        <v>27</v>
      </c>
      <c r="Y161" s="25">
        <v>0</v>
      </c>
    </row>
    <row r="162" spans="1:25" ht="15" x14ac:dyDescent="0.2">
      <c r="A162" s="6" t="s">
        <v>238</v>
      </c>
      <c r="B162" s="6" t="s">
        <v>235</v>
      </c>
      <c r="C162" s="7" t="s">
        <v>417</v>
      </c>
      <c r="D162" s="10">
        <v>19349093</v>
      </c>
      <c r="E162" s="10">
        <v>0</v>
      </c>
      <c r="F162" s="10">
        <f t="shared" si="6"/>
        <v>19349093</v>
      </c>
      <c r="G162" s="8">
        <v>27</v>
      </c>
      <c r="H162" s="11">
        <v>0</v>
      </c>
      <c r="I162" s="16">
        <v>0</v>
      </c>
      <c r="J162" s="11">
        <v>0</v>
      </c>
      <c r="K162" s="8">
        <v>0</v>
      </c>
      <c r="L162" s="12">
        <v>0</v>
      </c>
      <c r="M162" s="11">
        <f t="shared" si="7"/>
        <v>7.0431725145979715E-2</v>
      </c>
      <c r="N162" s="13">
        <f t="shared" si="8"/>
        <v>27.07043172514598</v>
      </c>
      <c r="O162" s="11">
        <v>115.986</v>
      </c>
      <c r="P162" s="11">
        <v>2281376.4900000002</v>
      </c>
      <c r="Q162" s="14">
        <v>1721804.0390000003</v>
      </c>
      <c r="R162" s="15">
        <v>1362.79</v>
      </c>
      <c r="S162" s="16"/>
      <c r="T162" s="16"/>
      <c r="V162" s="25"/>
      <c r="W162" s="25"/>
      <c r="X162" s="51">
        <v>27</v>
      </c>
      <c r="Y162" s="25">
        <v>0</v>
      </c>
    </row>
    <row r="163" spans="1:25" ht="15" x14ac:dyDescent="0.2">
      <c r="A163" s="6" t="s">
        <v>239</v>
      </c>
      <c r="B163" s="6" t="s">
        <v>235</v>
      </c>
      <c r="C163" s="7" t="s">
        <v>418</v>
      </c>
      <c r="D163" s="10">
        <v>39732434</v>
      </c>
      <c r="E163" s="10">
        <v>0</v>
      </c>
      <c r="F163" s="10">
        <f t="shared" si="6"/>
        <v>39732434</v>
      </c>
      <c r="G163" s="8">
        <v>20.771999999999998</v>
      </c>
      <c r="H163" s="11">
        <v>0</v>
      </c>
      <c r="I163" s="16">
        <v>0</v>
      </c>
      <c r="J163" s="11">
        <v>1.9369999999999998</v>
      </c>
      <c r="K163" s="8">
        <v>0</v>
      </c>
      <c r="L163" s="12">
        <v>3.9009999999999998</v>
      </c>
      <c r="M163" s="11">
        <f t="shared" si="7"/>
        <v>8.903481724779308E-2</v>
      </c>
      <c r="N163" s="13">
        <f t="shared" si="8"/>
        <v>26.699034817247792</v>
      </c>
      <c r="O163" s="11">
        <v>35.832000000000001</v>
      </c>
      <c r="P163" s="11">
        <v>1551403.71</v>
      </c>
      <c r="Q163" s="14">
        <v>598379.590952</v>
      </c>
      <c r="R163" s="15">
        <v>3537.57</v>
      </c>
      <c r="S163" s="16"/>
      <c r="T163" s="16"/>
      <c r="V163" s="25"/>
      <c r="W163" s="25"/>
      <c r="X163" s="51">
        <v>27</v>
      </c>
      <c r="Y163" s="25">
        <v>6.2279999999999998</v>
      </c>
    </row>
    <row r="164" spans="1:25" ht="15" x14ac:dyDescent="0.2">
      <c r="A164" s="6" t="s">
        <v>240</v>
      </c>
      <c r="B164" s="6" t="s">
        <v>241</v>
      </c>
      <c r="C164" s="7" t="s">
        <v>419</v>
      </c>
      <c r="D164" s="10">
        <v>995605740</v>
      </c>
      <c r="E164" s="10">
        <v>-139304</v>
      </c>
      <c r="F164" s="10">
        <f t="shared" si="6"/>
        <v>995466436</v>
      </c>
      <c r="G164" s="8">
        <v>7.2</v>
      </c>
      <c r="H164" s="11">
        <v>0</v>
      </c>
      <c r="I164" s="16">
        <v>0</v>
      </c>
      <c r="J164" s="11">
        <v>0</v>
      </c>
      <c r="K164" s="8">
        <v>0</v>
      </c>
      <c r="L164" s="12">
        <v>3.9220000000000002</v>
      </c>
      <c r="M164" s="11">
        <f t="shared" si="7"/>
        <v>4.2688270004112919E-2</v>
      </c>
      <c r="N164" s="13">
        <f t="shared" si="8"/>
        <v>11.164688270004113</v>
      </c>
      <c r="O164" s="11">
        <v>17.28</v>
      </c>
      <c r="P164" s="11">
        <v>17662076.760000002</v>
      </c>
      <c r="Q164" s="14">
        <v>10034786.620800002</v>
      </c>
      <c r="R164" s="15">
        <f>42978.39-483.65</f>
        <v>42494.74</v>
      </c>
      <c r="S164" s="16"/>
      <c r="T164" s="16"/>
      <c r="V164" s="25"/>
      <c r="W164" s="25"/>
      <c r="X164" s="51">
        <v>9.6389999999999993</v>
      </c>
      <c r="Y164" s="25">
        <v>2.4390000000000001</v>
      </c>
    </row>
    <row r="165" spans="1:25" ht="15" x14ac:dyDescent="0.2">
      <c r="A165" s="6" t="s">
        <v>242</v>
      </c>
      <c r="B165" s="6" t="s">
        <v>241</v>
      </c>
      <c r="C165" s="7" t="s">
        <v>420</v>
      </c>
      <c r="D165" s="10">
        <v>541412710</v>
      </c>
      <c r="E165" s="10">
        <v>0</v>
      </c>
      <c r="F165" s="10">
        <f t="shared" si="6"/>
        <v>541412710</v>
      </c>
      <c r="G165" s="8">
        <v>20.437999999999999</v>
      </c>
      <c r="H165" s="11">
        <v>0</v>
      </c>
      <c r="I165" s="16">
        <v>0</v>
      </c>
      <c r="J165" s="11">
        <v>0</v>
      </c>
      <c r="K165" s="8">
        <v>0</v>
      </c>
      <c r="L165" s="12">
        <v>2.2160000000000002</v>
      </c>
      <c r="M165" s="11">
        <f t="shared" si="7"/>
        <v>0</v>
      </c>
      <c r="N165" s="13">
        <f t="shared" si="8"/>
        <v>22.654</v>
      </c>
      <c r="O165" s="11">
        <v>33.584000000000003</v>
      </c>
      <c r="P165" s="11">
        <v>18711194.280000001</v>
      </c>
      <c r="Q165" s="14">
        <v>7117430.983020002</v>
      </c>
      <c r="R165" s="15">
        <v>0</v>
      </c>
      <c r="S165" s="16"/>
      <c r="T165" s="16"/>
      <c r="V165" s="25"/>
      <c r="W165" s="25"/>
      <c r="X165" s="51">
        <v>22.207999999999998</v>
      </c>
      <c r="Y165" s="25">
        <v>1.77</v>
      </c>
    </row>
    <row r="166" spans="1:25" ht="15" x14ac:dyDescent="0.2">
      <c r="A166" s="6" t="s">
        <v>243</v>
      </c>
      <c r="B166" s="6" t="s">
        <v>241</v>
      </c>
      <c r="C166" s="7" t="s">
        <v>421</v>
      </c>
      <c r="D166" s="10">
        <f>1283018310+7236560</f>
        <v>1290254870</v>
      </c>
      <c r="E166" s="10">
        <v>0</v>
      </c>
      <c r="F166" s="10">
        <f t="shared" si="6"/>
        <v>1290254870</v>
      </c>
      <c r="G166" s="8">
        <v>10.845000000000001</v>
      </c>
      <c r="H166" s="11">
        <v>0</v>
      </c>
      <c r="I166" s="16">
        <v>0</v>
      </c>
      <c r="J166" s="11">
        <v>3.6000000000000004E-2</v>
      </c>
      <c r="K166" s="8">
        <v>0</v>
      </c>
      <c r="L166" s="12">
        <v>3.4880000000000004</v>
      </c>
      <c r="M166" s="11">
        <f t="shared" si="7"/>
        <v>1.0549907864327662E-2</v>
      </c>
      <c r="N166" s="13">
        <f t="shared" si="8"/>
        <v>14.379549907864327</v>
      </c>
      <c r="O166" s="11">
        <v>17.696000000000002</v>
      </c>
      <c r="P166" s="11">
        <v>23662346.18</v>
      </c>
      <c r="Q166" s="14">
        <v>8839892.9548499994</v>
      </c>
      <c r="R166" s="15">
        <f>605270.92-591658.85</f>
        <v>13612.070000000065</v>
      </c>
      <c r="S166" s="16"/>
      <c r="T166" s="16"/>
      <c r="V166" s="25"/>
      <c r="W166" s="25"/>
      <c r="X166" s="51">
        <v>10.845000000000001</v>
      </c>
      <c r="Y166" s="25">
        <v>0</v>
      </c>
    </row>
    <row r="167" spans="1:25" ht="15" x14ac:dyDescent="0.2">
      <c r="A167" s="6" t="s">
        <v>244</v>
      </c>
      <c r="B167" s="6" t="s">
        <v>241</v>
      </c>
      <c r="C167" s="7" t="s">
        <v>422</v>
      </c>
      <c r="D167" s="10">
        <v>1181996950</v>
      </c>
      <c r="E167" s="10">
        <v>-1077444</v>
      </c>
      <c r="F167" s="10">
        <f t="shared" si="6"/>
        <v>1180919506</v>
      </c>
      <c r="G167" s="8">
        <v>27</v>
      </c>
      <c r="H167" s="11">
        <v>0</v>
      </c>
      <c r="I167" s="16">
        <v>0</v>
      </c>
      <c r="J167" s="11">
        <v>0</v>
      </c>
      <c r="K167" s="8">
        <v>0</v>
      </c>
      <c r="L167" s="12">
        <v>5.2459999999999996</v>
      </c>
      <c r="M167" s="11">
        <f t="shared" si="7"/>
        <v>0</v>
      </c>
      <c r="N167" s="13">
        <f t="shared" si="8"/>
        <v>32.246000000000002</v>
      </c>
      <c r="O167" s="11">
        <v>59.460999999999999</v>
      </c>
      <c r="P167" s="11">
        <v>71867650.400000006</v>
      </c>
      <c r="Q167" s="14">
        <v>38334018.258000009</v>
      </c>
      <c r="R167" s="15">
        <v>0</v>
      </c>
      <c r="S167" s="16"/>
      <c r="T167" s="16"/>
      <c r="V167" s="25"/>
      <c r="W167" s="25"/>
      <c r="X167" s="51">
        <v>27</v>
      </c>
      <c r="Y167" s="25">
        <v>0</v>
      </c>
    </row>
    <row r="168" spans="1:25" ht="15" x14ac:dyDescent="0.2">
      <c r="A168" s="6" t="s">
        <v>245</v>
      </c>
      <c r="B168" s="6" t="s">
        <v>241</v>
      </c>
      <c r="C168" s="7" t="s">
        <v>423</v>
      </c>
      <c r="D168" s="10">
        <f>478967380+545207</f>
        <v>479512587</v>
      </c>
      <c r="E168" s="10">
        <v>0</v>
      </c>
      <c r="F168" s="10">
        <f t="shared" si="6"/>
        <v>479512587</v>
      </c>
      <c r="G168" s="8">
        <v>19.414000000000001</v>
      </c>
      <c r="H168" s="11">
        <v>0</v>
      </c>
      <c r="I168" s="16">
        <v>0</v>
      </c>
      <c r="J168" s="11">
        <v>0</v>
      </c>
      <c r="K168" s="8">
        <v>0</v>
      </c>
      <c r="L168" s="12">
        <v>1.0430000000000001</v>
      </c>
      <c r="M168" s="11">
        <f t="shared" si="7"/>
        <v>5.6721243065096016E-2</v>
      </c>
      <c r="N168" s="13">
        <f t="shared" si="8"/>
        <v>20.513721243065095</v>
      </c>
      <c r="O168" s="11">
        <v>69.926000000000002</v>
      </c>
      <c r="P168" s="11">
        <v>34145858.490000002</v>
      </c>
      <c r="Q168" s="14">
        <v>24220978.215982001</v>
      </c>
      <c r="R168" s="15">
        <f>30825.79-3627.24</f>
        <v>27198.550000000003</v>
      </c>
      <c r="S168" s="16"/>
      <c r="T168" s="16"/>
      <c r="V168" s="25"/>
      <c r="W168" s="25"/>
      <c r="X168" s="51">
        <v>27</v>
      </c>
      <c r="Y168" s="25">
        <v>7.5860000000000003</v>
      </c>
    </row>
    <row r="169" spans="1:25" ht="15" x14ac:dyDescent="0.2">
      <c r="A169" s="6" t="s">
        <v>246</v>
      </c>
      <c r="B169" s="6" t="s">
        <v>241</v>
      </c>
      <c r="C169" s="7" t="s">
        <v>424</v>
      </c>
      <c r="D169" s="10">
        <v>2174168160</v>
      </c>
      <c r="E169" s="10">
        <v>-179309907</v>
      </c>
      <c r="F169" s="10">
        <f t="shared" si="6"/>
        <v>1994858253</v>
      </c>
      <c r="G169" s="8">
        <v>27</v>
      </c>
      <c r="H169" s="11">
        <v>0</v>
      </c>
      <c r="I169" s="16">
        <v>0</v>
      </c>
      <c r="J169" s="11">
        <v>0</v>
      </c>
      <c r="K169" s="8">
        <v>0</v>
      </c>
      <c r="L169" s="12">
        <v>0</v>
      </c>
      <c r="M169" s="11">
        <f t="shared" si="7"/>
        <v>0.33008032977268381</v>
      </c>
      <c r="N169" s="13">
        <f t="shared" si="8"/>
        <v>27.330080329772684</v>
      </c>
      <c r="O169" s="11">
        <v>107.73099999999999</v>
      </c>
      <c r="P169" s="11">
        <v>218063359.18000001</v>
      </c>
      <c r="Q169" s="14">
        <v>161047319.40900001</v>
      </c>
      <c r="R169" s="15">
        <f>739583.64-81120.17</f>
        <v>658463.47</v>
      </c>
      <c r="S169" s="16"/>
      <c r="T169" s="16"/>
      <c r="V169" s="25"/>
      <c r="W169" s="25"/>
      <c r="X169" s="51">
        <v>27</v>
      </c>
      <c r="Y169" s="25">
        <v>0</v>
      </c>
    </row>
    <row r="170" spans="1:25" ht="15" x14ac:dyDescent="0.2">
      <c r="A170" s="6" t="s">
        <v>247</v>
      </c>
      <c r="B170" s="6" t="s">
        <v>241</v>
      </c>
      <c r="C170" s="7" t="s">
        <v>411</v>
      </c>
      <c r="D170" s="10">
        <v>1401914110</v>
      </c>
      <c r="E170" s="10">
        <v>0</v>
      </c>
      <c r="F170" s="10">
        <f t="shared" si="6"/>
        <v>1401914110</v>
      </c>
      <c r="G170" s="8">
        <v>5.6239999999999997</v>
      </c>
      <c r="H170" s="11">
        <v>0</v>
      </c>
      <c r="I170" s="16">
        <v>0</v>
      </c>
      <c r="J170" s="11">
        <v>0</v>
      </c>
      <c r="K170" s="8">
        <v>0</v>
      </c>
      <c r="L170" s="12">
        <v>1.7769999999999999</v>
      </c>
      <c r="M170" s="11">
        <f t="shared" si="7"/>
        <v>7.7553110582502085E-3</v>
      </c>
      <c r="N170" s="13">
        <f t="shared" si="8"/>
        <v>7.4087553110582496</v>
      </c>
      <c r="O170" s="11">
        <v>7.524</v>
      </c>
      <c r="P170" s="11">
        <v>11054207.449999999</v>
      </c>
      <c r="Q170" s="14">
        <v>2663536.4953600001</v>
      </c>
      <c r="R170" s="15">
        <f>37286.42-26414.14</f>
        <v>10872.279999999999</v>
      </c>
      <c r="S170" s="16"/>
      <c r="T170" s="16"/>
      <c r="V170" s="25"/>
      <c r="W170" s="25"/>
      <c r="X170" s="51">
        <v>5.6239999999999997</v>
      </c>
      <c r="Y170" s="25">
        <v>0</v>
      </c>
    </row>
    <row r="171" spans="1:25" ht="15" x14ac:dyDescent="0.2">
      <c r="A171" s="82" t="s">
        <v>248</v>
      </c>
      <c r="B171" s="128" t="s">
        <v>241</v>
      </c>
      <c r="C171" s="129" t="s">
        <v>425</v>
      </c>
      <c r="D171" s="10">
        <f>1133954020+1740920</f>
        <v>1135694940</v>
      </c>
      <c r="E171" s="10">
        <v>-39509782</v>
      </c>
      <c r="F171" s="10">
        <f t="shared" si="6"/>
        <v>1096185158</v>
      </c>
      <c r="G171" s="8">
        <v>12.143000000000001</v>
      </c>
      <c r="H171" s="11">
        <v>0</v>
      </c>
      <c r="I171" s="16">
        <v>0</v>
      </c>
      <c r="J171" s="11">
        <v>0</v>
      </c>
      <c r="K171" s="8">
        <v>0</v>
      </c>
      <c r="L171" s="12">
        <v>2.44</v>
      </c>
      <c r="M171" s="11">
        <f t="shared" si="7"/>
        <v>4.3071026509921055E-2</v>
      </c>
      <c r="N171" s="13">
        <f t="shared" si="8"/>
        <v>14.626071026509921</v>
      </c>
      <c r="O171" s="11">
        <v>20.007000000000001</v>
      </c>
      <c r="P171" s="11">
        <v>22803266.510000002</v>
      </c>
      <c r="Q171" s="14">
        <v>8620801.2264060006</v>
      </c>
      <c r="R171" s="15">
        <f>48096.04-882.22</f>
        <v>47213.82</v>
      </c>
      <c r="S171" s="16"/>
      <c r="T171" s="16"/>
      <c r="V171" s="25"/>
      <c r="W171" s="25"/>
      <c r="X171" s="51">
        <v>12.143000000000001</v>
      </c>
      <c r="Y171" s="25">
        <v>0</v>
      </c>
    </row>
    <row r="172" spans="1:25" ht="15" x14ac:dyDescent="0.2">
      <c r="A172" s="6" t="s">
        <v>249</v>
      </c>
      <c r="B172" s="6" t="s">
        <v>241</v>
      </c>
      <c r="C172" s="7" t="s">
        <v>426</v>
      </c>
      <c r="D172" s="10">
        <v>323091530</v>
      </c>
      <c r="E172" s="10">
        <v>0</v>
      </c>
      <c r="F172" s="10">
        <f t="shared" si="6"/>
        <v>323091530</v>
      </c>
      <c r="G172" s="8">
        <v>17.88</v>
      </c>
      <c r="H172" s="11">
        <v>0</v>
      </c>
      <c r="I172" s="16">
        <v>0</v>
      </c>
      <c r="J172" s="11">
        <v>0</v>
      </c>
      <c r="K172" s="8">
        <v>0</v>
      </c>
      <c r="L172" s="12">
        <v>2.786</v>
      </c>
      <c r="M172" s="11">
        <f t="shared" si="7"/>
        <v>3.1761278297824762E-2</v>
      </c>
      <c r="N172" s="13">
        <f t="shared" si="8"/>
        <v>20.697761278297826</v>
      </c>
      <c r="O172" s="11">
        <v>30.253</v>
      </c>
      <c r="P172" s="11">
        <v>9989723.9900000002</v>
      </c>
      <c r="Q172" s="14">
        <v>3997485.3436000003</v>
      </c>
      <c r="R172" s="84">
        <f>10986.25-724.45</f>
        <v>10261.799999999999</v>
      </c>
      <c r="S172" s="16"/>
      <c r="T172" s="16"/>
      <c r="V172" s="25"/>
      <c r="W172" s="25"/>
      <c r="X172" s="51">
        <v>27</v>
      </c>
      <c r="Y172" s="25">
        <v>9.1199999999999992</v>
      </c>
    </row>
    <row r="173" spans="1:25" ht="15" x14ac:dyDescent="0.2">
      <c r="A173" s="82" t="s">
        <v>250</v>
      </c>
      <c r="B173" s="128" t="s">
        <v>241</v>
      </c>
      <c r="C173" s="129" t="s">
        <v>427</v>
      </c>
      <c r="D173" s="10">
        <f>133663650+30400</f>
        <v>133694050</v>
      </c>
      <c r="E173" s="10">
        <v>0</v>
      </c>
      <c r="F173" s="10">
        <f t="shared" si="6"/>
        <v>133694050</v>
      </c>
      <c r="G173" s="8">
        <v>12.375999999999999</v>
      </c>
      <c r="H173" s="11">
        <v>0</v>
      </c>
      <c r="I173" s="16">
        <v>0</v>
      </c>
      <c r="J173" s="11">
        <v>0</v>
      </c>
      <c r="K173" s="8">
        <v>0</v>
      </c>
      <c r="L173" s="12">
        <v>3.7230000000000003</v>
      </c>
      <c r="M173" s="11">
        <f t="shared" si="7"/>
        <v>0</v>
      </c>
      <c r="N173" s="13">
        <f t="shared" si="8"/>
        <v>16.099</v>
      </c>
      <c r="O173" s="11">
        <v>21.113</v>
      </c>
      <c r="P173" s="11">
        <v>2899580.03</v>
      </c>
      <c r="Q173" s="14">
        <v>1168072.4071999998</v>
      </c>
      <c r="R173" s="15">
        <v>0</v>
      </c>
      <c r="S173" s="16"/>
      <c r="T173" s="16"/>
      <c r="V173" s="25"/>
      <c r="W173" s="25"/>
      <c r="X173" s="51">
        <v>12.375999999999999</v>
      </c>
      <c r="Y173" s="25">
        <v>0</v>
      </c>
    </row>
    <row r="174" spans="1:25" ht="15" x14ac:dyDescent="0.2">
      <c r="A174" s="82" t="s">
        <v>251</v>
      </c>
      <c r="B174" s="128" t="s">
        <v>241</v>
      </c>
      <c r="C174" s="129" t="s">
        <v>428</v>
      </c>
      <c r="D174" s="10">
        <f>224707730+201510</f>
        <v>224909240</v>
      </c>
      <c r="E174" s="10">
        <v>0</v>
      </c>
      <c r="F174" s="10">
        <f t="shared" si="6"/>
        <v>224909240</v>
      </c>
      <c r="G174" s="8">
        <v>5.0679999999999996</v>
      </c>
      <c r="H174" s="11">
        <v>0</v>
      </c>
      <c r="I174" s="16">
        <v>0</v>
      </c>
      <c r="J174" s="11">
        <v>0</v>
      </c>
      <c r="K174" s="8">
        <v>0</v>
      </c>
      <c r="L174" s="12">
        <v>0.33300000000000002</v>
      </c>
      <c r="M174" s="11">
        <f t="shared" si="7"/>
        <v>0</v>
      </c>
      <c r="N174" s="13">
        <f t="shared" si="8"/>
        <v>5.4009999999999998</v>
      </c>
      <c r="O174" s="11">
        <v>13.053000000000001</v>
      </c>
      <c r="P174" s="11">
        <v>3056083.23</v>
      </c>
      <c r="Q174" s="14">
        <v>1796098.4316800002</v>
      </c>
      <c r="R174" s="15">
        <v>0</v>
      </c>
      <c r="S174" s="16"/>
      <c r="T174" s="16"/>
      <c r="V174" s="25"/>
      <c r="W174" s="25"/>
      <c r="X174" s="51">
        <v>5.0679999999999996</v>
      </c>
      <c r="Y174" s="25">
        <v>0</v>
      </c>
    </row>
    <row r="175" spans="1:25" ht="15" x14ac:dyDescent="0.2">
      <c r="A175" s="6" t="s">
        <v>252</v>
      </c>
      <c r="B175" s="6" t="s">
        <v>241</v>
      </c>
      <c r="C175" s="7" t="s">
        <v>429</v>
      </c>
      <c r="D175" s="10">
        <v>355110640</v>
      </c>
      <c r="E175" s="10">
        <v>0</v>
      </c>
      <c r="F175" s="10">
        <f t="shared" si="6"/>
        <v>355110640</v>
      </c>
      <c r="G175" s="8">
        <v>3.6139999999999999</v>
      </c>
      <c r="H175" s="11">
        <v>0.16500000000000001</v>
      </c>
      <c r="I175" s="16">
        <v>0.5139999999999999</v>
      </c>
      <c r="J175" s="11">
        <v>0</v>
      </c>
      <c r="K175" s="8">
        <v>0</v>
      </c>
      <c r="L175" s="12">
        <v>1.1399999999999999</v>
      </c>
      <c r="M175" s="11">
        <f t="shared" si="7"/>
        <v>1.1855460033526453E-5</v>
      </c>
      <c r="N175" s="13">
        <f t="shared" si="8"/>
        <v>5.4330118554600331</v>
      </c>
      <c r="O175" s="11">
        <v>3.6139999999999999</v>
      </c>
      <c r="P175" s="11">
        <v>1373269.73</v>
      </c>
      <c r="Q175" s="14">
        <v>147.75703999993857</v>
      </c>
      <c r="R175" s="15">
        <v>4.21</v>
      </c>
      <c r="S175" s="16"/>
      <c r="T175" s="16"/>
      <c r="V175" s="25"/>
      <c r="W175" s="25"/>
      <c r="X175" s="51">
        <v>4.2930000000000001</v>
      </c>
      <c r="Y175" s="25">
        <v>0</v>
      </c>
    </row>
    <row r="176" spans="1:25" ht="15" x14ac:dyDescent="0.2">
      <c r="A176" s="6" t="s">
        <v>253</v>
      </c>
      <c r="B176" s="6" t="s">
        <v>254</v>
      </c>
      <c r="C176" s="7" t="s">
        <v>255</v>
      </c>
      <c r="D176" s="10">
        <v>123645620</v>
      </c>
      <c r="E176" s="10">
        <v>0</v>
      </c>
      <c r="F176" s="10">
        <f t="shared" si="6"/>
        <v>123645620</v>
      </c>
      <c r="G176" s="8">
        <v>19.344999999999999</v>
      </c>
      <c r="H176" s="11">
        <v>0</v>
      </c>
      <c r="I176" s="16">
        <v>0</v>
      </c>
      <c r="J176" s="11">
        <v>0</v>
      </c>
      <c r="K176" s="8">
        <v>0</v>
      </c>
      <c r="L176" s="12">
        <v>9.657</v>
      </c>
      <c r="M176" s="11">
        <f t="shared" si="7"/>
        <v>1.4518670374251834E-2</v>
      </c>
      <c r="N176" s="13">
        <f t="shared" si="8"/>
        <v>29.01651867037425</v>
      </c>
      <c r="O176" s="11">
        <v>72.852999999999994</v>
      </c>
      <c r="P176" s="11">
        <v>9228596.3699999992</v>
      </c>
      <c r="Q176" s="14">
        <v>6616060.3510999996</v>
      </c>
      <c r="R176" s="15">
        <f>1816.8-21.63</f>
        <v>1795.1699999999998</v>
      </c>
      <c r="S176" s="16"/>
      <c r="T176" s="16"/>
      <c r="V176" s="25"/>
      <c r="W176" s="25"/>
      <c r="X176" s="51">
        <v>27</v>
      </c>
      <c r="Y176" s="25">
        <v>7.6549999999999994</v>
      </c>
    </row>
    <row r="177" spans="1:26" ht="15" x14ac:dyDescent="0.2">
      <c r="A177" s="6" t="s">
        <v>256</v>
      </c>
      <c r="B177" s="6" t="s">
        <v>254</v>
      </c>
      <c r="C177" s="7" t="s">
        <v>257</v>
      </c>
      <c r="D177" s="10">
        <v>114079050</v>
      </c>
      <c r="E177" s="10">
        <v>0</v>
      </c>
      <c r="F177" s="10">
        <f t="shared" si="6"/>
        <v>114079050</v>
      </c>
      <c r="G177" s="8">
        <v>16.032</v>
      </c>
      <c r="H177" s="11">
        <v>0</v>
      </c>
      <c r="I177" s="16">
        <v>0</v>
      </c>
      <c r="J177" s="11">
        <v>0</v>
      </c>
      <c r="K177" s="8">
        <v>0</v>
      </c>
      <c r="L177" s="12">
        <v>3.5059999999999998</v>
      </c>
      <c r="M177" s="11">
        <f t="shared" si="7"/>
        <v>7.8191394476023433E-3</v>
      </c>
      <c r="N177" s="13">
        <f t="shared" si="8"/>
        <v>19.545819139447602</v>
      </c>
      <c r="O177" s="11">
        <v>64.501000000000005</v>
      </c>
      <c r="P177" s="11">
        <v>7495241.0099999998</v>
      </c>
      <c r="Q177" s="14">
        <v>5529311.1903999997</v>
      </c>
      <c r="R177" s="15">
        <f>899.58-7.58</f>
        <v>892</v>
      </c>
      <c r="S177" s="16"/>
      <c r="T177" s="16"/>
      <c r="V177" s="25"/>
      <c r="W177" s="25"/>
      <c r="X177" s="51">
        <v>27</v>
      </c>
      <c r="Y177" s="25">
        <v>10.968</v>
      </c>
    </row>
    <row r="178" spans="1:26" ht="15" x14ac:dyDescent="0.2">
      <c r="A178" s="82" t="s">
        <v>258</v>
      </c>
      <c r="B178" s="128" t="s">
        <v>254</v>
      </c>
      <c r="C178" s="129" t="s">
        <v>259</v>
      </c>
      <c r="D178" s="10">
        <f>18387550+34586</f>
        <v>18422136</v>
      </c>
      <c r="E178" s="10">
        <v>0</v>
      </c>
      <c r="F178" s="10">
        <f t="shared" si="6"/>
        <v>18422136</v>
      </c>
      <c r="G178" s="8">
        <v>22.498000000000001</v>
      </c>
      <c r="H178" s="11">
        <v>0</v>
      </c>
      <c r="I178" s="16">
        <v>0</v>
      </c>
      <c r="J178" s="11">
        <v>0</v>
      </c>
      <c r="K178" s="8">
        <v>0</v>
      </c>
      <c r="L178" s="12">
        <v>0</v>
      </c>
      <c r="M178" s="11">
        <f t="shared" si="7"/>
        <v>1.0693656805052361E-4</v>
      </c>
      <c r="N178" s="13">
        <f t="shared" si="8"/>
        <v>22.498106936568053</v>
      </c>
      <c r="O178" s="11">
        <v>163.04</v>
      </c>
      <c r="P178" s="11">
        <v>3046657.17</v>
      </c>
      <c r="Q178" s="14">
        <v>2589084.4742720001</v>
      </c>
      <c r="R178" s="15">
        <f>7.15-5.18</f>
        <v>1.9700000000000006</v>
      </c>
      <c r="S178" s="16"/>
      <c r="T178" s="16"/>
      <c r="V178" s="25"/>
      <c r="W178" s="25"/>
      <c r="X178" s="51">
        <v>27</v>
      </c>
      <c r="Y178" s="25">
        <v>4.5019999999999998</v>
      </c>
    </row>
    <row r="179" spans="1:26" ht="15" x14ac:dyDescent="0.2">
      <c r="A179" s="6" t="s">
        <v>260</v>
      </c>
      <c r="B179" s="6" t="s">
        <v>254</v>
      </c>
      <c r="C179" s="7" t="s">
        <v>261</v>
      </c>
      <c r="D179" s="10">
        <f>16939960+1380535</f>
        <v>18320495</v>
      </c>
      <c r="E179" s="10">
        <v>0</v>
      </c>
      <c r="F179" s="10">
        <f t="shared" si="6"/>
        <v>18320495</v>
      </c>
      <c r="G179" s="8">
        <v>20.675000000000001</v>
      </c>
      <c r="H179" s="11">
        <v>0</v>
      </c>
      <c r="I179" s="16">
        <v>0</v>
      </c>
      <c r="J179" s="11">
        <v>0</v>
      </c>
      <c r="K179" s="8">
        <v>0</v>
      </c>
      <c r="L179" s="12">
        <v>15.959000000000001</v>
      </c>
      <c r="M179" s="11">
        <f t="shared" si="7"/>
        <v>2.6047331144709788E-3</v>
      </c>
      <c r="N179" s="13">
        <f t="shared" si="8"/>
        <v>36.636604733114474</v>
      </c>
      <c r="O179" s="11">
        <v>63.042999999999999</v>
      </c>
      <c r="P179" s="11">
        <v>1197457.8999999999</v>
      </c>
      <c r="Q179" s="14">
        <v>776211.51587499992</v>
      </c>
      <c r="R179" s="15">
        <f>38.96-3.24+12</f>
        <v>47.72</v>
      </c>
      <c r="S179" s="16"/>
      <c r="T179" s="16"/>
      <c r="V179" s="25"/>
      <c r="W179" s="25"/>
      <c r="X179" s="51">
        <v>27</v>
      </c>
      <c r="Y179" s="25">
        <v>6.3250000000000002</v>
      </c>
    </row>
    <row r="180" spans="1:26" x14ac:dyDescent="0.2">
      <c r="D180" s="10"/>
      <c r="E180" s="10"/>
      <c r="F180" s="10"/>
      <c r="H180" s="11"/>
    </row>
    <row r="181" spans="1:26" x14ac:dyDescent="0.2">
      <c r="D181" s="10">
        <f>SUM(D84:D180)</f>
        <v>39388746090.867004</v>
      </c>
      <c r="E181" s="10">
        <f t="shared" ref="E181:F181" si="9">SUM(E84:E180)</f>
        <v>-833812663</v>
      </c>
      <c r="F181" s="10">
        <f t="shared" si="9"/>
        <v>38554933427.867004</v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6" x14ac:dyDescent="0.2">
      <c r="F182" s="9"/>
    </row>
    <row r="183" spans="1:26" s="18" customFormat="1" x14ac:dyDescent="0.2">
      <c r="D183" s="9"/>
      <c r="E183" s="9"/>
      <c r="F183" s="9"/>
      <c r="X183" s="25"/>
      <c r="Z183" s="25"/>
    </row>
    <row r="185" spans="1:26" x14ac:dyDescent="0.2">
      <c r="D185" s="9"/>
      <c r="E185" s="9"/>
      <c r="F185" s="9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5817-4072-4F08-AD90-3D6C524E0EC0}">
  <sheetPr>
    <pageSetUpPr fitToPage="1"/>
  </sheetPr>
  <dimension ref="A1:FX742"/>
  <sheetViews>
    <sheetView workbookViewId="0">
      <pane xSplit="3" ySplit="5" topLeftCell="D354" activePane="bottomRight" state="frozenSplit"/>
      <selection activeCell="E1" sqref="E1"/>
      <selection pane="topRight" activeCell="C1" sqref="C1"/>
      <selection pane="bottomLeft"/>
      <selection pane="bottomRight" activeCell="E256" sqref="E256"/>
    </sheetView>
  </sheetViews>
  <sheetFormatPr defaultRowHeight="12.75" x14ac:dyDescent="0.2"/>
  <cols>
    <col min="1" max="1" width="11.140625" style="85" customWidth="1"/>
    <col min="2" max="2" width="14.5703125" style="85" customWidth="1"/>
    <col min="3" max="3" width="42.85546875" style="86" bestFit="1" customWidth="1"/>
    <col min="4" max="4" width="23.5703125" style="86" customWidth="1"/>
    <col min="5" max="5" width="11.85546875" style="86" customWidth="1"/>
    <col min="6" max="6" width="16.140625" style="85" bestFit="1" customWidth="1"/>
    <col min="7" max="7" width="15.42578125" style="85" hidden="1" customWidth="1"/>
    <col min="8" max="9" width="15.42578125" style="85" customWidth="1"/>
    <col min="10" max="10" width="15.5703125" style="85" bestFit="1" customWidth="1"/>
    <col min="11" max="11" width="19.5703125" style="85" hidden="1" customWidth="1"/>
    <col min="12" max="12" width="11.5703125" style="88" bestFit="1" customWidth="1"/>
    <col min="13" max="13" width="14.5703125" style="88" hidden="1" customWidth="1"/>
    <col min="14" max="14" width="14.5703125" style="88" customWidth="1"/>
    <col min="15" max="15" width="12.140625" style="88" customWidth="1"/>
    <col min="16" max="16" width="14.5703125" style="88" hidden="1" customWidth="1"/>
    <col min="17" max="17" width="12.42578125" style="88" customWidth="1"/>
    <col min="18" max="18" width="13.5703125" style="88" hidden="1" customWidth="1"/>
    <col min="19" max="19" width="11.42578125" style="88" customWidth="1"/>
    <col min="20" max="20" width="16.5703125" style="88" hidden="1" customWidth="1"/>
    <col min="21" max="21" width="13.85546875" style="88" customWidth="1"/>
    <col min="22" max="22" width="11.5703125" style="91" hidden="1" customWidth="1"/>
    <col min="23" max="23" width="10.5703125" style="88" bestFit="1" customWidth="1"/>
    <col min="24" max="24" width="16.5703125" style="88" hidden="1" customWidth="1"/>
    <col min="25" max="25" width="13.85546875" style="85" bestFit="1" customWidth="1"/>
    <col min="26" max="26" width="14.5703125" style="85" hidden="1" customWidth="1"/>
    <col min="27" max="27" width="8.85546875" style="85" customWidth="1"/>
    <col min="28" max="28" width="0.140625" style="85" customWidth="1"/>
    <col min="29" max="29" width="8.5703125" style="85" customWidth="1"/>
    <col min="30" max="30" width="15.5703125" style="85" hidden="1" customWidth="1"/>
    <col min="31" max="31" width="11.5703125" style="85" bestFit="1" customWidth="1"/>
    <col min="32" max="32" width="16.5703125" style="85" hidden="1" customWidth="1"/>
    <col min="33" max="33" width="9.42578125" style="85" customWidth="1"/>
    <col min="34" max="34" width="11.5703125" style="85" bestFit="1" customWidth="1"/>
    <col min="35" max="35" width="10.5703125" style="85" bestFit="1" customWidth="1"/>
    <col min="36" max="36" width="9.140625" style="85"/>
    <col min="37" max="37" width="10.5703125" style="85" bestFit="1" customWidth="1"/>
    <col min="38" max="38" width="10.5703125" style="85" hidden="1" customWidth="1"/>
    <col min="39" max="39" width="0" style="85" hidden="1" customWidth="1"/>
    <col min="40" max="40" width="11.85546875" style="85" hidden="1" customWidth="1"/>
    <col min="41" max="42" width="0" style="85" hidden="1" customWidth="1"/>
    <col min="43" max="43" width="14" style="85" hidden="1" customWidth="1"/>
    <col min="44" max="44" width="0" style="85" hidden="1" customWidth="1"/>
    <col min="45" max="45" width="17.5703125" style="85" hidden="1" customWidth="1"/>
    <col min="46" max="256" width="9.140625" style="85"/>
    <col min="257" max="257" width="11.140625" style="85" customWidth="1"/>
    <col min="258" max="258" width="14.5703125" style="85" customWidth="1"/>
    <col min="259" max="259" width="20.85546875" style="85" customWidth="1"/>
    <col min="260" max="260" width="23.5703125" style="85" customWidth="1"/>
    <col min="261" max="261" width="11.85546875" style="85" customWidth="1"/>
    <col min="262" max="262" width="16.140625" style="85" bestFit="1" customWidth="1"/>
    <col min="263" max="263" width="0" style="85" hidden="1" customWidth="1"/>
    <col min="264" max="265" width="15.42578125" style="85" customWidth="1"/>
    <col min="266" max="266" width="15.5703125" style="85" bestFit="1" customWidth="1"/>
    <col min="267" max="267" width="0" style="85" hidden="1" customWidth="1"/>
    <col min="268" max="268" width="11.5703125" style="85" bestFit="1" customWidth="1"/>
    <col min="269" max="269" width="0" style="85" hidden="1" customWidth="1"/>
    <col min="270" max="270" width="14.5703125" style="85" customWidth="1"/>
    <col min="271" max="271" width="12.140625" style="85" customWidth="1"/>
    <col min="272" max="272" width="0" style="85" hidden="1" customWidth="1"/>
    <col min="273" max="273" width="12.42578125" style="85" customWidth="1"/>
    <col min="274" max="274" width="0" style="85" hidden="1" customWidth="1"/>
    <col min="275" max="275" width="11.42578125" style="85" customWidth="1"/>
    <col min="276" max="276" width="0" style="85" hidden="1" customWidth="1"/>
    <col min="277" max="277" width="13.85546875" style="85" customWidth="1"/>
    <col min="278" max="278" width="0" style="85" hidden="1" customWidth="1"/>
    <col min="279" max="279" width="10.5703125" style="85" bestFit="1" customWidth="1"/>
    <col min="280" max="280" width="0" style="85" hidden="1" customWidth="1"/>
    <col min="281" max="281" width="13.85546875" style="85" bestFit="1" customWidth="1"/>
    <col min="282" max="282" width="0" style="85" hidden="1" customWidth="1"/>
    <col min="283" max="283" width="8.85546875" style="85" customWidth="1"/>
    <col min="284" max="284" width="0.140625" style="85" customWidth="1"/>
    <col min="285" max="285" width="8.5703125" style="85" customWidth="1"/>
    <col min="286" max="286" width="0" style="85" hidden="1" customWidth="1"/>
    <col min="287" max="287" width="11.5703125" style="85" bestFit="1" customWidth="1"/>
    <col min="288" max="288" width="0" style="85" hidden="1" customWidth="1"/>
    <col min="289" max="289" width="9.42578125" style="85" customWidth="1"/>
    <col min="290" max="290" width="11.5703125" style="85" bestFit="1" customWidth="1"/>
    <col min="291" max="291" width="10.5703125" style="85" bestFit="1" customWidth="1"/>
    <col min="292" max="292" width="9.140625" style="85"/>
    <col min="293" max="293" width="10.5703125" style="85" bestFit="1" customWidth="1"/>
    <col min="294" max="301" width="0" style="85" hidden="1" customWidth="1"/>
    <col min="302" max="512" width="9.140625" style="85"/>
    <col min="513" max="513" width="11.140625" style="85" customWidth="1"/>
    <col min="514" max="514" width="14.5703125" style="85" customWidth="1"/>
    <col min="515" max="515" width="20.85546875" style="85" customWidth="1"/>
    <col min="516" max="516" width="23.5703125" style="85" customWidth="1"/>
    <col min="517" max="517" width="11.85546875" style="85" customWidth="1"/>
    <col min="518" max="518" width="16.140625" style="85" bestFit="1" customWidth="1"/>
    <col min="519" max="519" width="0" style="85" hidden="1" customWidth="1"/>
    <col min="520" max="521" width="15.42578125" style="85" customWidth="1"/>
    <col min="522" max="522" width="15.5703125" style="85" bestFit="1" customWidth="1"/>
    <col min="523" max="523" width="0" style="85" hidden="1" customWidth="1"/>
    <col min="524" max="524" width="11.5703125" style="85" bestFit="1" customWidth="1"/>
    <col min="525" max="525" width="0" style="85" hidden="1" customWidth="1"/>
    <col min="526" max="526" width="14.5703125" style="85" customWidth="1"/>
    <col min="527" max="527" width="12.140625" style="85" customWidth="1"/>
    <col min="528" max="528" width="0" style="85" hidden="1" customWidth="1"/>
    <col min="529" max="529" width="12.42578125" style="85" customWidth="1"/>
    <col min="530" max="530" width="0" style="85" hidden="1" customWidth="1"/>
    <col min="531" max="531" width="11.42578125" style="85" customWidth="1"/>
    <col min="532" max="532" width="0" style="85" hidden="1" customWidth="1"/>
    <col min="533" max="533" width="13.85546875" style="85" customWidth="1"/>
    <col min="534" max="534" width="0" style="85" hidden="1" customWidth="1"/>
    <col min="535" max="535" width="10.5703125" style="85" bestFit="1" customWidth="1"/>
    <col min="536" max="536" width="0" style="85" hidden="1" customWidth="1"/>
    <col min="537" max="537" width="13.85546875" style="85" bestFit="1" customWidth="1"/>
    <col min="538" max="538" width="0" style="85" hidden="1" customWidth="1"/>
    <col min="539" max="539" width="8.85546875" style="85" customWidth="1"/>
    <col min="540" max="540" width="0.140625" style="85" customWidth="1"/>
    <col min="541" max="541" width="8.5703125" style="85" customWidth="1"/>
    <col min="542" max="542" width="0" style="85" hidden="1" customWidth="1"/>
    <col min="543" max="543" width="11.5703125" style="85" bestFit="1" customWidth="1"/>
    <col min="544" max="544" width="0" style="85" hidden="1" customWidth="1"/>
    <col min="545" max="545" width="9.42578125" style="85" customWidth="1"/>
    <col min="546" max="546" width="11.5703125" style="85" bestFit="1" customWidth="1"/>
    <col min="547" max="547" width="10.5703125" style="85" bestFit="1" customWidth="1"/>
    <col min="548" max="548" width="9.140625" style="85"/>
    <col min="549" max="549" width="10.5703125" style="85" bestFit="1" customWidth="1"/>
    <col min="550" max="557" width="0" style="85" hidden="1" customWidth="1"/>
    <col min="558" max="768" width="9.140625" style="85"/>
    <col min="769" max="769" width="11.140625" style="85" customWidth="1"/>
    <col min="770" max="770" width="14.5703125" style="85" customWidth="1"/>
    <col min="771" max="771" width="20.85546875" style="85" customWidth="1"/>
    <col min="772" max="772" width="23.5703125" style="85" customWidth="1"/>
    <col min="773" max="773" width="11.85546875" style="85" customWidth="1"/>
    <col min="774" max="774" width="16.140625" style="85" bestFit="1" customWidth="1"/>
    <col min="775" max="775" width="0" style="85" hidden="1" customWidth="1"/>
    <col min="776" max="777" width="15.42578125" style="85" customWidth="1"/>
    <col min="778" max="778" width="15.5703125" style="85" bestFit="1" customWidth="1"/>
    <col min="779" max="779" width="0" style="85" hidden="1" customWidth="1"/>
    <col min="780" max="780" width="11.5703125" style="85" bestFit="1" customWidth="1"/>
    <col min="781" max="781" width="0" style="85" hidden="1" customWidth="1"/>
    <col min="782" max="782" width="14.5703125" style="85" customWidth="1"/>
    <col min="783" max="783" width="12.140625" style="85" customWidth="1"/>
    <col min="784" max="784" width="0" style="85" hidden="1" customWidth="1"/>
    <col min="785" max="785" width="12.42578125" style="85" customWidth="1"/>
    <col min="786" max="786" width="0" style="85" hidden="1" customWidth="1"/>
    <col min="787" max="787" width="11.42578125" style="85" customWidth="1"/>
    <col min="788" max="788" width="0" style="85" hidden="1" customWidth="1"/>
    <col min="789" max="789" width="13.85546875" style="85" customWidth="1"/>
    <col min="790" max="790" width="0" style="85" hidden="1" customWidth="1"/>
    <col min="791" max="791" width="10.5703125" style="85" bestFit="1" customWidth="1"/>
    <col min="792" max="792" width="0" style="85" hidden="1" customWidth="1"/>
    <col min="793" max="793" width="13.85546875" style="85" bestFit="1" customWidth="1"/>
    <col min="794" max="794" width="0" style="85" hidden="1" customWidth="1"/>
    <col min="795" max="795" width="8.85546875" style="85" customWidth="1"/>
    <col min="796" max="796" width="0.140625" style="85" customWidth="1"/>
    <col min="797" max="797" width="8.5703125" style="85" customWidth="1"/>
    <col min="798" max="798" width="0" style="85" hidden="1" customWidth="1"/>
    <col min="799" max="799" width="11.5703125" style="85" bestFit="1" customWidth="1"/>
    <col min="800" max="800" width="0" style="85" hidden="1" customWidth="1"/>
    <col min="801" max="801" width="9.42578125" style="85" customWidth="1"/>
    <col min="802" max="802" width="11.5703125" style="85" bestFit="1" customWidth="1"/>
    <col min="803" max="803" width="10.5703125" style="85" bestFit="1" customWidth="1"/>
    <col min="804" max="804" width="9.140625" style="85"/>
    <col min="805" max="805" width="10.5703125" style="85" bestFit="1" customWidth="1"/>
    <col min="806" max="813" width="0" style="85" hidden="1" customWidth="1"/>
    <col min="814" max="1024" width="9.140625" style="85"/>
    <col min="1025" max="1025" width="11.140625" style="85" customWidth="1"/>
    <col min="1026" max="1026" width="14.5703125" style="85" customWidth="1"/>
    <col min="1027" max="1027" width="20.85546875" style="85" customWidth="1"/>
    <col min="1028" max="1028" width="23.5703125" style="85" customWidth="1"/>
    <col min="1029" max="1029" width="11.85546875" style="85" customWidth="1"/>
    <col min="1030" max="1030" width="16.140625" style="85" bestFit="1" customWidth="1"/>
    <col min="1031" max="1031" width="0" style="85" hidden="1" customWidth="1"/>
    <col min="1032" max="1033" width="15.42578125" style="85" customWidth="1"/>
    <col min="1034" max="1034" width="15.5703125" style="85" bestFit="1" customWidth="1"/>
    <col min="1035" max="1035" width="0" style="85" hidden="1" customWidth="1"/>
    <col min="1036" max="1036" width="11.5703125" style="85" bestFit="1" customWidth="1"/>
    <col min="1037" max="1037" width="0" style="85" hidden="1" customWidth="1"/>
    <col min="1038" max="1038" width="14.5703125" style="85" customWidth="1"/>
    <col min="1039" max="1039" width="12.140625" style="85" customWidth="1"/>
    <col min="1040" max="1040" width="0" style="85" hidden="1" customWidth="1"/>
    <col min="1041" max="1041" width="12.42578125" style="85" customWidth="1"/>
    <col min="1042" max="1042" width="0" style="85" hidden="1" customWidth="1"/>
    <col min="1043" max="1043" width="11.42578125" style="85" customWidth="1"/>
    <col min="1044" max="1044" width="0" style="85" hidden="1" customWidth="1"/>
    <col min="1045" max="1045" width="13.85546875" style="85" customWidth="1"/>
    <col min="1046" max="1046" width="0" style="85" hidden="1" customWidth="1"/>
    <col min="1047" max="1047" width="10.5703125" style="85" bestFit="1" customWidth="1"/>
    <col min="1048" max="1048" width="0" style="85" hidden="1" customWidth="1"/>
    <col min="1049" max="1049" width="13.85546875" style="85" bestFit="1" customWidth="1"/>
    <col min="1050" max="1050" width="0" style="85" hidden="1" customWidth="1"/>
    <col min="1051" max="1051" width="8.85546875" style="85" customWidth="1"/>
    <col min="1052" max="1052" width="0.140625" style="85" customWidth="1"/>
    <col min="1053" max="1053" width="8.5703125" style="85" customWidth="1"/>
    <col min="1054" max="1054" width="0" style="85" hidden="1" customWidth="1"/>
    <col min="1055" max="1055" width="11.5703125" style="85" bestFit="1" customWidth="1"/>
    <col min="1056" max="1056" width="0" style="85" hidden="1" customWidth="1"/>
    <col min="1057" max="1057" width="9.42578125" style="85" customWidth="1"/>
    <col min="1058" max="1058" width="11.5703125" style="85" bestFit="1" customWidth="1"/>
    <col min="1059" max="1059" width="10.5703125" style="85" bestFit="1" customWidth="1"/>
    <col min="1060" max="1060" width="9.140625" style="85"/>
    <col min="1061" max="1061" width="10.5703125" style="85" bestFit="1" customWidth="1"/>
    <col min="1062" max="1069" width="0" style="85" hidden="1" customWidth="1"/>
    <col min="1070" max="1280" width="9.140625" style="85"/>
    <col min="1281" max="1281" width="11.140625" style="85" customWidth="1"/>
    <col min="1282" max="1282" width="14.5703125" style="85" customWidth="1"/>
    <col min="1283" max="1283" width="20.85546875" style="85" customWidth="1"/>
    <col min="1284" max="1284" width="23.5703125" style="85" customWidth="1"/>
    <col min="1285" max="1285" width="11.85546875" style="85" customWidth="1"/>
    <col min="1286" max="1286" width="16.140625" style="85" bestFit="1" customWidth="1"/>
    <col min="1287" max="1287" width="0" style="85" hidden="1" customWidth="1"/>
    <col min="1288" max="1289" width="15.42578125" style="85" customWidth="1"/>
    <col min="1290" max="1290" width="15.5703125" style="85" bestFit="1" customWidth="1"/>
    <col min="1291" max="1291" width="0" style="85" hidden="1" customWidth="1"/>
    <col min="1292" max="1292" width="11.5703125" style="85" bestFit="1" customWidth="1"/>
    <col min="1293" max="1293" width="0" style="85" hidden="1" customWidth="1"/>
    <col min="1294" max="1294" width="14.5703125" style="85" customWidth="1"/>
    <col min="1295" max="1295" width="12.140625" style="85" customWidth="1"/>
    <col min="1296" max="1296" width="0" style="85" hidden="1" customWidth="1"/>
    <col min="1297" max="1297" width="12.42578125" style="85" customWidth="1"/>
    <col min="1298" max="1298" width="0" style="85" hidden="1" customWidth="1"/>
    <col min="1299" max="1299" width="11.42578125" style="85" customWidth="1"/>
    <col min="1300" max="1300" width="0" style="85" hidden="1" customWidth="1"/>
    <col min="1301" max="1301" width="13.85546875" style="85" customWidth="1"/>
    <col min="1302" max="1302" width="0" style="85" hidden="1" customWidth="1"/>
    <col min="1303" max="1303" width="10.5703125" style="85" bestFit="1" customWidth="1"/>
    <col min="1304" max="1304" width="0" style="85" hidden="1" customWidth="1"/>
    <col min="1305" max="1305" width="13.85546875" style="85" bestFit="1" customWidth="1"/>
    <col min="1306" max="1306" width="0" style="85" hidden="1" customWidth="1"/>
    <col min="1307" max="1307" width="8.85546875" style="85" customWidth="1"/>
    <col min="1308" max="1308" width="0.140625" style="85" customWidth="1"/>
    <col min="1309" max="1309" width="8.5703125" style="85" customWidth="1"/>
    <col min="1310" max="1310" width="0" style="85" hidden="1" customWidth="1"/>
    <col min="1311" max="1311" width="11.5703125" style="85" bestFit="1" customWidth="1"/>
    <col min="1312" max="1312" width="0" style="85" hidden="1" customWidth="1"/>
    <col min="1313" max="1313" width="9.42578125" style="85" customWidth="1"/>
    <col min="1314" max="1314" width="11.5703125" style="85" bestFit="1" customWidth="1"/>
    <col min="1315" max="1315" width="10.5703125" style="85" bestFit="1" customWidth="1"/>
    <col min="1316" max="1316" width="9.140625" style="85"/>
    <col min="1317" max="1317" width="10.5703125" style="85" bestFit="1" customWidth="1"/>
    <col min="1318" max="1325" width="0" style="85" hidden="1" customWidth="1"/>
    <col min="1326" max="1536" width="9.140625" style="85"/>
    <col min="1537" max="1537" width="11.140625" style="85" customWidth="1"/>
    <col min="1538" max="1538" width="14.5703125" style="85" customWidth="1"/>
    <col min="1539" max="1539" width="20.85546875" style="85" customWidth="1"/>
    <col min="1540" max="1540" width="23.5703125" style="85" customWidth="1"/>
    <col min="1541" max="1541" width="11.85546875" style="85" customWidth="1"/>
    <col min="1542" max="1542" width="16.140625" style="85" bestFit="1" customWidth="1"/>
    <col min="1543" max="1543" width="0" style="85" hidden="1" customWidth="1"/>
    <col min="1544" max="1545" width="15.42578125" style="85" customWidth="1"/>
    <col min="1546" max="1546" width="15.5703125" style="85" bestFit="1" customWidth="1"/>
    <col min="1547" max="1547" width="0" style="85" hidden="1" customWidth="1"/>
    <col min="1548" max="1548" width="11.5703125" style="85" bestFit="1" customWidth="1"/>
    <col min="1549" max="1549" width="0" style="85" hidden="1" customWidth="1"/>
    <col min="1550" max="1550" width="14.5703125" style="85" customWidth="1"/>
    <col min="1551" max="1551" width="12.140625" style="85" customWidth="1"/>
    <col min="1552" max="1552" width="0" style="85" hidden="1" customWidth="1"/>
    <col min="1553" max="1553" width="12.42578125" style="85" customWidth="1"/>
    <col min="1554" max="1554" width="0" style="85" hidden="1" customWidth="1"/>
    <col min="1555" max="1555" width="11.42578125" style="85" customWidth="1"/>
    <col min="1556" max="1556" width="0" style="85" hidden="1" customWidth="1"/>
    <col min="1557" max="1557" width="13.85546875" style="85" customWidth="1"/>
    <col min="1558" max="1558" width="0" style="85" hidden="1" customWidth="1"/>
    <col min="1559" max="1559" width="10.5703125" style="85" bestFit="1" customWidth="1"/>
    <col min="1560" max="1560" width="0" style="85" hidden="1" customWidth="1"/>
    <col min="1561" max="1561" width="13.85546875" style="85" bestFit="1" customWidth="1"/>
    <col min="1562" max="1562" width="0" style="85" hidden="1" customWidth="1"/>
    <col min="1563" max="1563" width="8.85546875" style="85" customWidth="1"/>
    <col min="1564" max="1564" width="0.140625" style="85" customWidth="1"/>
    <col min="1565" max="1565" width="8.5703125" style="85" customWidth="1"/>
    <col min="1566" max="1566" width="0" style="85" hidden="1" customWidth="1"/>
    <col min="1567" max="1567" width="11.5703125" style="85" bestFit="1" customWidth="1"/>
    <col min="1568" max="1568" width="0" style="85" hidden="1" customWidth="1"/>
    <col min="1569" max="1569" width="9.42578125" style="85" customWidth="1"/>
    <col min="1570" max="1570" width="11.5703125" style="85" bestFit="1" customWidth="1"/>
    <col min="1571" max="1571" width="10.5703125" style="85" bestFit="1" customWidth="1"/>
    <col min="1572" max="1572" width="9.140625" style="85"/>
    <col min="1573" max="1573" width="10.5703125" style="85" bestFit="1" customWidth="1"/>
    <col min="1574" max="1581" width="0" style="85" hidden="1" customWidth="1"/>
    <col min="1582" max="1792" width="9.140625" style="85"/>
    <col min="1793" max="1793" width="11.140625" style="85" customWidth="1"/>
    <col min="1794" max="1794" width="14.5703125" style="85" customWidth="1"/>
    <col min="1795" max="1795" width="20.85546875" style="85" customWidth="1"/>
    <col min="1796" max="1796" width="23.5703125" style="85" customWidth="1"/>
    <col min="1797" max="1797" width="11.85546875" style="85" customWidth="1"/>
    <col min="1798" max="1798" width="16.140625" style="85" bestFit="1" customWidth="1"/>
    <col min="1799" max="1799" width="0" style="85" hidden="1" customWidth="1"/>
    <col min="1800" max="1801" width="15.42578125" style="85" customWidth="1"/>
    <col min="1802" max="1802" width="15.5703125" style="85" bestFit="1" customWidth="1"/>
    <col min="1803" max="1803" width="0" style="85" hidden="1" customWidth="1"/>
    <col min="1804" max="1804" width="11.5703125" style="85" bestFit="1" customWidth="1"/>
    <col min="1805" max="1805" width="0" style="85" hidden="1" customWidth="1"/>
    <col min="1806" max="1806" width="14.5703125" style="85" customWidth="1"/>
    <col min="1807" max="1807" width="12.140625" style="85" customWidth="1"/>
    <col min="1808" max="1808" width="0" style="85" hidden="1" customWidth="1"/>
    <col min="1809" max="1809" width="12.42578125" style="85" customWidth="1"/>
    <col min="1810" max="1810" width="0" style="85" hidden="1" customWidth="1"/>
    <col min="1811" max="1811" width="11.42578125" style="85" customWidth="1"/>
    <col min="1812" max="1812" width="0" style="85" hidden="1" customWidth="1"/>
    <col min="1813" max="1813" width="13.85546875" style="85" customWidth="1"/>
    <col min="1814" max="1814" width="0" style="85" hidden="1" customWidth="1"/>
    <col min="1815" max="1815" width="10.5703125" style="85" bestFit="1" customWidth="1"/>
    <col min="1816" max="1816" width="0" style="85" hidden="1" customWidth="1"/>
    <col min="1817" max="1817" width="13.85546875" style="85" bestFit="1" customWidth="1"/>
    <col min="1818" max="1818" width="0" style="85" hidden="1" customWidth="1"/>
    <col min="1819" max="1819" width="8.85546875" style="85" customWidth="1"/>
    <col min="1820" max="1820" width="0.140625" style="85" customWidth="1"/>
    <col min="1821" max="1821" width="8.5703125" style="85" customWidth="1"/>
    <col min="1822" max="1822" width="0" style="85" hidden="1" customWidth="1"/>
    <col min="1823" max="1823" width="11.5703125" style="85" bestFit="1" customWidth="1"/>
    <col min="1824" max="1824" width="0" style="85" hidden="1" customWidth="1"/>
    <col min="1825" max="1825" width="9.42578125" style="85" customWidth="1"/>
    <col min="1826" max="1826" width="11.5703125" style="85" bestFit="1" customWidth="1"/>
    <col min="1827" max="1827" width="10.5703125" style="85" bestFit="1" customWidth="1"/>
    <col min="1828" max="1828" width="9.140625" style="85"/>
    <col min="1829" max="1829" width="10.5703125" style="85" bestFit="1" customWidth="1"/>
    <col min="1830" max="1837" width="0" style="85" hidden="1" customWidth="1"/>
    <col min="1838" max="2048" width="9.140625" style="85"/>
    <col min="2049" max="2049" width="11.140625" style="85" customWidth="1"/>
    <col min="2050" max="2050" width="14.5703125" style="85" customWidth="1"/>
    <col min="2051" max="2051" width="20.85546875" style="85" customWidth="1"/>
    <col min="2052" max="2052" width="23.5703125" style="85" customWidth="1"/>
    <col min="2053" max="2053" width="11.85546875" style="85" customWidth="1"/>
    <col min="2054" max="2054" width="16.140625" style="85" bestFit="1" customWidth="1"/>
    <col min="2055" max="2055" width="0" style="85" hidden="1" customWidth="1"/>
    <col min="2056" max="2057" width="15.42578125" style="85" customWidth="1"/>
    <col min="2058" max="2058" width="15.5703125" style="85" bestFit="1" customWidth="1"/>
    <col min="2059" max="2059" width="0" style="85" hidden="1" customWidth="1"/>
    <col min="2060" max="2060" width="11.5703125" style="85" bestFit="1" customWidth="1"/>
    <col min="2061" max="2061" width="0" style="85" hidden="1" customWidth="1"/>
    <col min="2062" max="2062" width="14.5703125" style="85" customWidth="1"/>
    <col min="2063" max="2063" width="12.140625" style="85" customWidth="1"/>
    <col min="2064" max="2064" width="0" style="85" hidden="1" customWidth="1"/>
    <col min="2065" max="2065" width="12.42578125" style="85" customWidth="1"/>
    <col min="2066" max="2066" width="0" style="85" hidden="1" customWidth="1"/>
    <col min="2067" max="2067" width="11.42578125" style="85" customWidth="1"/>
    <col min="2068" max="2068" width="0" style="85" hidden="1" customWidth="1"/>
    <col min="2069" max="2069" width="13.85546875" style="85" customWidth="1"/>
    <col min="2070" max="2070" width="0" style="85" hidden="1" customWidth="1"/>
    <col min="2071" max="2071" width="10.5703125" style="85" bestFit="1" customWidth="1"/>
    <col min="2072" max="2072" width="0" style="85" hidden="1" customWidth="1"/>
    <col min="2073" max="2073" width="13.85546875" style="85" bestFit="1" customWidth="1"/>
    <col min="2074" max="2074" width="0" style="85" hidden="1" customWidth="1"/>
    <col min="2075" max="2075" width="8.85546875" style="85" customWidth="1"/>
    <col min="2076" max="2076" width="0.140625" style="85" customWidth="1"/>
    <col min="2077" max="2077" width="8.5703125" style="85" customWidth="1"/>
    <col min="2078" max="2078" width="0" style="85" hidden="1" customWidth="1"/>
    <col min="2079" max="2079" width="11.5703125" style="85" bestFit="1" customWidth="1"/>
    <col min="2080" max="2080" width="0" style="85" hidden="1" customWidth="1"/>
    <col min="2081" max="2081" width="9.42578125" style="85" customWidth="1"/>
    <col min="2082" max="2082" width="11.5703125" style="85" bestFit="1" customWidth="1"/>
    <col min="2083" max="2083" width="10.5703125" style="85" bestFit="1" customWidth="1"/>
    <col min="2084" max="2084" width="9.140625" style="85"/>
    <col min="2085" max="2085" width="10.5703125" style="85" bestFit="1" customWidth="1"/>
    <col min="2086" max="2093" width="0" style="85" hidden="1" customWidth="1"/>
    <col min="2094" max="2304" width="9.140625" style="85"/>
    <col min="2305" max="2305" width="11.140625" style="85" customWidth="1"/>
    <col min="2306" max="2306" width="14.5703125" style="85" customWidth="1"/>
    <col min="2307" max="2307" width="20.85546875" style="85" customWidth="1"/>
    <col min="2308" max="2308" width="23.5703125" style="85" customWidth="1"/>
    <col min="2309" max="2309" width="11.85546875" style="85" customWidth="1"/>
    <col min="2310" max="2310" width="16.140625" style="85" bestFit="1" customWidth="1"/>
    <col min="2311" max="2311" width="0" style="85" hidden="1" customWidth="1"/>
    <col min="2312" max="2313" width="15.42578125" style="85" customWidth="1"/>
    <col min="2314" max="2314" width="15.5703125" style="85" bestFit="1" customWidth="1"/>
    <col min="2315" max="2315" width="0" style="85" hidden="1" customWidth="1"/>
    <col min="2316" max="2316" width="11.5703125" style="85" bestFit="1" customWidth="1"/>
    <col min="2317" max="2317" width="0" style="85" hidden="1" customWidth="1"/>
    <col min="2318" max="2318" width="14.5703125" style="85" customWidth="1"/>
    <col min="2319" max="2319" width="12.140625" style="85" customWidth="1"/>
    <col min="2320" max="2320" width="0" style="85" hidden="1" customWidth="1"/>
    <col min="2321" max="2321" width="12.42578125" style="85" customWidth="1"/>
    <col min="2322" max="2322" width="0" style="85" hidden="1" customWidth="1"/>
    <col min="2323" max="2323" width="11.42578125" style="85" customWidth="1"/>
    <col min="2324" max="2324" width="0" style="85" hidden="1" customWidth="1"/>
    <col min="2325" max="2325" width="13.85546875" style="85" customWidth="1"/>
    <col min="2326" max="2326" width="0" style="85" hidden="1" customWidth="1"/>
    <col min="2327" max="2327" width="10.5703125" style="85" bestFit="1" customWidth="1"/>
    <col min="2328" max="2328" width="0" style="85" hidden="1" customWidth="1"/>
    <col min="2329" max="2329" width="13.85546875" style="85" bestFit="1" customWidth="1"/>
    <col min="2330" max="2330" width="0" style="85" hidden="1" customWidth="1"/>
    <col min="2331" max="2331" width="8.85546875" style="85" customWidth="1"/>
    <col min="2332" max="2332" width="0.140625" style="85" customWidth="1"/>
    <col min="2333" max="2333" width="8.5703125" style="85" customWidth="1"/>
    <col min="2334" max="2334" width="0" style="85" hidden="1" customWidth="1"/>
    <col min="2335" max="2335" width="11.5703125" style="85" bestFit="1" customWidth="1"/>
    <col min="2336" max="2336" width="0" style="85" hidden="1" customWidth="1"/>
    <col min="2337" max="2337" width="9.42578125" style="85" customWidth="1"/>
    <col min="2338" max="2338" width="11.5703125" style="85" bestFit="1" customWidth="1"/>
    <col min="2339" max="2339" width="10.5703125" style="85" bestFit="1" customWidth="1"/>
    <col min="2340" max="2340" width="9.140625" style="85"/>
    <col min="2341" max="2341" width="10.5703125" style="85" bestFit="1" customWidth="1"/>
    <col min="2342" max="2349" width="0" style="85" hidden="1" customWidth="1"/>
    <col min="2350" max="2560" width="9.140625" style="85"/>
    <col min="2561" max="2561" width="11.140625" style="85" customWidth="1"/>
    <col min="2562" max="2562" width="14.5703125" style="85" customWidth="1"/>
    <col min="2563" max="2563" width="20.85546875" style="85" customWidth="1"/>
    <col min="2564" max="2564" width="23.5703125" style="85" customWidth="1"/>
    <col min="2565" max="2565" width="11.85546875" style="85" customWidth="1"/>
    <col min="2566" max="2566" width="16.140625" style="85" bestFit="1" customWidth="1"/>
    <col min="2567" max="2567" width="0" style="85" hidden="1" customWidth="1"/>
    <col min="2568" max="2569" width="15.42578125" style="85" customWidth="1"/>
    <col min="2570" max="2570" width="15.5703125" style="85" bestFit="1" customWidth="1"/>
    <col min="2571" max="2571" width="0" style="85" hidden="1" customWidth="1"/>
    <col min="2572" max="2572" width="11.5703125" style="85" bestFit="1" customWidth="1"/>
    <col min="2573" max="2573" width="0" style="85" hidden="1" customWidth="1"/>
    <col min="2574" max="2574" width="14.5703125" style="85" customWidth="1"/>
    <col min="2575" max="2575" width="12.140625" style="85" customWidth="1"/>
    <col min="2576" max="2576" width="0" style="85" hidden="1" customWidth="1"/>
    <col min="2577" max="2577" width="12.42578125" style="85" customWidth="1"/>
    <col min="2578" max="2578" width="0" style="85" hidden="1" customWidth="1"/>
    <col min="2579" max="2579" width="11.42578125" style="85" customWidth="1"/>
    <col min="2580" max="2580" width="0" style="85" hidden="1" customWidth="1"/>
    <col min="2581" max="2581" width="13.85546875" style="85" customWidth="1"/>
    <col min="2582" max="2582" width="0" style="85" hidden="1" customWidth="1"/>
    <col min="2583" max="2583" width="10.5703125" style="85" bestFit="1" customWidth="1"/>
    <col min="2584" max="2584" width="0" style="85" hidden="1" customWidth="1"/>
    <col min="2585" max="2585" width="13.85546875" style="85" bestFit="1" customWidth="1"/>
    <col min="2586" max="2586" width="0" style="85" hidden="1" customWidth="1"/>
    <col min="2587" max="2587" width="8.85546875" style="85" customWidth="1"/>
    <col min="2588" max="2588" width="0.140625" style="85" customWidth="1"/>
    <col min="2589" max="2589" width="8.5703125" style="85" customWidth="1"/>
    <col min="2590" max="2590" width="0" style="85" hidden="1" customWidth="1"/>
    <col min="2591" max="2591" width="11.5703125" style="85" bestFit="1" customWidth="1"/>
    <col min="2592" max="2592" width="0" style="85" hidden="1" customWidth="1"/>
    <col min="2593" max="2593" width="9.42578125" style="85" customWidth="1"/>
    <col min="2594" max="2594" width="11.5703125" style="85" bestFit="1" customWidth="1"/>
    <col min="2595" max="2595" width="10.5703125" style="85" bestFit="1" customWidth="1"/>
    <col min="2596" max="2596" width="9.140625" style="85"/>
    <col min="2597" max="2597" width="10.5703125" style="85" bestFit="1" customWidth="1"/>
    <col min="2598" max="2605" width="0" style="85" hidden="1" customWidth="1"/>
    <col min="2606" max="2816" width="9.140625" style="85"/>
    <col min="2817" max="2817" width="11.140625" style="85" customWidth="1"/>
    <col min="2818" max="2818" width="14.5703125" style="85" customWidth="1"/>
    <col min="2819" max="2819" width="20.85546875" style="85" customWidth="1"/>
    <col min="2820" max="2820" width="23.5703125" style="85" customWidth="1"/>
    <col min="2821" max="2821" width="11.85546875" style="85" customWidth="1"/>
    <col min="2822" max="2822" width="16.140625" style="85" bestFit="1" customWidth="1"/>
    <col min="2823" max="2823" width="0" style="85" hidden="1" customWidth="1"/>
    <col min="2824" max="2825" width="15.42578125" style="85" customWidth="1"/>
    <col min="2826" max="2826" width="15.5703125" style="85" bestFit="1" customWidth="1"/>
    <col min="2827" max="2827" width="0" style="85" hidden="1" customWidth="1"/>
    <col min="2828" max="2828" width="11.5703125" style="85" bestFit="1" customWidth="1"/>
    <col min="2829" max="2829" width="0" style="85" hidden="1" customWidth="1"/>
    <col min="2830" max="2830" width="14.5703125" style="85" customWidth="1"/>
    <col min="2831" max="2831" width="12.140625" style="85" customWidth="1"/>
    <col min="2832" max="2832" width="0" style="85" hidden="1" customWidth="1"/>
    <col min="2833" max="2833" width="12.42578125" style="85" customWidth="1"/>
    <col min="2834" max="2834" width="0" style="85" hidden="1" customWidth="1"/>
    <col min="2835" max="2835" width="11.42578125" style="85" customWidth="1"/>
    <col min="2836" max="2836" width="0" style="85" hidden="1" customWidth="1"/>
    <col min="2837" max="2837" width="13.85546875" style="85" customWidth="1"/>
    <col min="2838" max="2838" width="0" style="85" hidden="1" customWidth="1"/>
    <col min="2839" max="2839" width="10.5703125" style="85" bestFit="1" customWidth="1"/>
    <col min="2840" max="2840" width="0" style="85" hidden="1" customWidth="1"/>
    <col min="2841" max="2841" width="13.85546875" style="85" bestFit="1" customWidth="1"/>
    <col min="2842" max="2842" width="0" style="85" hidden="1" customWidth="1"/>
    <col min="2843" max="2843" width="8.85546875" style="85" customWidth="1"/>
    <col min="2844" max="2844" width="0.140625" style="85" customWidth="1"/>
    <col min="2845" max="2845" width="8.5703125" style="85" customWidth="1"/>
    <col min="2846" max="2846" width="0" style="85" hidden="1" customWidth="1"/>
    <col min="2847" max="2847" width="11.5703125" style="85" bestFit="1" customWidth="1"/>
    <col min="2848" max="2848" width="0" style="85" hidden="1" customWidth="1"/>
    <col min="2849" max="2849" width="9.42578125" style="85" customWidth="1"/>
    <col min="2850" max="2850" width="11.5703125" style="85" bestFit="1" customWidth="1"/>
    <col min="2851" max="2851" width="10.5703125" style="85" bestFit="1" customWidth="1"/>
    <col min="2852" max="2852" width="9.140625" style="85"/>
    <col min="2853" max="2853" width="10.5703125" style="85" bestFit="1" customWidth="1"/>
    <col min="2854" max="2861" width="0" style="85" hidden="1" customWidth="1"/>
    <col min="2862" max="3072" width="9.140625" style="85"/>
    <col min="3073" max="3073" width="11.140625" style="85" customWidth="1"/>
    <col min="3074" max="3074" width="14.5703125" style="85" customWidth="1"/>
    <col min="3075" max="3075" width="20.85546875" style="85" customWidth="1"/>
    <col min="3076" max="3076" width="23.5703125" style="85" customWidth="1"/>
    <col min="3077" max="3077" width="11.85546875" style="85" customWidth="1"/>
    <col min="3078" max="3078" width="16.140625" style="85" bestFit="1" customWidth="1"/>
    <col min="3079" max="3079" width="0" style="85" hidden="1" customWidth="1"/>
    <col min="3080" max="3081" width="15.42578125" style="85" customWidth="1"/>
    <col min="3082" max="3082" width="15.5703125" style="85" bestFit="1" customWidth="1"/>
    <col min="3083" max="3083" width="0" style="85" hidden="1" customWidth="1"/>
    <col min="3084" max="3084" width="11.5703125" style="85" bestFit="1" customWidth="1"/>
    <col min="3085" max="3085" width="0" style="85" hidden="1" customWidth="1"/>
    <col min="3086" max="3086" width="14.5703125" style="85" customWidth="1"/>
    <col min="3087" max="3087" width="12.140625" style="85" customWidth="1"/>
    <col min="3088" max="3088" width="0" style="85" hidden="1" customWidth="1"/>
    <col min="3089" max="3089" width="12.42578125" style="85" customWidth="1"/>
    <col min="3090" max="3090" width="0" style="85" hidden="1" customWidth="1"/>
    <col min="3091" max="3091" width="11.42578125" style="85" customWidth="1"/>
    <col min="3092" max="3092" width="0" style="85" hidden="1" customWidth="1"/>
    <col min="3093" max="3093" width="13.85546875" style="85" customWidth="1"/>
    <col min="3094" max="3094" width="0" style="85" hidden="1" customWidth="1"/>
    <col min="3095" max="3095" width="10.5703125" style="85" bestFit="1" customWidth="1"/>
    <col min="3096" max="3096" width="0" style="85" hidden="1" customWidth="1"/>
    <col min="3097" max="3097" width="13.85546875" style="85" bestFit="1" customWidth="1"/>
    <col min="3098" max="3098" width="0" style="85" hidden="1" customWidth="1"/>
    <col min="3099" max="3099" width="8.85546875" style="85" customWidth="1"/>
    <col min="3100" max="3100" width="0.140625" style="85" customWidth="1"/>
    <col min="3101" max="3101" width="8.5703125" style="85" customWidth="1"/>
    <col min="3102" max="3102" width="0" style="85" hidden="1" customWidth="1"/>
    <col min="3103" max="3103" width="11.5703125" style="85" bestFit="1" customWidth="1"/>
    <col min="3104" max="3104" width="0" style="85" hidden="1" customWidth="1"/>
    <col min="3105" max="3105" width="9.42578125" style="85" customWidth="1"/>
    <col min="3106" max="3106" width="11.5703125" style="85" bestFit="1" customWidth="1"/>
    <col min="3107" max="3107" width="10.5703125" style="85" bestFit="1" customWidth="1"/>
    <col min="3108" max="3108" width="9.140625" style="85"/>
    <col min="3109" max="3109" width="10.5703125" style="85" bestFit="1" customWidth="1"/>
    <col min="3110" max="3117" width="0" style="85" hidden="1" customWidth="1"/>
    <col min="3118" max="3328" width="9.140625" style="85"/>
    <col min="3329" max="3329" width="11.140625" style="85" customWidth="1"/>
    <col min="3330" max="3330" width="14.5703125" style="85" customWidth="1"/>
    <col min="3331" max="3331" width="20.85546875" style="85" customWidth="1"/>
    <col min="3332" max="3332" width="23.5703125" style="85" customWidth="1"/>
    <col min="3333" max="3333" width="11.85546875" style="85" customWidth="1"/>
    <col min="3334" max="3334" width="16.140625" style="85" bestFit="1" customWidth="1"/>
    <col min="3335" max="3335" width="0" style="85" hidden="1" customWidth="1"/>
    <col min="3336" max="3337" width="15.42578125" style="85" customWidth="1"/>
    <col min="3338" max="3338" width="15.5703125" style="85" bestFit="1" customWidth="1"/>
    <col min="3339" max="3339" width="0" style="85" hidden="1" customWidth="1"/>
    <col min="3340" max="3340" width="11.5703125" style="85" bestFit="1" customWidth="1"/>
    <col min="3341" max="3341" width="0" style="85" hidden="1" customWidth="1"/>
    <col min="3342" max="3342" width="14.5703125" style="85" customWidth="1"/>
    <col min="3343" max="3343" width="12.140625" style="85" customWidth="1"/>
    <col min="3344" max="3344" width="0" style="85" hidden="1" customWidth="1"/>
    <col min="3345" max="3345" width="12.42578125" style="85" customWidth="1"/>
    <col min="3346" max="3346" width="0" style="85" hidden="1" customWidth="1"/>
    <col min="3347" max="3347" width="11.42578125" style="85" customWidth="1"/>
    <col min="3348" max="3348" width="0" style="85" hidden="1" customWidth="1"/>
    <col min="3349" max="3349" width="13.85546875" style="85" customWidth="1"/>
    <col min="3350" max="3350" width="0" style="85" hidden="1" customWidth="1"/>
    <col min="3351" max="3351" width="10.5703125" style="85" bestFit="1" customWidth="1"/>
    <col min="3352" max="3352" width="0" style="85" hidden="1" customWidth="1"/>
    <col min="3353" max="3353" width="13.85546875" style="85" bestFit="1" customWidth="1"/>
    <col min="3354" max="3354" width="0" style="85" hidden="1" customWidth="1"/>
    <col min="3355" max="3355" width="8.85546875" style="85" customWidth="1"/>
    <col min="3356" max="3356" width="0.140625" style="85" customWidth="1"/>
    <col min="3357" max="3357" width="8.5703125" style="85" customWidth="1"/>
    <col min="3358" max="3358" width="0" style="85" hidden="1" customWidth="1"/>
    <col min="3359" max="3359" width="11.5703125" style="85" bestFit="1" customWidth="1"/>
    <col min="3360" max="3360" width="0" style="85" hidden="1" customWidth="1"/>
    <col min="3361" max="3361" width="9.42578125" style="85" customWidth="1"/>
    <col min="3362" max="3362" width="11.5703125" style="85" bestFit="1" customWidth="1"/>
    <col min="3363" max="3363" width="10.5703125" style="85" bestFit="1" customWidth="1"/>
    <col min="3364" max="3364" width="9.140625" style="85"/>
    <col min="3365" max="3365" width="10.5703125" style="85" bestFit="1" customWidth="1"/>
    <col min="3366" max="3373" width="0" style="85" hidden="1" customWidth="1"/>
    <col min="3374" max="3584" width="9.140625" style="85"/>
    <col min="3585" max="3585" width="11.140625" style="85" customWidth="1"/>
    <col min="3586" max="3586" width="14.5703125" style="85" customWidth="1"/>
    <col min="3587" max="3587" width="20.85546875" style="85" customWidth="1"/>
    <col min="3588" max="3588" width="23.5703125" style="85" customWidth="1"/>
    <col min="3589" max="3589" width="11.85546875" style="85" customWidth="1"/>
    <col min="3590" max="3590" width="16.140625" style="85" bestFit="1" customWidth="1"/>
    <col min="3591" max="3591" width="0" style="85" hidden="1" customWidth="1"/>
    <col min="3592" max="3593" width="15.42578125" style="85" customWidth="1"/>
    <col min="3594" max="3594" width="15.5703125" style="85" bestFit="1" customWidth="1"/>
    <col min="3595" max="3595" width="0" style="85" hidden="1" customWidth="1"/>
    <col min="3596" max="3596" width="11.5703125" style="85" bestFit="1" customWidth="1"/>
    <col min="3597" max="3597" width="0" style="85" hidden="1" customWidth="1"/>
    <col min="3598" max="3598" width="14.5703125" style="85" customWidth="1"/>
    <col min="3599" max="3599" width="12.140625" style="85" customWidth="1"/>
    <col min="3600" max="3600" width="0" style="85" hidden="1" customWidth="1"/>
    <col min="3601" max="3601" width="12.42578125" style="85" customWidth="1"/>
    <col min="3602" max="3602" width="0" style="85" hidden="1" customWidth="1"/>
    <col min="3603" max="3603" width="11.42578125" style="85" customWidth="1"/>
    <col min="3604" max="3604" width="0" style="85" hidden="1" customWidth="1"/>
    <col min="3605" max="3605" width="13.85546875" style="85" customWidth="1"/>
    <col min="3606" max="3606" width="0" style="85" hidden="1" customWidth="1"/>
    <col min="3607" max="3607" width="10.5703125" style="85" bestFit="1" customWidth="1"/>
    <col min="3608" max="3608" width="0" style="85" hidden="1" customWidth="1"/>
    <col min="3609" max="3609" width="13.85546875" style="85" bestFit="1" customWidth="1"/>
    <col min="3610" max="3610" width="0" style="85" hidden="1" customWidth="1"/>
    <col min="3611" max="3611" width="8.85546875" style="85" customWidth="1"/>
    <col min="3612" max="3612" width="0.140625" style="85" customWidth="1"/>
    <col min="3613" max="3613" width="8.5703125" style="85" customWidth="1"/>
    <col min="3614" max="3614" width="0" style="85" hidden="1" customWidth="1"/>
    <col min="3615" max="3615" width="11.5703125" style="85" bestFit="1" customWidth="1"/>
    <col min="3616" max="3616" width="0" style="85" hidden="1" customWidth="1"/>
    <col min="3617" max="3617" width="9.42578125" style="85" customWidth="1"/>
    <col min="3618" max="3618" width="11.5703125" style="85" bestFit="1" customWidth="1"/>
    <col min="3619" max="3619" width="10.5703125" style="85" bestFit="1" customWidth="1"/>
    <col min="3620" max="3620" width="9.140625" style="85"/>
    <col min="3621" max="3621" width="10.5703125" style="85" bestFit="1" customWidth="1"/>
    <col min="3622" max="3629" width="0" style="85" hidden="1" customWidth="1"/>
    <col min="3630" max="3840" width="9.140625" style="85"/>
    <col min="3841" max="3841" width="11.140625" style="85" customWidth="1"/>
    <col min="3842" max="3842" width="14.5703125" style="85" customWidth="1"/>
    <col min="3843" max="3843" width="20.85546875" style="85" customWidth="1"/>
    <col min="3844" max="3844" width="23.5703125" style="85" customWidth="1"/>
    <col min="3845" max="3845" width="11.85546875" style="85" customWidth="1"/>
    <col min="3846" max="3846" width="16.140625" style="85" bestFit="1" customWidth="1"/>
    <col min="3847" max="3847" width="0" style="85" hidden="1" customWidth="1"/>
    <col min="3848" max="3849" width="15.42578125" style="85" customWidth="1"/>
    <col min="3850" max="3850" width="15.5703125" style="85" bestFit="1" customWidth="1"/>
    <col min="3851" max="3851" width="0" style="85" hidden="1" customWidth="1"/>
    <col min="3852" max="3852" width="11.5703125" style="85" bestFit="1" customWidth="1"/>
    <col min="3853" max="3853" width="0" style="85" hidden="1" customWidth="1"/>
    <col min="3854" max="3854" width="14.5703125" style="85" customWidth="1"/>
    <col min="3855" max="3855" width="12.140625" style="85" customWidth="1"/>
    <col min="3856" max="3856" width="0" style="85" hidden="1" customWidth="1"/>
    <col min="3857" max="3857" width="12.42578125" style="85" customWidth="1"/>
    <col min="3858" max="3858" width="0" style="85" hidden="1" customWidth="1"/>
    <col min="3859" max="3859" width="11.42578125" style="85" customWidth="1"/>
    <col min="3860" max="3860" width="0" style="85" hidden="1" customWidth="1"/>
    <col min="3861" max="3861" width="13.85546875" style="85" customWidth="1"/>
    <col min="3862" max="3862" width="0" style="85" hidden="1" customWidth="1"/>
    <col min="3863" max="3863" width="10.5703125" style="85" bestFit="1" customWidth="1"/>
    <col min="3864" max="3864" width="0" style="85" hidden="1" customWidth="1"/>
    <col min="3865" max="3865" width="13.85546875" style="85" bestFit="1" customWidth="1"/>
    <col min="3866" max="3866" width="0" style="85" hidden="1" customWidth="1"/>
    <col min="3867" max="3867" width="8.85546875" style="85" customWidth="1"/>
    <col min="3868" max="3868" width="0.140625" style="85" customWidth="1"/>
    <col min="3869" max="3869" width="8.5703125" style="85" customWidth="1"/>
    <col min="3870" max="3870" width="0" style="85" hidden="1" customWidth="1"/>
    <col min="3871" max="3871" width="11.5703125" style="85" bestFit="1" customWidth="1"/>
    <col min="3872" max="3872" width="0" style="85" hidden="1" customWidth="1"/>
    <col min="3873" max="3873" width="9.42578125" style="85" customWidth="1"/>
    <col min="3874" max="3874" width="11.5703125" style="85" bestFit="1" customWidth="1"/>
    <col min="3875" max="3875" width="10.5703125" style="85" bestFit="1" customWidth="1"/>
    <col min="3876" max="3876" width="9.140625" style="85"/>
    <col min="3877" max="3877" width="10.5703125" style="85" bestFit="1" customWidth="1"/>
    <col min="3878" max="3885" width="0" style="85" hidden="1" customWidth="1"/>
    <col min="3886" max="4096" width="9.140625" style="85"/>
    <col min="4097" max="4097" width="11.140625" style="85" customWidth="1"/>
    <col min="4098" max="4098" width="14.5703125" style="85" customWidth="1"/>
    <col min="4099" max="4099" width="20.85546875" style="85" customWidth="1"/>
    <col min="4100" max="4100" width="23.5703125" style="85" customWidth="1"/>
    <col min="4101" max="4101" width="11.85546875" style="85" customWidth="1"/>
    <col min="4102" max="4102" width="16.140625" style="85" bestFit="1" customWidth="1"/>
    <col min="4103" max="4103" width="0" style="85" hidden="1" customWidth="1"/>
    <col min="4104" max="4105" width="15.42578125" style="85" customWidth="1"/>
    <col min="4106" max="4106" width="15.5703125" style="85" bestFit="1" customWidth="1"/>
    <col min="4107" max="4107" width="0" style="85" hidden="1" customWidth="1"/>
    <col min="4108" max="4108" width="11.5703125" style="85" bestFit="1" customWidth="1"/>
    <col min="4109" max="4109" width="0" style="85" hidden="1" customWidth="1"/>
    <col min="4110" max="4110" width="14.5703125" style="85" customWidth="1"/>
    <col min="4111" max="4111" width="12.140625" style="85" customWidth="1"/>
    <col min="4112" max="4112" width="0" style="85" hidden="1" customWidth="1"/>
    <col min="4113" max="4113" width="12.42578125" style="85" customWidth="1"/>
    <col min="4114" max="4114" width="0" style="85" hidden="1" customWidth="1"/>
    <col min="4115" max="4115" width="11.42578125" style="85" customWidth="1"/>
    <col min="4116" max="4116" width="0" style="85" hidden="1" customWidth="1"/>
    <col min="4117" max="4117" width="13.85546875" style="85" customWidth="1"/>
    <col min="4118" max="4118" width="0" style="85" hidden="1" customWidth="1"/>
    <col min="4119" max="4119" width="10.5703125" style="85" bestFit="1" customWidth="1"/>
    <col min="4120" max="4120" width="0" style="85" hidden="1" customWidth="1"/>
    <col min="4121" max="4121" width="13.85546875" style="85" bestFit="1" customWidth="1"/>
    <col min="4122" max="4122" width="0" style="85" hidden="1" customWidth="1"/>
    <col min="4123" max="4123" width="8.85546875" style="85" customWidth="1"/>
    <col min="4124" max="4124" width="0.140625" style="85" customWidth="1"/>
    <col min="4125" max="4125" width="8.5703125" style="85" customWidth="1"/>
    <col min="4126" max="4126" width="0" style="85" hidden="1" customWidth="1"/>
    <col min="4127" max="4127" width="11.5703125" style="85" bestFit="1" customWidth="1"/>
    <col min="4128" max="4128" width="0" style="85" hidden="1" customWidth="1"/>
    <col min="4129" max="4129" width="9.42578125" style="85" customWidth="1"/>
    <col min="4130" max="4130" width="11.5703125" style="85" bestFit="1" customWidth="1"/>
    <col min="4131" max="4131" width="10.5703125" style="85" bestFit="1" customWidth="1"/>
    <col min="4132" max="4132" width="9.140625" style="85"/>
    <col min="4133" max="4133" width="10.5703125" style="85" bestFit="1" customWidth="1"/>
    <col min="4134" max="4141" width="0" style="85" hidden="1" customWidth="1"/>
    <col min="4142" max="4352" width="9.140625" style="85"/>
    <col min="4353" max="4353" width="11.140625" style="85" customWidth="1"/>
    <col min="4354" max="4354" width="14.5703125" style="85" customWidth="1"/>
    <col min="4355" max="4355" width="20.85546875" style="85" customWidth="1"/>
    <col min="4356" max="4356" width="23.5703125" style="85" customWidth="1"/>
    <col min="4357" max="4357" width="11.85546875" style="85" customWidth="1"/>
    <col min="4358" max="4358" width="16.140625" style="85" bestFit="1" customWidth="1"/>
    <col min="4359" max="4359" width="0" style="85" hidden="1" customWidth="1"/>
    <col min="4360" max="4361" width="15.42578125" style="85" customWidth="1"/>
    <col min="4362" max="4362" width="15.5703125" style="85" bestFit="1" customWidth="1"/>
    <col min="4363" max="4363" width="0" style="85" hidden="1" customWidth="1"/>
    <col min="4364" max="4364" width="11.5703125" style="85" bestFit="1" customWidth="1"/>
    <col min="4365" max="4365" width="0" style="85" hidden="1" customWidth="1"/>
    <col min="4366" max="4366" width="14.5703125" style="85" customWidth="1"/>
    <col min="4367" max="4367" width="12.140625" style="85" customWidth="1"/>
    <col min="4368" max="4368" width="0" style="85" hidden="1" customWidth="1"/>
    <col min="4369" max="4369" width="12.42578125" style="85" customWidth="1"/>
    <col min="4370" max="4370" width="0" style="85" hidden="1" customWidth="1"/>
    <col min="4371" max="4371" width="11.42578125" style="85" customWidth="1"/>
    <col min="4372" max="4372" width="0" style="85" hidden="1" customWidth="1"/>
    <col min="4373" max="4373" width="13.85546875" style="85" customWidth="1"/>
    <col min="4374" max="4374" width="0" style="85" hidden="1" customWidth="1"/>
    <col min="4375" max="4375" width="10.5703125" style="85" bestFit="1" customWidth="1"/>
    <col min="4376" max="4376" width="0" style="85" hidden="1" customWidth="1"/>
    <col min="4377" max="4377" width="13.85546875" style="85" bestFit="1" customWidth="1"/>
    <col min="4378" max="4378" width="0" style="85" hidden="1" customWidth="1"/>
    <col min="4379" max="4379" width="8.85546875" style="85" customWidth="1"/>
    <col min="4380" max="4380" width="0.140625" style="85" customWidth="1"/>
    <col min="4381" max="4381" width="8.5703125" style="85" customWidth="1"/>
    <col min="4382" max="4382" width="0" style="85" hidden="1" customWidth="1"/>
    <col min="4383" max="4383" width="11.5703125" style="85" bestFit="1" customWidth="1"/>
    <col min="4384" max="4384" width="0" style="85" hidden="1" customWidth="1"/>
    <col min="4385" max="4385" width="9.42578125" style="85" customWidth="1"/>
    <col min="4386" max="4386" width="11.5703125" style="85" bestFit="1" customWidth="1"/>
    <col min="4387" max="4387" width="10.5703125" style="85" bestFit="1" customWidth="1"/>
    <col min="4388" max="4388" width="9.140625" style="85"/>
    <col min="4389" max="4389" width="10.5703125" style="85" bestFit="1" customWidth="1"/>
    <col min="4390" max="4397" width="0" style="85" hidden="1" customWidth="1"/>
    <col min="4398" max="4608" width="9.140625" style="85"/>
    <col min="4609" max="4609" width="11.140625" style="85" customWidth="1"/>
    <col min="4610" max="4610" width="14.5703125" style="85" customWidth="1"/>
    <col min="4611" max="4611" width="20.85546875" style="85" customWidth="1"/>
    <col min="4612" max="4612" width="23.5703125" style="85" customWidth="1"/>
    <col min="4613" max="4613" width="11.85546875" style="85" customWidth="1"/>
    <col min="4614" max="4614" width="16.140625" style="85" bestFit="1" customWidth="1"/>
    <col min="4615" max="4615" width="0" style="85" hidden="1" customWidth="1"/>
    <col min="4616" max="4617" width="15.42578125" style="85" customWidth="1"/>
    <col min="4618" max="4618" width="15.5703125" style="85" bestFit="1" customWidth="1"/>
    <col min="4619" max="4619" width="0" style="85" hidden="1" customWidth="1"/>
    <col min="4620" max="4620" width="11.5703125" style="85" bestFit="1" customWidth="1"/>
    <col min="4621" max="4621" width="0" style="85" hidden="1" customWidth="1"/>
    <col min="4622" max="4622" width="14.5703125" style="85" customWidth="1"/>
    <col min="4623" max="4623" width="12.140625" style="85" customWidth="1"/>
    <col min="4624" max="4624" width="0" style="85" hidden="1" customWidth="1"/>
    <col min="4625" max="4625" width="12.42578125" style="85" customWidth="1"/>
    <col min="4626" max="4626" width="0" style="85" hidden="1" customWidth="1"/>
    <col min="4627" max="4627" width="11.42578125" style="85" customWidth="1"/>
    <col min="4628" max="4628" width="0" style="85" hidden="1" customWidth="1"/>
    <col min="4629" max="4629" width="13.85546875" style="85" customWidth="1"/>
    <col min="4630" max="4630" width="0" style="85" hidden="1" customWidth="1"/>
    <col min="4631" max="4631" width="10.5703125" style="85" bestFit="1" customWidth="1"/>
    <col min="4632" max="4632" width="0" style="85" hidden="1" customWidth="1"/>
    <col min="4633" max="4633" width="13.85546875" style="85" bestFit="1" customWidth="1"/>
    <col min="4634" max="4634" width="0" style="85" hidden="1" customWidth="1"/>
    <col min="4635" max="4635" width="8.85546875" style="85" customWidth="1"/>
    <col min="4636" max="4636" width="0.140625" style="85" customWidth="1"/>
    <col min="4637" max="4637" width="8.5703125" style="85" customWidth="1"/>
    <col min="4638" max="4638" width="0" style="85" hidden="1" customWidth="1"/>
    <col min="4639" max="4639" width="11.5703125" style="85" bestFit="1" customWidth="1"/>
    <col min="4640" max="4640" width="0" style="85" hidden="1" customWidth="1"/>
    <col min="4641" max="4641" width="9.42578125" style="85" customWidth="1"/>
    <col min="4642" max="4642" width="11.5703125" style="85" bestFit="1" customWidth="1"/>
    <col min="4643" max="4643" width="10.5703125" style="85" bestFit="1" customWidth="1"/>
    <col min="4644" max="4644" width="9.140625" style="85"/>
    <col min="4645" max="4645" width="10.5703125" style="85" bestFit="1" customWidth="1"/>
    <col min="4646" max="4653" width="0" style="85" hidden="1" customWidth="1"/>
    <col min="4654" max="4864" width="9.140625" style="85"/>
    <col min="4865" max="4865" width="11.140625" style="85" customWidth="1"/>
    <col min="4866" max="4866" width="14.5703125" style="85" customWidth="1"/>
    <col min="4867" max="4867" width="20.85546875" style="85" customWidth="1"/>
    <col min="4868" max="4868" width="23.5703125" style="85" customWidth="1"/>
    <col min="4869" max="4869" width="11.85546875" style="85" customWidth="1"/>
    <col min="4870" max="4870" width="16.140625" style="85" bestFit="1" customWidth="1"/>
    <col min="4871" max="4871" width="0" style="85" hidden="1" customWidth="1"/>
    <col min="4872" max="4873" width="15.42578125" style="85" customWidth="1"/>
    <col min="4874" max="4874" width="15.5703125" style="85" bestFit="1" customWidth="1"/>
    <col min="4875" max="4875" width="0" style="85" hidden="1" customWidth="1"/>
    <col min="4876" max="4876" width="11.5703125" style="85" bestFit="1" customWidth="1"/>
    <col min="4877" max="4877" width="0" style="85" hidden="1" customWidth="1"/>
    <col min="4878" max="4878" width="14.5703125" style="85" customWidth="1"/>
    <col min="4879" max="4879" width="12.140625" style="85" customWidth="1"/>
    <col min="4880" max="4880" width="0" style="85" hidden="1" customWidth="1"/>
    <col min="4881" max="4881" width="12.42578125" style="85" customWidth="1"/>
    <col min="4882" max="4882" width="0" style="85" hidden="1" customWidth="1"/>
    <col min="4883" max="4883" width="11.42578125" style="85" customWidth="1"/>
    <col min="4884" max="4884" width="0" style="85" hidden="1" customWidth="1"/>
    <col min="4885" max="4885" width="13.85546875" style="85" customWidth="1"/>
    <col min="4886" max="4886" width="0" style="85" hidden="1" customWidth="1"/>
    <col min="4887" max="4887" width="10.5703125" style="85" bestFit="1" customWidth="1"/>
    <col min="4888" max="4888" width="0" style="85" hidden="1" customWidth="1"/>
    <col min="4889" max="4889" width="13.85546875" style="85" bestFit="1" customWidth="1"/>
    <col min="4890" max="4890" width="0" style="85" hidden="1" customWidth="1"/>
    <col min="4891" max="4891" width="8.85546875" style="85" customWidth="1"/>
    <col min="4892" max="4892" width="0.140625" style="85" customWidth="1"/>
    <col min="4893" max="4893" width="8.5703125" style="85" customWidth="1"/>
    <col min="4894" max="4894" width="0" style="85" hidden="1" customWidth="1"/>
    <col min="4895" max="4895" width="11.5703125" style="85" bestFit="1" customWidth="1"/>
    <col min="4896" max="4896" width="0" style="85" hidden="1" customWidth="1"/>
    <col min="4897" max="4897" width="9.42578125" style="85" customWidth="1"/>
    <col min="4898" max="4898" width="11.5703125" style="85" bestFit="1" customWidth="1"/>
    <col min="4899" max="4899" width="10.5703125" style="85" bestFit="1" customWidth="1"/>
    <col min="4900" max="4900" width="9.140625" style="85"/>
    <col min="4901" max="4901" width="10.5703125" style="85" bestFit="1" customWidth="1"/>
    <col min="4902" max="4909" width="0" style="85" hidden="1" customWidth="1"/>
    <col min="4910" max="5120" width="9.140625" style="85"/>
    <col min="5121" max="5121" width="11.140625" style="85" customWidth="1"/>
    <col min="5122" max="5122" width="14.5703125" style="85" customWidth="1"/>
    <col min="5123" max="5123" width="20.85546875" style="85" customWidth="1"/>
    <col min="5124" max="5124" width="23.5703125" style="85" customWidth="1"/>
    <col min="5125" max="5125" width="11.85546875" style="85" customWidth="1"/>
    <col min="5126" max="5126" width="16.140625" style="85" bestFit="1" customWidth="1"/>
    <col min="5127" max="5127" width="0" style="85" hidden="1" customWidth="1"/>
    <col min="5128" max="5129" width="15.42578125" style="85" customWidth="1"/>
    <col min="5130" max="5130" width="15.5703125" style="85" bestFit="1" customWidth="1"/>
    <col min="5131" max="5131" width="0" style="85" hidden="1" customWidth="1"/>
    <col min="5132" max="5132" width="11.5703125" style="85" bestFit="1" customWidth="1"/>
    <col min="5133" max="5133" width="0" style="85" hidden="1" customWidth="1"/>
    <col min="5134" max="5134" width="14.5703125" style="85" customWidth="1"/>
    <col min="5135" max="5135" width="12.140625" style="85" customWidth="1"/>
    <col min="5136" max="5136" width="0" style="85" hidden="1" customWidth="1"/>
    <col min="5137" max="5137" width="12.42578125" style="85" customWidth="1"/>
    <col min="5138" max="5138" width="0" style="85" hidden="1" customWidth="1"/>
    <col min="5139" max="5139" width="11.42578125" style="85" customWidth="1"/>
    <col min="5140" max="5140" width="0" style="85" hidden="1" customWidth="1"/>
    <col min="5141" max="5141" width="13.85546875" style="85" customWidth="1"/>
    <col min="5142" max="5142" width="0" style="85" hidden="1" customWidth="1"/>
    <col min="5143" max="5143" width="10.5703125" style="85" bestFit="1" customWidth="1"/>
    <col min="5144" max="5144" width="0" style="85" hidden="1" customWidth="1"/>
    <col min="5145" max="5145" width="13.85546875" style="85" bestFit="1" customWidth="1"/>
    <col min="5146" max="5146" width="0" style="85" hidden="1" customWidth="1"/>
    <col min="5147" max="5147" width="8.85546875" style="85" customWidth="1"/>
    <col min="5148" max="5148" width="0.140625" style="85" customWidth="1"/>
    <col min="5149" max="5149" width="8.5703125" style="85" customWidth="1"/>
    <col min="5150" max="5150" width="0" style="85" hidden="1" customWidth="1"/>
    <col min="5151" max="5151" width="11.5703125" style="85" bestFit="1" customWidth="1"/>
    <col min="5152" max="5152" width="0" style="85" hidden="1" customWidth="1"/>
    <col min="5153" max="5153" width="9.42578125" style="85" customWidth="1"/>
    <col min="5154" max="5154" width="11.5703125" style="85" bestFit="1" customWidth="1"/>
    <col min="5155" max="5155" width="10.5703125" style="85" bestFit="1" customWidth="1"/>
    <col min="5156" max="5156" width="9.140625" style="85"/>
    <col min="5157" max="5157" width="10.5703125" style="85" bestFit="1" customWidth="1"/>
    <col min="5158" max="5165" width="0" style="85" hidden="1" customWidth="1"/>
    <col min="5166" max="5376" width="9.140625" style="85"/>
    <col min="5377" max="5377" width="11.140625" style="85" customWidth="1"/>
    <col min="5378" max="5378" width="14.5703125" style="85" customWidth="1"/>
    <col min="5379" max="5379" width="20.85546875" style="85" customWidth="1"/>
    <col min="5380" max="5380" width="23.5703125" style="85" customWidth="1"/>
    <col min="5381" max="5381" width="11.85546875" style="85" customWidth="1"/>
    <col min="5382" max="5382" width="16.140625" style="85" bestFit="1" customWidth="1"/>
    <col min="5383" max="5383" width="0" style="85" hidden="1" customWidth="1"/>
    <col min="5384" max="5385" width="15.42578125" style="85" customWidth="1"/>
    <col min="5386" max="5386" width="15.5703125" style="85" bestFit="1" customWidth="1"/>
    <col min="5387" max="5387" width="0" style="85" hidden="1" customWidth="1"/>
    <col min="5388" max="5388" width="11.5703125" style="85" bestFit="1" customWidth="1"/>
    <col min="5389" max="5389" width="0" style="85" hidden="1" customWidth="1"/>
    <col min="5390" max="5390" width="14.5703125" style="85" customWidth="1"/>
    <col min="5391" max="5391" width="12.140625" style="85" customWidth="1"/>
    <col min="5392" max="5392" width="0" style="85" hidden="1" customWidth="1"/>
    <col min="5393" max="5393" width="12.42578125" style="85" customWidth="1"/>
    <col min="5394" max="5394" width="0" style="85" hidden="1" customWidth="1"/>
    <col min="5395" max="5395" width="11.42578125" style="85" customWidth="1"/>
    <col min="5396" max="5396" width="0" style="85" hidden="1" customWidth="1"/>
    <col min="5397" max="5397" width="13.85546875" style="85" customWidth="1"/>
    <col min="5398" max="5398" width="0" style="85" hidden="1" customWidth="1"/>
    <col min="5399" max="5399" width="10.5703125" style="85" bestFit="1" customWidth="1"/>
    <col min="5400" max="5400" width="0" style="85" hidden="1" customWidth="1"/>
    <col min="5401" max="5401" width="13.85546875" style="85" bestFit="1" customWidth="1"/>
    <col min="5402" max="5402" width="0" style="85" hidden="1" customWidth="1"/>
    <col min="5403" max="5403" width="8.85546875" style="85" customWidth="1"/>
    <col min="5404" max="5404" width="0.140625" style="85" customWidth="1"/>
    <col min="5405" max="5405" width="8.5703125" style="85" customWidth="1"/>
    <col min="5406" max="5406" width="0" style="85" hidden="1" customWidth="1"/>
    <col min="5407" max="5407" width="11.5703125" style="85" bestFit="1" customWidth="1"/>
    <col min="5408" max="5408" width="0" style="85" hidden="1" customWidth="1"/>
    <col min="5409" max="5409" width="9.42578125" style="85" customWidth="1"/>
    <col min="5410" max="5410" width="11.5703125" style="85" bestFit="1" customWidth="1"/>
    <col min="5411" max="5411" width="10.5703125" style="85" bestFit="1" customWidth="1"/>
    <col min="5412" max="5412" width="9.140625" style="85"/>
    <col min="5413" max="5413" width="10.5703125" style="85" bestFit="1" customWidth="1"/>
    <col min="5414" max="5421" width="0" style="85" hidden="1" customWidth="1"/>
    <col min="5422" max="5632" width="9.140625" style="85"/>
    <col min="5633" max="5633" width="11.140625" style="85" customWidth="1"/>
    <col min="5634" max="5634" width="14.5703125" style="85" customWidth="1"/>
    <col min="5635" max="5635" width="20.85546875" style="85" customWidth="1"/>
    <col min="5636" max="5636" width="23.5703125" style="85" customWidth="1"/>
    <col min="5637" max="5637" width="11.85546875" style="85" customWidth="1"/>
    <col min="5638" max="5638" width="16.140625" style="85" bestFit="1" customWidth="1"/>
    <col min="5639" max="5639" width="0" style="85" hidden="1" customWidth="1"/>
    <col min="5640" max="5641" width="15.42578125" style="85" customWidth="1"/>
    <col min="5642" max="5642" width="15.5703125" style="85" bestFit="1" customWidth="1"/>
    <col min="5643" max="5643" width="0" style="85" hidden="1" customWidth="1"/>
    <col min="5644" max="5644" width="11.5703125" style="85" bestFit="1" customWidth="1"/>
    <col min="5645" max="5645" width="0" style="85" hidden="1" customWidth="1"/>
    <col min="5646" max="5646" width="14.5703125" style="85" customWidth="1"/>
    <col min="5647" max="5647" width="12.140625" style="85" customWidth="1"/>
    <col min="5648" max="5648" width="0" style="85" hidden="1" customWidth="1"/>
    <col min="5649" max="5649" width="12.42578125" style="85" customWidth="1"/>
    <col min="5650" max="5650" width="0" style="85" hidden="1" customWidth="1"/>
    <col min="5651" max="5651" width="11.42578125" style="85" customWidth="1"/>
    <col min="5652" max="5652" width="0" style="85" hidden="1" customWidth="1"/>
    <col min="5653" max="5653" width="13.85546875" style="85" customWidth="1"/>
    <col min="5654" max="5654" width="0" style="85" hidden="1" customWidth="1"/>
    <col min="5655" max="5655" width="10.5703125" style="85" bestFit="1" customWidth="1"/>
    <col min="5656" max="5656" width="0" style="85" hidden="1" customWidth="1"/>
    <col min="5657" max="5657" width="13.85546875" style="85" bestFit="1" customWidth="1"/>
    <col min="5658" max="5658" width="0" style="85" hidden="1" customWidth="1"/>
    <col min="5659" max="5659" width="8.85546875" style="85" customWidth="1"/>
    <col min="5660" max="5660" width="0.140625" style="85" customWidth="1"/>
    <col min="5661" max="5661" width="8.5703125" style="85" customWidth="1"/>
    <col min="5662" max="5662" width="0" style="85" hidden="1" customWidth="1"/>
    <col min="5663" max="5663" width="11.5703125" style="85" bestFit="1" customWidth="1"/>
    <col min="5664" max="5664" width="0" style="85" hidden="1" customWidth="1"/>
    <col min="5665" max="5665" width="9.42578125" style="85" customWidth="1"/>
    <col min="5666" max="5666" width="11.5703125" style="85" bestFit="1" customWidth="1"/>
    <col min="5667" max="5667" width="10.5703125" style="85" bestFit="1" customWidth="1"/>
    <col min="5668" max="5668" width="9.140625" style="85"/>
    <col min="5669" max="5669" width="10.5703125" style="85" bestFit="1" customWidth="1"/>
    <col min="5670" max="5677" width="0" style="85" hidden="1" customWidth="1"/>
    <col min="5678" max="5888" width="9.140625" style="85"/>
    <col min="5889" max="5889" width="11.140625" style="85" customWidth="1"/>
    <col min="5890" max="5890" width="14.5703125" style="85" customWidth="1"/>
    <col min="5891" max="5891" width="20.85546875" style="85" customWidth="1"/>
    <col min="5892" max="5892" width="23.5703125" style="85" customWidth="1"/>
    <col min="5893" max="5893" width="11.85546875" style="85" customWidth="1"/>
    <col min="5894" max="5894" width="16.140625" style="85" bestFit="1" customWidth="1"/>
    <col min="5895" max="5895" width="0" style="85" hidden="1" customWidth="1"/>
    <col min="5896" max="5897" width="15.42578125" style="85" customWidth="1"/>
    <col min="5898" max="5898" width="15.5703125" style="85" bestFit="1" customWidth="1"/>
    <col min="5899" max="5899" width="0" style="85" hidden="1" customWidth="1"/>
    <col min="5900" max="5900" width="11.5703125" style="85" bestFit="1" customWidth="1"/>
    <col min="5901" max="5901" width="0" style="85" hidden="1" customWidth="1"/>
    <col min="5902" max="5902" width="14.5703125" style="85" customWidth="1"/>
    <col min="5903" max="5903" width="12.140625" style="85" customWidth="1"/>
    <col min="5904" max="5904" width="0" style="85" hidden="1" customWidth="1"/>
    <col min="5905" max="5905" width="12.42578125" style="85" customWidth="1"/>
    <col min="5906" max="5906" width="0" style="85" hidden="1" customWidth="1"/>
    <col min="5907" max="5907" width="11.42578125" style="85" customWidth="1"/>
    <col min="5908" max="5908" width="0" style="85" hidden="1" customWidth="1"/>
    <col min="5909" max="5909" width="13.85546875" style="85" customWidth="1"/>
    <col min="5910" max="5910" width="0" style="85" hidden="1" customWidth="1"/>
    <col min="5911" max="5911" width="10.5703125" style="85" bestFit="1" customWidth="1"/>
    <col min="5912" max="5912" width="0" style="85" hidden="1" customWidth="1"/>
    <col min="5913" max="5913" width="13.85546875" style="85" bestFit="1" customWidth="1"/>
    <col min="5914" max="5914" width="0" style="85" hidden="1" customWidth="1"/>
    <col min="5915" max="5915" width="8.85546875" style="85" customWidth="1"/>
    <col min="5916" max="5916" width="0.140625" style="85" customWidth="1"/>
    <col min="5917" max="5917" width="8.5703125" style="85" customWidth="1"/>
    <col min="5918" max="5918" width="0" style="85" hidden="1" customWidth="1"/>
    <col min="5919" max="5919" width="11.5703125" style="85" bestFit="1" customWidth="1"/>
    <col min="5920" max="5920" width="0" style="85" hidden="1" customWidth="1"/>
    <col min="5921" max="5921" width="9.42578125" style="85" customWidth="1"/>
    <col min="5922" max="5922" width="11.5703125" style="85" bestFit="1" customWidth="1"/>
    <col min="5923" max="5923" width="10.5703125" style="85" bestFit="1" customWidth="1"/>
    <col min="5924" max="5924" width="9.140625" style="85"/>
    <col min="5925" max="5925" width="10.5703125" style="85" bestFit="1" customWidth="1"/>
    <col min="5926" max="5933" width="0" style="85" hidden="1" customWidth="1"/>
    <col min="5934" max="6144" width="9.140625" style="85"/>
    <col min="6145" max="6145" width="11.140625" style="85" customWidth="1"/>
    <col min="6146" max="6146" width="14.5703125" style="85" customWidth="1"/>
    <col min="6147" max="6147" width="20.85546875" style="85" customWidth="1"/>
    <col min="6148" max="6148" width="23.5703125" style="85" customWidth="1"/>
    <col min="6149" max="6149" width="11.85546875" style="85" customWidth="1"/>
    <col min="6150" max="6150" width="16.140625" style="85" bestFit="1" customWidth="1"/>
    <col min="6151" max="6151" width="0" style="85" hidden="1" customWidth="1"/>
    <col min="6152" max="6153" width="15.42578125" style="85" customWidth="1"/>
    <col min="6154" max="6154" width="15.5703125" style="85" bestFit="1" customWidth="1"/>
    <col min="6155" max="6155" width="0" style="85" hidden="1" customWidth="1"/>
    <col min="6156" max="6156" width="11.5703125" style="85" bestFit="1" customWidth="1"/>
    <col min="6157" max="6157" width="0" style="85" hidden="1" customWidth="1"/>
    <col min="6158" max="6158" width="14.5703125" style="85" customWidth="1"/>
    <col min="6159" max="6159" width="12.140625" style="85" customWidth="1"/>
    <col min="6160" max="6160" width="0" style="85" hidden="1" customWidth="1"/>
    <col min="6161" max="6161" width="12.42578125" style="85" customWidth="1"/>
    <col min="6162" max="6162" width="0" style="85" hidden="1" customWidth="1"/>
    <col min="6163" max="6163" width="11.42578125" style="85" customWidth="1"/>
    <col min="6164" max="6164" width="0" style="85" hidden="1" customWidth="1"/>
    <col min="6165" max="6165" width="13.85546875" style="85" customWidth="1"/>
    <col min="6166" max="6166" width="0" style="85" hidden="1" customWidth="1"/>
    <col min="6167" max="6167" width="10.5703125" style="85" bestFit="1" customWidth="1"/>
    <col min="6168" max="6168" width="0" style="85" hidden="1" customWidth="1"/>
    <col min="6169" max="6169" width="13.85546875" style="85" bestFit="1" customWidth="1"/>
    <col min="6170" max="6170" width="0" style="85" hidden="1" customWidth="1"/>
    <col min="6171" max="6171" width="8.85546875" style="85" customWidth="1"/>
    <col min="6172" max="6172" width="0.140625" style="85" customWidth="1"/>
    <col min="6173" max="6173" width="8.5703125" style="85" customWidth="1"/>
    <col min="6174" max="6174" width="0" style="85" hidden="1" customWidth="1"/>
    <col min="6175" max="6175" width="11.5703125" style="85" bestFit="1" customWidth="1"/>
    <col min="6176" max="6176" width="0" style="85" hidden="1" customWidth="1"/>
    <col min="6177" max="6177" width="9.42578125" style="85" customWidth="1"/>
    <col min="6178" max="6178" width="11.5703125" style="85" bestFit="1" customWidth="1"/>
    <col min="6179" max="6179" width="10.5703125" style="85" bestFit="1" customWidth="1"/>
    <col min="6180" max="6180" width="9.140625" style="85"/>
    <col min="6181" max="6181" width="10.5703125" style="85" bestFit="1" customWidth="1"/>
    <col min="6182" max="6189" width="0" style="85" hidden="1" customWidth="1"/>
    <col min="6190" max="6400" width="9.140625" style="85"/>
    <col min="6401" max="6401" width="11.140625" style="85" customWidth="1"/>
    <col min="6402" max="6402" width="14.5703125" style="85" customWidth="1"/>
    <col min="6403" max="6403" width="20.85546875" style="85" customWidth="1"/>
    <col min="6404" max="6404" width="23.5703125" style="85" customWidth="1"/>
    <col min="6405" max="6405" width="11.85546875" style="85" customWidth="1"/>
    <col min="6406" max="6406" width="16.140625" style="85" bestFit="1" customWidth="1"/>
    <col min="6407" max="6407" width="0" style="85" hidden="1" customWidth="1"/>
    <col min="6408" max="6409" width="15.42578125" style="85" customWidth="1"/>
    <col min="6410" max="6410" width="15.5703125" style="85" bestFit="1" customWidth="1"/>
    <col min="6411" max="6411" width="0" style="85" hidden="1" customWidth="1"/>
    <col min="6412" max="6412" width="11.5703125" style="85" bestFit="1" customWidth="1"/>
    <col min="6413" max="6413" width="0" style="85" hidden="1" customWidth="1"/>
    <col min="6414" max="6414" width="14.5703125" style="85" customWidth="1"/>
    <col min="6415" max="6415" width="12.140625" style="85" customWidth="1"/>
    <col min="6416" max="6416" width="0" style="85" hidden="1" customWidth="1"/>
    <col min="6417" max="6417" width="12.42578125" style="85" customWidth="1"/>
    <col min="6418" max="6418" width="0" style="85" hidden="1" customWidth="1"/>
    <col min="6419" max="6419" width="11.42578125" style="85" customWidth="1"/>
    <col min="6420" max="6420" width="0" style="85" hidden="1" customWidth="1"/>
    <col min="6421" max="6421" width="13.85546875" style="85" customWidth="1"/>
    <col min="6422" max="6422" width="0" style="85" hidden="1" customWidth="1"/>
    <col min="6423" max="6423" width="10.5703125" style="85" bestFit="1" customWidth="1"/>
    <col min="6424" max="6424" width="0" style="85" hidden="1" customWidth="1"/>
    <col min="6425" max="6425" width="13.85546875" style="85" bestFit="1" customWidth="1"/>
    <col min="6426" max="6426" width="0" style="85" hidden="1" customWidth="1"/>
    <col min="6427" max="6427" width="8.85546875" style="85" customWidth="1"/>
    <col min="6428" max="6428" width="0.140625" style="85" customWidth="1"/>
    <col min="6429" max="6429" width="8.5703125" style="85" customWidth="1"/>
    <col min="6430" max="6430" width="0" style="85" hidden="1" customWidth="1"/>
    <col min="6431" max="6431" width="11.5703125" style="85" bestFit="1" customWidth="1"/>
    <col min="6432" max="6432" width="0" style="85" hidden="1" customWidth="1"/>
    <col min="6433" max="6433" width="9.42578125" style="85" customWidth="1"/>
    <col min="6434" max="6434" width="11.5703125" style="85" bestFit="1" customWidth="1"/>
    <col min="6435" max="6435" width="10.5703125" style="85" bestFit="1" customWidth="1"/>
    <col min="6436" max="6436" width="9.140625" style="85"/>
    <col min="6437" max="6437" width="10.5703125" style="85" bestFit="1" customWidth="1"/>
    <col min="6438" max="6445" width="0" style="85" hidden="1" customWidth="1"/>
    <col min="6446" max="6656" width="9.140625" style="85"/>
    <col min="6657" max="6657" width="11.140625" style="85" customWidth="1"/>
    <col min="6658" max="6658" width="14.5703125" style="85" customWidth="1"/>
    <col min="6659" max="6659" width="20.85546875" style="85" customWidth="1"/>
    <col min="6660" max="6660" width="23.5703125" style="85" customWidth="1"/>
    <col min="6661" max="6661" width="11.85546875" style="85" customWidth="1"/>
    <col min="6662" max="6662" width="16.140625" style="85" bestFit="1" customWidth="1"/>
    <col min="6663" max="6663" width="0" style="85" hidden="1" customWidth="1"/>
    <col min="6664" max="6665" width="15.42578125" style="85" customWidth="1"/>
    <col min="6666" max="6666" width="15.5703125" style="85" bestFit="1" customWidth="1"/>
    <col min="6667" max="6667" width="0" style="85" hidden="1" customWidth="1"/>
    <col min="6668" max="6668" width="11.5703125" style="85" bestFit="1" customWidth="1"/>
    <col min="6669" max="6669" width="0" style="85" hidden="1" customWidth="1"/>
    <col min="6670" max="6670" width="14.5703125" style="85" customWidth="1"/>
    <col min="6671" max="6671" width="12.140625" style="85" customWidth="1"/>
    <col min="6672" max="6672" width="0" style="85" hidden="1" customWidth="1"/>
    <col min="6673" max="6673" width="12.42578125" style="85" customWidth="1"/>
    <col min="6674" max="6674" width="0" style="85" hidden="1" customWidth="1"/>
    <col min="6675" max="6675" width="11.42578125" style="85" customWidth="1"/>
    <col min="6676" max="6676" width="0" style="85" hidden="1" customWidth="1"/>
    <col min="6677" max="6677" width="13.85546875" style="85" customWidth="1"/>
    <col min="6678" max="6678" width="0" style="85" hidden="1" customWidth="1"/>
    <col min="6679" max="6679" width="10.5703125" style="85" bestFit="1" customWidth="1"/>
    <col min="6680" max="6680" width="0" style="85" hidden="1" customWidth="1"/>
    <col min="6681" max="6681" width="13.85546875" style="85" bestFit="1" customWidth="1"/>
    <col min="6682" max="6682" width="0" style="85" hidden="1" customWidth="1"/>
    <col min="6683" max="6683" width="8.85546875" style="85" customWidth="1"/>
    <col min="6684" max="6684" width="0.140625" style="85" customWidth="1"/>
    <col min="6685" max="6685" width="8.5703125" style="85" customWidth="1"/>
    <col min="6686" max="6686" width="0" style="85" hidden="1" customWidth="1"/>
    <col min="6687" max="6687" width="11.5703125" style="85" bestFit="1" customWidth="1"/>
    <col min="6688" max="6688" width="0" style="85" hidden="1" customWidth="1"/>
    <col min="6689" max="6689" width="9.42578125" style="85" customWidth="1"/>
    <col min="6690" max="6690" width="11.5703125" style="85" bestFit="1" customWidth="1"/>
    <col min="6691" max="6691" width="10.5703125" style="85" bestFit="1" customWidth="1"/>
    <col min="6692" max="6692" width="9.140625" style="85"/>
    <col min="6693" max="6693" width="10.5703125" style="85" bestFit="1" customWidth="1"/>
    <col min="6694" max="6701" width="0" style="85" hidden="1" customWidth="1"/>
    <col min="6702" max="6912" width="9.140625" style="85"/>
    <col min="6913" max="6913" width="11.140625" style="85" customWidth="1"/>
    <col min="6914" max="6914" width="14.5703125" style="85" customWidth="1"/>
    <col min="6915" max="6915" width="20.85546875" style="85" customWidth="1"/>
    <col min="6916" max="6916" width="23.5703125" style="85" customWidth="1"/>
    <col min="6917" max="6917" width="11.85546875" style="85" customWidth="1"/>
    <col min="6918" max="6918" width="16.140625" style="85" bestFit="1" customWidth="1"/>
    <col min="6919" max="6919" width="0" style="85" hidden="1" customWidth="1"/>
    <col min="6920" max="6921" width="15.42578125" style="85" customWidth="1"/>
    <col min="6922" max="6922" width="15.5703125" style="85" bestFit="1" customWidth="1"/>
    <col min="6923" max="6923" width="0" style="85" hidden="1" customWidth="1"/>
    <col min="6924" max="6924" width="11.5703125" style="85" bestFit="1" customWidth="1"/>
    <col min="6925" max="6925" width="0" style="85" hidden="1" customWidth="1"/>
    <col min="6926" max="6926" width="14.5703125" style="85" customWidth="1"/>
    <col min="6927" max="6927" width="12.140625" style="85" customWidth="1"/>
    <col min="6928" max="6928" width="0" style="85" hidden="1" customWidth="1"/>
    <col min="6929" max="6929" width="12.42578125" style="85" customWidth="1"/>
    <col min="6930" max="6930" width="0" style="85" hidden="1" customWidth="1"/>
    <col min="6931" max="6931" width="11.42578125" style="85" customWidth="1"/>
    <col min="6932" max="6932" width="0" style="85" hidden="1" customWidth="1"/>
    <col min="6933" max="6933" width="13.85546875" style="85" customWidth="1"/>
    <col min="6934" max="6934" width="0" style="85" hidden="1" customWidth="1"/>
    <col min="6935" max="6935" width="10.5703125" style="85" bestFit="1" customWidth="1"/>
    <col min="6936" max="6936" width="0" style="85" hidden="1" customWidth="1"/>
    <col min="6937" max="6937" width="13.85546875" style="85" bestFit="1" customWidth="1"/>
    <col min="6938" max="6938" width="0" style="85" hidden="1" customWidth="1"/>
    <col min="6939" max="6939" width="8.85546875" style="85" customWidth="1"/>
    <col min="6940" max="6940" width="0.140625" style="85" customWidth="1"/>
    <col min="6941" max="6941" width="8.5703125" style="85" customWidth="1"/>
    <col min="6942" max="6942" width="0" style="85" hidden="1" customWidth="1"/>
    <col min="6943" max="6943" width="11.5703125" style="85" bestFit="1" customWidth="1"/>
    <col min="6944" max="6944" width="0" style="85" hidden="1" customWidth="1"/>
    <col min="6945" max="6945" width="9.42578125" style="85" customWidth="1"/>
    <col min="6946" max="6946" width="11.5703125" style="85" bestFit="1" customWidth="1"/>
    <col min="6947" max="6947" width="10.5703125" style="85" bestFit="1" customWidth="1"/>
    <col min="6948" max="6948" width="9.140625" style="85"/>
    <col min="6949" max="6949" width="10.5703125" style="85" bestFit="1" customWidth="1"/>
    <col min="6950" max="6957" width="0" style="85" hidden="1" customWidth="1"/>
    <col min="6958" max="7168" width="9.140625" style="85"/>
    <col min="7169" max="7169" width="11.140625" style="85" customWidth="1"/>
    <col min="7170" max="7170" width="14.5703125" style="85" customWidth="1"/>
    <col min="7171" max="7171" width="20.85546875" style="85" customWidth="1"/>
    <col min="7172" max="7172" width="23.5703125" style="85" customWidth="1"/>
    <col min="7173" max="7173" width="11.85546875" style="85" customWidth="1"/>
    <col min="7174" max="7174" width="16.140625" style="85" bestFit="1" customWidth="1"/>
    <col min="7175" max="7175" width="0" style="85" hidden="1" customWidth="1"/>
    <col min="7176" max="7177" width="15.42578125" style="85" customWidth="1"/>
    <col min="7178" max="7178" width="15.5703125" style="85" bestFit="1" customWidth="1"/>
    <col min="7179" max="7179" width="0" style="85" hidden="1" customWidth="1"/>
    <col min="7180" max="7180" width="11.5703125" style="85" bestFit="1" customWidth="1"/>
    <col min="7181" max="7181" width="0" style="85" hidden="1" customWidth="1"/>
    <col min="7182" max="7182" width="14.5703125" style="85" customWidth="1"/>
    <col min="7183" max="7183" width="12.140625" style="85" customWidth="1"/>
    <col min="7184" max="7184" width="0" style="85" hidden="1" customWidth="1"/>
    <col min="7185" max="7185" width="12.42578125" style="85" customWidth="1"/>
    <col min="7186" max="7186" width="0" style="85" hidden="1" customWidth="1"/>
    <col min="7187" max="7187" width="11.42578125" style="85" customWidth="1"/>
    <col min="7188" max="7188" width="0" style="85" hidden="1" customWidth="1"/>
    <col min="7189" max="7189" width="13.85546875" style="85" customWidth="1"/>
    <col min="7190" max="7190" width="0" style="85" hidden="1" customWidth="1"/>
    <col min="7191" max="7191" width="10.5703125" style="85" bestFit="1" customWidth="1"/>
    <col min="7192" max="7192" width="0" style="85" hidden="1" customWidth="1"/>
    <col min="7193" max="7193" width="13.85546875" style="85" bestFit="1" customWidth="1"/>
    <col min="7194" max="7194" width="0" style="85" hidden="1" customWidth="1"/>
    <col min="7195" max="7195" width="8.85546875" style="85" customWidth="1"/>
    <col min="7196" max="7196" width="0.140625" style="85" customWidth="1"/>
    <col min="7197" max="7197" width="8.5703125" style="85" customWidth="1"/>
    <col min="7198" max="7198" width="0" style="85" hidden="1" customWidth="1"/>
    <col min="7199" max="7199" width="11.5703125" style="85" bestFit="1" customWidth="1"/>
    <col min="7200" max="7200" width="0" style="85" hidden="1" customWidth="1"/>
    <col min="7201" max="7201" width="9.42578125" style="85" customWidth="1"/>
    <col min="7202" max="7202" width="11.5703125" style="85" bestFit="1" customWidth="1"/>
    <col min="7203" max="7203" width="10.5703125" style="85" bestFit="1" customWidth="1"/>
    <col min="7204" max="7204" width="9.140625" style="85"/>
    <col min="7205" max="7205" width="10.5703125" style="85" bestFit="1" customWidth="1"/>
    <col min="7206" max="7213" width="0" style="85" hidden="1" customWidth="1"/>
    <col min="7214" max="7424" width="9.140625" style="85"/>
    <col min="7425" max="7425" width="11.140625" style="85" customWidth="1"/>
    <col min="7426" max="7426" width="14.5703125" style="85" customWidth="1"/>
    <col min="7427" max="7427" width="20.85546875" style="85" customWidth="1"/>
    <col min="7428" max="7428" width="23.5703125" style="85" customWidth="1"/>
    <col min="7429" max="7429" width="11.85546875" style="85" customWidth="1"/>
    <col min="7430" max="7430" width="16.140625" style="85" bestFit="1" customWidth="1"/>
    <col min="7431" max="7431" width="0" style="85" hidden="1" customWidth="1"/>
    <col min="7432" max="7433" width="15.42578125" style="85" customWidth="1"/>
    <col min="7434" max="7434" width="15.5703125" style="85" bestFit="1" customWidth="1"/>
    <col min="7435" max="7435" width="0" style="85" hidden="1" customWidth="1"/>
    <col min="7436" max="7436" width="11.5703125" style="85" bestFit="1" customWidth="1"/>
    <col min="7437" max="7437" width="0" style="85" hidden="1" customWidth="1"/>
    <col min="7438" max="7438" width="14.5703125" style="85" customWidth="1"/>
    <col min="7439" max="7439" width="12.140625" style="85" customWidth="1"/>
    <col min="7440" max="7440" width="0" style="85" hidden="1" customWidth="1"/>
    <col min="7441" max="7441" width="12.42578125" style="85" customWidth="1"/>
    <col min="7442" max="7442" width="0" style="85" hidden="1" customWidth="1"/>
    <col min="7443" max="7443" width="11.42578125" style="85" customWidth="1"/>
    <col min="7444" max="7444" width="0" style="85" hidden="1" customWidth="1"/>
    <col min="7445" max="7445" width="13.85546875" style="85" customWidth="1"/>
    <col min="7446" max="7446" width="0" style="85" hidden="1" customWidth="1"/>
    <col min="7447" max="7447" width="10.5703125" style="85" bestFit="1" customWidth="1"/>
    <col min="7448" max="7448" width="0" style="85" hidden="1" customWidth="1"/>
    <col min="7449" max="7449" width="13.85546875" style="85" bestFit="1" customWidth="1"/>
    <col min="7450" max="7450" width="0" style="85" hidden="1" customWidth="1"/>
    <col min="7451" max="7451" width="8.85546875" style="85" customWidth="1"/>
    <col min="7452" max="7452" width="0.140625" style="85" customWidth="1"/>
    <col min="7453" max="7453" width="8.5703125" style="85" customWidth="1"/>
    <col min="7454" max="7454" width="0" style="85" hidden="1" customWidth="1"/>
    <col min="7455" max="7455" width="11.5703125" style="85" bestFit="1" customWidth="1"/>
    <col min="7456" max="7456" width="0" style="85" hidden="1" customWidth="1"/>
    <col min="7457" max="7457" width="9.42578125" style="85" customWidth="1"/>
    <col min="7458" max="7458" width="11.5703125" style="85" bestFit="1" customWidth="1"/>
    <col min="7459" max="7459" width="10.5703125" style="85" bestFit="1" customWidth="1"/>
    <col min="7460" max="7460" width="9.140625" style="85"/>
    <col min="7461" max="7461" width="10.5703125" style="85" bestFit="1" customWidth="1"/>
    <col min="7462" max="7469" width="0" style="85" hidden="1" customWidth="1"/>
    <col min="7470" max="7680" width="9.140625" style="85"/>
    <col min="7681" max="7681" width="11.140625" style="85" customWidth="1"/>
    <col min="7682" max="7682" width="14.5703125" style="85" customWidth="1"/>
    <col min="7683" max="7683" width="20.85546875" style="85" customWidth="1"/>
    <col min="7684" max="7684" width="23.5703125" style="85" customWidth="1"/>
    <col min="7685" max="7685" width="11.85546875" style="85" customWidth="1"/>
    <col min="7686" max="7686" width="16.140625" style="85" bestFit="1" customWidth="1"/>
    <col min="7687" max="7687" width="0" style="85" hidden="1" customWidth="1"/>
    <col min="7688" max="7689" width="15.42578125" style="85" customWidth="1"/>
    <col min="7690" max="7690" width="15.5703125" style="85" bestFit="1" customWidth="1"/>
    <col min="7691" max="7691" width="0" style="85" hidden="1" customWidth="1"/>
    <col min="7692" max="7692" width="11.5703125" style="85" bestFit="1" customWidth="1"/>
    <col min="7693" max="7693" width="0" style="85" hidden="1" customWidth="1"/>
    <col min="7694" max="7694" width="14.5703125" style="85" customWidth="1"/>
    <col min="7695" max="7695" width="12.140625" style="85" customWidth="1"/>
    <col min="7696" max="7696" width="0" style="85" hidden="1" customWidth="1"/>
    <col min="7697" max="7697" width="12.42578125" style="85" customWidth="1"/>
    <col min="7698" max="7698" width="0" style="85" hidden="1" customWidth="1"/>
    <col min="7699" max="7699" width="11.42578125" style="85" customWidth="1"/>
    <col min="7700" max="7700" width="0" style="85" hidden="1" customWidth="1"/>
    <col min="7701" max="7701" width="13.85546875" style="85" customWidth="1"/>
    <col min="7702" max="7702" width="0" style="85" hidden="1" customWidth="1"/>
    <col min="7703" max="7703" width="10.5703125" style="85" bestFit="1" customWidth="1"/>
    <col min="7704" max="7704" width="0" style="85" hidden="1" customWidth="1"/>
    <col min="7705" max="7705" width="13.85546875" style="85" bestFit="1" customWidth="1"/>
    <col min="7706" max="7706" width="0" style="85" hidden="1" customWidth="1"/>
    <col min="7707" max="7707" width="8.85546875" style="85" customWidth="1"/>
    <col min="7708" max="7708" width="0.140625" style="85" customWidth="1"/>
    <col min="7709" max="7709" width="8.5703125" style="85" customWidth="1"/>
    <col min="7710" max="7710" width="0" style="85" hidden="1" customWidth="1"/>
    <col min="7711" max="7711" width="11.5703125" style="85" bestFit="1" customWidth="1"/>
    <col min="7712" max="7712" width="0" style="85" hidden="1" customWidth="1"/>
    <col min="7713" max="7713" width="9.42578125" style="85" customWidth="1"/>
    <col min="7714" max="7714" width="11.5703125" style="85" bestFit="1" customWidth="1"/>
    <col min="7715" max="7715" width="10.5703125" style="85" bestFit="1" customWidth="1"/>
    <col min="7716" max="7716" width="9.140625" style="85"/>
    <col min="7717" max="7717" width="10.5703125" style="85" bestFit="1" customWidth="1"/>
    <col min="7718" max="7725" width="0" style="85" hidden="1" customWidth="1"/>
    <col min="7726" max="7936" width="9.140625" style="85"/>
    <col min="7937" max="7937" width="11.140625" style="85" customWidth="1"/>
    <col min="7938" max="7938" width="14.5703125" style="85" customWidth="1"/>
    <col min="7939" max="7939" width="20.85546875" style="85" customWidth="1"/>
    <col min="7940" max="7940" width="23.5703125" style="85" customWidth="1"/>
    <col min="7941" max="7941" width="11.85546875" style="85" customWidth="1"/>
    <col min="7942" max="7942" width="16.140625" style="85" bestFit="1" customWidth="1"/>
    <col min="7943" max="7943" width="0" style="85" hidden="1" customWidth="1"/>
    <col min="7944" max="7945" width="15.42578125" style="85" customWidth="1"/>
    <col min="7946" max="7946" width="15.5703125" style="85" bestFit="1" customWidth="1"/>
    <col min="7947" max="7947" width="0" style="85" hidden="1" customWidth="1"/>
    <col min="7948" max="7948" width="11.5703125" style="85" bestFit="1" customWidth="1"/>
    <col min="7949" max="7949" width="0" style="85" hidden="1" customWidth="1"/>
    <col min="7950" max="7950" width="14.5703125" style="85" customWidth="1"/>
    <col min="7951" max="7951" width="12.140625" style="85" customWidth="1"/>
    <col min="7952" max="7952" width="0" style="85" hidden="1" customWidth="1"/>
    <col min="7953" max="7953" width="12.42578125" style="85" customWidth="1"/>
    <col min="7954" max="7954" width="0" style="85" hidden="1" customWidth="1"/>
    <col min="7955" max="7955" width="11.42578125" style="85" customWidth="1"/>
    <col min="7956" max="7956" width="0" style="85" hidden="1" customWidth="1"/>
    <col min="7957" max="7957" width="13.85546875" style="85" customWidth="1"/>
    <col min="7958" max="7958" width="0" style="85" hidden="1" customWidth="1"/>
    <col min="7959" max="7959" width="10.5703125" style="85" bestFit="1" customWidth="1"/>
    <col min="7960" max="7960" width="0" style="85" hidden="1" customWidth="1"/>
    <col min="7961" max="7961" width="13.85546875" style="85" bestFit="1" customWidth="1"/>
    <col min="7962" max="7962" width="0" style="85" hidden="1" customWidth="1"/>
    <col min="7963" max="7963" width="8.85546875" style="85" customWidth="1"/>
    <col min="7964" max="7964" width="0.140625" style="85" customWidth="1"/>
    <col min="7965" max="7965" width="8.5703125" style="85" customWidth="1"/>
    <col min="7966" max="7966" width="0" style="85" hidden="1" customWidth="1"/>
    <col min="7967" max="7967" width="11.5703125" style="85" bestFit="1" customWidth="1"/>
    <col min="7968" max="7968" width="0" style="85" hidden="1" customWidth="1"/>
    <col min="7969" max="7969" width="9.42578125" style="85" customWidth="1"/>
    <col min="7970" max="7970" width="11.5703125" style="85" bestFit="1" customWidth="1"/>
    <col min="7971" max="7971" width="10.5703125" style="85" bestFit="1" customWidth="1"/>
    <col min="7972" max="7972" width="9.140625" style="85"/>
    <col min="7973" max="7973" width="10.5703125" style="85" bestFit="1" customWidth="1"/>
    <col min="7974" max="7981" width="0" style="85" hidden="1" customWidth="1"/>
    <col min="7982" max="8192" width="9.140625" style="85"/>
    <col min="8193" max="8193" width="11.140625" style="85" customWidth="1"/>
    <col min="8194" max="8194" width="14.5703125" style="85" customWidth="1"/>
    <col min="8195" max="8195" width="20.85546875" style="85" customWidth="1"/>
    <col min="8196" max="8196" width="23.5703125" style="85" customWidth="1"/>
    <col min="8197" max="8197" width="11.85546875" style="85" customWidth="1"/>
    <col min="8198" max="8198" width="16.140625" style="85" bestFit="1" customWidth="1"/>
    <col min="8199" max="8199" width="0" style="85" hidden="1" customWidth="1"/>
    <col min="8200" max="8201" width="15.42578125" style="85" customWidth="1"/>
    <col min="8202" max="8202" width="15.5703125" style="85" bestFit="1" customWidth="1"/>
    <col min="8203" max="8203" width="0" style="85" hidden="1" customWidth="1"/>
    <col min="8204" max="8204" width="11.5703125" style="85" bestFit="1" customWidth="1"/>
    <col min="8205" max="8205" width="0" style="85" hidden="1" customWidth="1"/>
    <col min="8206" max="8206" width="14.5703125" style="85" customWidth="1"/>
    <col min="8207" max="8207" width="12.140625" style="85" customWidth="1"/>
    <col min="8208" max="8208" width="0" style="85" hidden="1" customWidth="1"/>
    <col min="8209" max="8209" width="12.42578125" style="85" customWidth="1"/>
    <col min="8210" max="8210" width="0" style="85" hidden="1" customWidth="1"/>
    <col min="8211" max="8211" width="11.42578125" style="85" customWidth="1"/>
    <col min="8212" max="8212" width="0" style="85" hidden="1" customWidth="1"/>
    <col min="8213" max="8213" width="13.85546875" style="85" customWidth="1"/>
    <col min="8214" max="8214" width="0" style="85" hidden="1" customWidth="1"/>
    <col min="8215" max="8215" width="10.5703125" style="85" bestFit="1" customWidth="1"/>
    <col min="8216" max="8216" width="0" style="85" hidden="1" customWidth="1"/>
    <col min="8217" max="8217" width="13.85546875" style="85" bestFit="1" customWidth="1"/>
    <col min="8218" max="8218" width="0" style="85" hidden="1" customWidth="1"/>
    <col min="8219" max="8219" width="8.85546875" style="85" customWidth="1"/>
    <col min="8220" max="8220" width="0.140625" style="85" customWidth="1"/>
    <col min="8221" max="8221" width="8.5703125" style="85" customWidth="1"/>
    <col min="8222" max="8222" width="0" style="85" hidden="1" customWidth="1"/>
    <col min="8223" max="8223" width="11.5703125" style="85" bestFit="1" customWidth="1"/>
    <col min="8224" max="8224" width="0" style="85" hidden="1" customWidth="1"/>
    <col min="8225" max="8225" width="9.42578125" style="85" customWidth="1"/>
    <col min="8226" max="8226" width="11.5703125" style="85" bestFit="1" customWidth="1"/>
    <col min="8227" max="8227" width="10.5703125" style="85" bestFit="1" customWidth="1"/>
    <col min="8228" max="8228" width="9.140625" style="85"/>
    <col min="8229" max="8229" width="10.5703125" style="85" bestFit="1" customWidth="1"/>
    <col min="8230" max="8237" width="0" style="85" hidden="1" customWidth="1"/>
    <col min="8238" max="8448" width="9.140625" style="85"/>
    <col min="8449" max="8449" width="11.140625" style="85" customWidth="1"/>
    <col min="8450" max="8450" width="14.5703125" style="85" customWidth="1"/>
    <col min="8451" max="8451" width="20.85546875" style="85" customWidth="1"/>
    <col min="8452" max="8452" width="23.5703125" style="85" customWidth="1"/>
    <col min="8453" max="8453" width="11.85546875" style="85" customWidth="1"/>
    <col min="8454" max="8454" width="16.140625" style="85" bestFit="1" customWidth="1"/>
    <col min="8455" max="8455" width="0" style="85" hidden="1" customWidth="1"/>
    <col min="8456" max="8457" width="15.42578125" style="85" customWidth="1"/>
    <col min="8458" max="8458" width="15.5703125" style="85" bestFit="1" customWidth="1"/>
    <col min="8459" max="8459" width="0" style="85" hidden="1" customWidth="1"/>
    <col min="8460" max="8460" width="11.5703125" style="85" bestFit="1" customWidth="1"/>
    <col min="8461" max="8461" width="0" style="85" hidden="1" customWidth="1"/>
    <col min="8462" max="8462" width="14.5703125" style="85" customWidth="1"/>
    <col min="8463" max="8463" width="12.140625" style="85" customWidth="1"/>
    <col min="8464" max="8464" width="0" style="85" hidden="1" customWidth="1"/>
    <col min="8465" max="8465" width="12.42578125" style="85" customWidth="1"/>
    <col min="8466" max="8466" width="0" style="85" hidden="1" customWidth="1"/>
    <col min="8467" max="8467" width="11.42578125" style="85" customWidth="1"/>
    <col min="8468" max="8468" width="0" style="85" hidden="1" customWidth="1"/>
    <col min="8469" max="8469" width="13.85546875" style="85" customWidth="1"/>
    <col min="8470" max="8470" width="0" style="85" hidden="1" customWidth="1"/>
    <col min="8471" max="8471" width="10.5703125" style="85" bestFit="1" customWidth="1"/>
    <col min="8472" max="8472" width="0" style="85" hidden="1" customWidth="1"/>
    <col min="8473" max="8473" width="13.85546875" style="85" bestFit="1" customWidth="1"/>
    <col min="8474" max="8474" width="0" style="85" hidden="1" customWidth="1"/>
    <col min="8475" max="8475" width="8.85546875" style="85" customWidth="1"/>
    <col min="8476" max="8476" width="0.140625" style="85" customWidth="1"/>
    <col min="8477" max="8477" width="8.5703125" style="85" customWidth="1"/>
    <col min="8478" max="8478" width="0" style="85" hidden="1" customWidth="1"/>
    <col min="8479" max="8479" width="11.5703125" style="85" bestFit="1" customWidth="1"/>
    <col min="8480" max="8480" width="0" style="85" hidden="1" customWidth="1"/>
    <col min="8481" max="8481" width="9.42578125" style="85" customWidth="1"/>
    <col min="8482" max="8482" width="11.5703125" style="85" bestFit="1" customWidth="1"/>
    <col min="8483" max="8483" width="10.5703125" style="85" bestFit="1" customWidth="1"/>
    <col min="8484" max="8484" width="9.140625" style="85"/>
    <col min="8485" max="8485" width="10.5703125" style="85" bestFit="1" customWidth="1"/>
    <col min="8486" max="8493" width="0" style="85" hidden="1" customWidth="1"/>
    <col min="8494" max="8704" width="9.140625" style="85"/>
    <col min="8705" max="8705" width="11.140625" style="85" customWidth="1"/>
    <col min="8706" max="8706" width="14.5703125" style="85" customWidth="1"/>
    <col min="8707" max="8707" width="20.85546875" style="85" customWidth="1"/>
    <col min="8708" max="8708" width="23.5703125" style="85" customWidth="1"/>
    <col min="8709" max="8709" width="11.85546875" style="85" customWidth="1"/>
    <col min="8710" max="8710" width="16.140625" style="85" bestFit="1" customWidth="1"/>
    <col min="8711" max="8711" width="0" style="85" hidden="1" customWidth="1"/>
    <col min="8712" max="8713" width="15.42578125" style="85" customWidth="1"/>
    <col min="8714" max="8714" width="15.5703125" style="85" bestFit="1" customWidth="1"/>
    <col min="8715" max="8715" width="0" style="85" hidden="1" customWidth="1"/>
    <col min="8716" max="8716" width="11.5703125" style="85" bestFit="1" customWidth="1"/>
    <col min="8717" max="8717" width="0" style="85" hidden="1" customWidth="1"/>
    <col min="8718" max="8718" width="14.5703125" style="85" customWidth="1"/>
    <col min="8719" max="8719" width="12.140625" style="85" customWidth="1"/>
    <col min="8720" max="8720" width="0" style="85" hidden="1" customWidth="1"/>
    <col min="8721" max="8721" width="12.42578125" style="85" customWidth="1"/>
    <col min="8722" max="8722" width="0" style="85" hidden="1" customWidth="1"/>
    <col min="8723" max="8723" width="11.42578125" style="85" customWidth="1"/>
    <col min="8724" max="8724" width="0" style="85" hidden="1" customWidth="1"/>
    <col min="8725" max="8725" width="13.85546875" style="85" customWidth="1"/>
    <col min="8726" max="8726" width="0" style="85" hidden="1" customWidth="1"/>
    <col min="8727" max="8727" width="10.5703125" style="85" bestFit="1" customWidth="1"/>
    <col min="8728" max="8728" width="0" style="85" hidden="1" customWidth="1"/>
    <col min="8729" max="8729" width="13.85546875" style="85" bestFit="1" customWidth="1"/>
    <col min="8730" max="8730" width="0" style="85" hidden="1" customWidth="1"/>
    <col min="8731" max="8731" width="8.85546875" style="85" customWidth="1"/>
    <col min="8732" max="8732" width="0.140625" style="85" customWidth="1"/>
    <col min="8733" max="8733" width="8.5703125" style="85" customWidth="1"/>
    <col min="8734" max="8734" width="0" style="85" hidden="1" customWidth="1"/>
    <col min="8735" max="8735" width="11.5703125" style="85" bestFit="1" customWidth="1"/>
    <col min="8736" max="8736" width="0" style="85" hidden="1" customWidth="1"/>
    <col min="8737" max="8737" width="9.42578125" style="85" customWidth="1"/>
    <col min="8738" max="8738" width="11.5703125" style="85" bestFit="1" customWidth="1"/>
    <col min="8739" max="8739" width="10.5703125" style="85" bestFit="1" customWidth="1"/>
    <col min="8740" max="8740" width="9.140625" style="85"/>
    <col min="8741" max="8741" width="10.5703125" style="85" bestFit="1" customWidth="1"/>
    <col min="8742" max="8749" width="0" style="85" hidden="1" customWidth="1"/>
    <col min="8750" max="8960" width="9.140625" style="85"/>
    <col min="8961" max="8961" width="11.140625" style="85" customWidth="1"/>
    <col min="8962" max="8962" width="14.5703125" style="85" customWidth="1"/>
    <col min="8963" max="8963" width="20.85546875" style="85" customWidth="1"/>
    <col min="8964" max="8964" width="23.5703125" style="85" customWidth="1"/>
    <col min="8965" max="8965" width="11.85546875" style="85" customWidth="1"/>
    <col min="8966" max="8966" width="16.140625" style="85" bestFit="1" customWidth="1"/>
    <col min="8967" max="8967" width="0" style="85" hidden="1" customWidth="1"/>
    <col min="8968" max="8969" width="15.42578125" style="85" customWidth="1"/>
    <col min="8970" max="8970" width="15.5703125" style="85" bestFit="1" customWidth="1"/>
    <col min="8971" max="8971" width="0" style="85" hidden="1" customWidth="1"/>
    <col min="8972" max="8972" width="11.5703125" style="85" bestFit="1" customWidth="1"/>
    <col min="8973" max="8973" width="0" style="85" hidden="1" customWidth="1"/>
    <col min="8974" max="8974" width="14.5703125" style="85" customWidth="1"/>
    <col min="8975" max="8975" width="12.140625" style="85" customWidth="1"/>
    <col min="8976" max="8976" width="0" style="85" hidden="1" customWidth="1"/>
    <col min="8977" max="8977" width="12.42578125" style="85" customWidth="1"/>
    <col min="8978" max="8978" width="0" style="85" hidden="1" customWidth="1"/>
    <col min="8979" max="8979" width="11.42578125" style="85" customWidth="1"/>
    <col min="8980" max="8980" width="0" style="85" hidden="1" customWidth="1"/>
    <col min="8981" max="8981" width="13.85546875" style="85" customWidth="1"/>
    <col min="8982" max="8982" width="0" style="85" hidden="1" customWidth="1"/>
    <col min="8983" max="8983" width="10.5703125" style="85" bestFit="1" customWidth="1"/>
    <col min="8984" max="8984" width="0" style="85" hidden="1" customWidth="1"/>
    <col min="8985" max="8985" width="13.85546875" style="85" bestFit="1" customWidth="1"/>
    <col min="8986" max="8986" width="0" style="85" hidden="1" customWidth="1"/>
    <col min="8987" max="8987" width="8.85546875" style="85" customWidth="1"/>
    <col min="8988" max="8988" width="0.140625" style="85" customWidth="1"/>
    <col min="8989" max="8989" width="8.5703125" style="85" customWidth="1"/>
    <col min="8990" max="8990" width="0" style="85" hidden="1" customWidth="1"/>
    <col min="8991" max="8991" width="11.5703125" style="85" bestFit="1" customWidth="1"/>
    <col min="8992" max="8992" width="0" style="85" hidden="1" customWidth="1"/>
    <col min="8993" max="8993" width="9.42578125" style="85" customWidth="1"/>
    <col min="8994" max="8994" width="11.5703125" style="85" bestFit="1" customWidth="1"/>
    <col min="8995" max="8995" width="10.5703125" style="85" bestFit="1" customWidth="1"/>
    <col min="8996" max="8996" width="9.140625" style="85"/>
    <col min="8997" max="8997" width="10.5703125" style="85" bestFit="1" customWidth="1"/>
    <col min="8998" max="9005" width="0" style="85" hidden="1" customWidth="1"/>
    <col min="9006" max="9216" width="9.140625" style="85"/>
    <col min="9217" max="9217" width="11.140625" style="85" customWidth="1"/>
    <col min="9218" max="9218" width="14.5703125" style="85" customWidth="1"/>
    <col min="9219" max="9219" width="20.85546875" style="85" customWidth="1"/>
    <col min="9220" max="9220" width="23.5703125" style="85" customWidth="1"/>
    <col min="9221" max="9221" width="11.85546875" style="85" customWidth="1"/>
    <col min="9222" max="9222" width="16.140625" style="85" bestFit="1" customWidth="1"/>
    <col min="9223" max="9223" width="0" style="85" hidden="1" customWidth="1"/>
    <col min="9224" max="9225" width="15.42578125" style="85" customWidth="1"/>
    <col min="9226" max="9226" width="15.5703125" style="85" bestFit="1" customWidth="1"/>
    <col min="9227" max="9227" width="0" style="85" hidden="1" customWidth="1"/>
    <col min="9228" max="9228" width="11.5703125" style="85" bestFit="1" customWidth="1"/>
    <col min="9229" max="9229" width="0" style="85" hidden="1" customWidth="1"/>
    <col min="9230" max="9230" width="14.5703125" style="85" customWidth="1"/>
    <col min="9231" max="9231" width="12.140625" style="85" customWidth="1"/>
    <col min="9232" max="9232" width="0" style="85" hidden="1" customWidth="1"/>
    <col min="9233" max="9233" width="12.42578125" style="85" customWidth="1"/>
    <col min="9234" max="9234" width="0" style="85" hidden="1" customWidth="1"/>
    <col min="9235" max="9235" width="11.42578125" style="85" customWidth="1"/>
    <col min="9236" max="9236" width="0" style="85" hidden="1" customWidth="1"/>
    <col min="9237" max="9237" width="13.85546875" style="85" customWidth="1"/>
    <col min="9238" max="9238" width="0" style="85" hidden="1" customWidth="1"/>
    <col min="9239" max="9239" width="10.5703125" style="85" bestFit="1" customWidth="1"/>
    <col min="9240" max="9240" width="0" style="85" hidden="1" customWidth="1"/>
    <col min="9241" max="9241" width="13.85546875" style="85" bestFit="1" customWidth="1"/>
    <col min="9242" max="9242" width="0" style="85" hidden="1" customWidth="1"/>
    <col min="9243" max="9243" width="8.85546875" style="85" customWidth="1"/>
    <col min="9244" max="9244" width="0.140625" style="85" customWidth="1"/>
    <col min="9245" max="9245" width="8.5703125" style="85" customWidth="1"/>
    <col min="9246" max="9246" width="0" style="85" hidden="1" customWidth="1"/>
    <col min="9247" max="9247" width="11.5703125" style="85" bestFit="1" customWidth="1"/>
    <col min="9248" max="9248" width="0" style="85" hidden="1" customWidth="1"/>
    <col min="9249" max="9249" width="9.42578125" style="85" customWidth="1"/>
    <col min="9250" max="9250" width="11.5703125" style="85" bestFit="1" customWidth="1"/>
    <col min="9251" max="9251" width="10.5703125" style="85" bestFit="1" customWidth="1"/>
    <col min="9252" max="9252" width="9.140625" style="85"/>
    <col min="9253" max="9253" width="10.5703125" style="85" bestFit="1" customWidth="1"/>
    <col min="9254" max="9261" width="0" style="85" hidden="1" customWidth="1"/>
    <col min="9262" max="9472" width="9.140625" style="85"/>
    <col min="9473" max="9473" width="11.140625" style="85" customWidth="1"/>
    <col min="9474" max="9474" width="14.5703125" style="85" customWidth="1"/>
    <col min="9475" max="9475" width="20.85546875" style="85" customWidth="1"/>
    <col min="9476" max="9476" width="23.5703125" style="85" customWidth="1"/>
    <col min="9477" max="9477" width="11.85546875" style="85" customWidth="1"/>
    <col min="9478" max="9478" width="16.140625" style="85" bestFit="1" customWidth="1"/>
    <col min="9479" max="9479" width="0" style="85" hidden="1" customWidth="1"/>
    <col min="9480" max="9481" width="15.42578125" style="85" customWidth="1"/>
    <col min="9482" max="9482" width="15.5703125" style="85" bestFit="1" customWidth="1"/>
    <col min="9483" max="9483" width="0" style="85" hidden="1" customWidth="1"/>
    <col min="9484" max="9484" width="11.5703125" style="85" bestFit="1" customWidth="1"/>
    <col min="9485" max="9485" width="0" style="85" hidden="1" customWidth="1"/>
    <col min="9486" max="9486" width="14.5703125" style="85" customWidth="1"/>
    <col min="9487" max="9487" width="12.140625" style="85" customWidth="1"/>
    <col min="9488" max="9488" width="0" style="85" hidden="1" customWidth="1"/>
    <col min="9489" max="9489" width="12.42578125" style="85" customWidth="1"/>
    <col min="9490" max="9490" width="0" style="85" hidden="1" customWidth="1"/>
    <col min="9491" max="9491" width="11.42578125" style="85" customWidth="1"/>
    <col min="9492" max="9492" width="0" style="85" hidden="1" customWidth="1"/>
    <col min="9493" max="9493" width="13.85546875" style="85" customWidth="1"/>
    <col min="9494" max="9494" width="0" style="85" hidden="1" customWidth="1"/>
    <col min="9495" max="9495" width="10.5703125" style="85" bestFit="1" customWidth="1"/>
    <col min="9496" max="9496" width="0" style="85" hidden="1" customWidth="1"/>
    <col min="9497" max="9497" width="13.85546875" style="85" bestFit="1" customWidth="1"/>
    <col min="9498" max="9498" width="0" style="85" hidden="1" customWidth="1"/>
    <col min="9499" max="9499" width="8.85546875" style="85" customWidth="1"/>
    <col min="9500" max="9500" width="0.140625" style="85" customWidth="1"/>
    <col min="9501" max="9501" width="8.5703125" style="85" customWidth="1"/>
    <col min="9502" max="9502" width="0" style="85" hidden="1" customWidth="1"/>
    <col min="9503" max="9503" width="11.5703125" style="85" bestFit="1" customWidth="1"/>
    <col min="9504" max="9504" width="0" style="85" hidden="1" customWidth="1"/>
    <col min="9505" max="9505" width="9.42578125" style="85" customWidth="1"/>
    <col min="9506" max="9506" width="11.5703125" style="85" bestFit="1" customWidth="1"/>
    <col min="9507" max="9507" width="10.5703125" style="85" bestFit="1" customWidth="1"/>
    <col min="9508" max="9508" width="9.140625" style="85"/>
    <col min="9509" max="9509" width="10.5703125" style="85" bestFit="1" customWidth="1"/>
    <col min="9510" max="9517" width="0" style="85" hidden="1" customWidth="1"/>
    <col min="9518" max="9728" width="9.140625" style="85"/>
    <col min="9729" max="9729" width="11.140625" style="85" customWidth="1"/>
    <col min="9730" max="9730" width="14.5703125" style="85" customWidth="1"/>
    <col min="9731" max="9731" width="20.85546875" style="85" customWidth="1"/>
    <col min="9732" max="9732" width="23.5703125" style="85" customWidth="1"/>
    <col min="9733" max="9733" width="11.85546875" style="85" customWidth="1"/>
    <col min="9734" max="9734" width="16.140625" style="85" bestFit="1" customWidth="1"/>
    <col min="9735" max="9735" width="0" style="85" hidden="1" customWidth="1"/>
    <col min="9736" max="9737" width="15.42578125" style="85" customWidth="1"/>
    <col min="9738" max="9738" width="15.5703125" style="85" bestFit="1" customWidth="1"/>
    <col min="9739" max="9739" width="0" style="85" hidden="1" customWidth="1"/>
    <col min="9740" max="9740" width="11.5703125" style="85" bestFit="1" customWidth="1"/>
    <col min="9741" max="9741" width="0" style="85" hidden="1" customWidth="1"/>
    <col min="9742" max="9742" width="14.5703125" style="85" customWidth="1"/>
    <col min="9743" max="9743" width="12.140625" style="85" customWidth="1"/>
    <col min="9744" max="9744" width="0" style="85" hidden="1" customWidth="1"/>
    <col min="9745" max="9745" width="12.42578125" style="85" customWidth="1"/>
    <col min="9746" max="9746" width="0" style="85" hidden="1" customWidth="1"/>
    <col min="9747" max="9747" width="11.42578125" style="85" customWidth="1"/>
    <col min="9748" max="9748" width="0" style="85" hidden="1" customWidth="1"/>
    <col min="9749" max="9749" width="13.85546875" style="85" customWidth="1"/>
    <col min="9750" max="9750" width="0" style="85" hidden="1" customWidth="1"/>
    <col min="9751" max="9751" width="10.5703125" style="85" bestFit="1" customWidth="1"/>
    <col min="9752" max="9752" width="0" style="85" hidden="1" customWidth="1"/>
    <col min="9753" max="9753" width="13.85546875" style="85" bestFit="1" customWidth="1"/>
    <col min="9754" max="9754" width="0" style="85" hidden="1" customWidth="1"/>
    <col min="9755" max="9755" width="8.85546875" style="85" customWidth="1"/>
    <col min="9756" max="9756" width="0.140625" style="85" customWidth="1"/>
    <col min="9757" max="9757" width="8.5703125" style="85" customWidth="1"/>
    <col min="9758" max="9758" width="0" style="85" hidden="1" customWidth="1"/>
    <col min="9759" max="9759" width="11.5703125" style="85" bestFit="1" customWidth="1"/>
    <col min="9760" max="9760" width="0" style="85" hidden="1" customWidth="1"/>
    <col min="9761" max="9761" width="9.42578125" style="85" customWidth="1"/>
    <col min="9762" max="9762" width="11.5703125" style="85" bestFit="1" customWidth="1"/>
    <col min="9763" max="9763" width="10.5703125" style="85" bestFit="1" customWidth="1"/>
    <col min="9764" max="9764" width="9.140625" style="85"/>
    <col min="9765" max="9765" width="10.5703125" style="85" bestFit="1" customWidth="1"/>
    <col min="9766" max="9773" width="0" style="85" hidden="1" customWidth="1"/>
    <col min="9774" max="9984" width="9.140625" style="85"/>
    <col min="9985" max="9985" width="11.140625" style="85" customWidth="1"/>
    <col min="9986" max="9986" width="14.5703125" style="85" customWidth="1"/>
    <col min="9987" max="9987" width="20.85546875" style="85" customWidth="1"/>
    <col min="9988" max="9988" width="23.5703125" style="85" customWidth="1"/>
    <col min="9989" max="9989" width="11.85546875" style="85" customWidth="1"/>
    <col min="9990" max="9990" width="16.140625" style="85" bestFit="1" customWidth="1"/>
    <col min="9991" max="9991" width="0" style="85" hidden="1" customWidth="1"/>
    <col min="9992" max="9993" width="15.42578125" style="85" customWidth="1"/>
    <col min="9994" max="9994" width="15.5703125" style="85" bestFit="1" customWidth="1"/>
    <col min="9995" max="9995" width="0" style="85" hidden="1" customWidth="1"/>
    <col min="9996" max="9996" width="11.5703125" style="85" bestFit="1" customWidth="1"/>
    <col min="9997" max="9997" width="0" style="85" hidden="1" customWidth="1"/>
    <col min="9998" max="9998" width="14.5703125" style="85" customWidth="1"/>
    <col min="9999" max="9999" width="12.140625" style="85" customWidth="1"/>
    <col min="10000" max="10000" width="0" style="85" hidden="1" customWidth="1"/>
    <col min="10001" max="10001" width="12.42578125" style="85" customWidth="1"/>
    <col min="10002" max="10002" width="0" style="85" hidden="1" customWidth="1"/>
    <col min="10003" max="10003" width="11.42578125" style="85" customWidth="1"/>
    <col min="10004" max="10004" width="0" style="85" hidden="1" customWidth="1"/>
    <col min="10005" max="10005" width="13.85546875" style="85" customWidth="1"/>
    <col min="10006" max="10006" width="0" style="85" hidden="1" customWidth="1"/>
    <col min="10007" max="10007" width="10.5703125" style="85" bestFit="1" customWidth="1"/>
    <col min="10008" max="10008" width="0" style="85" hidden="1" customWidth="1"/>
    <col min="10009" max="10009" width="13.85546875" style="85" bestFit="1" customWidth="1"/>
    <col min="10010" max="10010" width="0" style="85" hidden="1" customWidth="1"/>
    <col min="10011" max="10011" width="8.85546875" style="85" customWidth="1"/>
    <col min="10012" max="10012" width="0.140625" style="85" customWidth="1"/>
    <col min="10013" max="10013" width="8.5703125" style="85" customWidth="1"/>
    <col min="10014" max="10014" width="0" style="85" hidden="1" customWidth="1"/>
    <col min="10015" max="10015" width="11.5703125" style="85" bestFit="1" customWidth="1"/>
    <col min="10016" max="10016" width="0" style="85" hidden="1" customWidth="1"/>
    <col min="10017" max="10017" width="9.42578125" style="85" customWidth="1"/>
    <col min="10018" max="10018" width="11.5703125" style="85" bestFit="1" customWidth="1"/>
    <col min="10019" max="10019" width="10.5703125" style="85" bestFit="1" customWidth="1"/>
    <col min="10020" max="10020" width="9.140625" style="85"/>
    <col min="10021" max="10021" width="10.5703125" style="85" bestFit="1" customWidth="1"/>
    <col min="10022" max="10029" width="0" style="85" hidden="1" customWidth="1"/>
    <col min="10030" max="10240" width="9.140625" style="85"/>
    <col min="10241" max="10241" width="11.140625" style="85" customWidth="1"/>
    <col min="10242" max="10242" width="14.5703125" style="85" customWidth="1"/>
    <col min="10243" max="10243" width="20.85546875" style="85" customWidth="1"/>
    <col min="10244" max="10244" width="23.5703125" style="85" customWidth="1"/>
    <col min="10245" max="10245" width="11.85546875" style="85" customWidth="1"/>
    <col min="10246" max="10246" width="16.140625" style="85" bestFit="1" customWidth="1"/>
    <col min="10247" max="10247" width="0" style="85" hidden="1" customWidth="1"/>
    <col min="10248" max="10249" width="15.42578125" style="85" customWidth="1"/>
    <col min="10250" max="10250" width="15.5703125" style="85" bestFit="1" customWidth="1"/>
    <col min="10251" max="10251" width="0" style="85" hidden="1" customWidth="1"/>
    <col min="10252" max="10252" width="11.5703125" style="85" bestFit="1" customWidth="1"/>
    <col min="10253" max="10253" width="0" style="85" hidden="1" customWidth="1"/>
    <col min="10254" max="10254" width="14.5703125" style="85" customWidth="1"/>
    <col min="10255" max="10255" width="12.140625" style="85" customWidth="1"/>
    <col min="10256" max="10256" width="0" style="85" hidden="1" customWidth="1"/>
    <col min="10257" max="10257" width="12.42578125" style="85" customWidth="1"/>
    <col min="10258" max="10258" width="0" style="85" hidden="1" customWidth="1"/>
    <col min="10259" max="10259" width="11.42578125" style="85" customWidth="1"/>
    <col min="10260" max="10260" width="0" style="85" hidden="1" customWidth="1"/>
    <col min="10261" max="10261" width="13.85546875" style="85" customWidth="1"/>
    <col min="10262" max="10262" width="0" style="85" hidden="1" customWidth="1"/>
    <col min="10263" max="10263" width="10.5703125" style="85" bestFit="1" customWidth="1"/>
    <col min="10264" max="10264" width="0" style="85" hidden="1" customWidth="1"/>
    <col min="10265" max="10265" width="13.85546875" style="85" bestFit="1" customWidth="1"/>
    <col min="10266" max="10266" width="0" style="85" hidden="1" customWidth="1"/>
    <col min="10267" max="10267" width="8.85546875" style="85" customWidth="1"/>
    <col min="10268" max="10268" width="0.140625" style="85" customWidth="1"/>
    <col min="10269" max="10269" width="8.5703125" style="85" customWidth="1"/>
    <col min="10270" max="10270" width="0" style="85" hidden="1" customWidth="1"/>
    <col min="10271" max="10271" width="11.5703125" style="85" bestFit="1" customWidth="1"/>
    <col min="10272" max="10272" width="0" style="85" hidden="1" customWidth="1"/>
    <col min="10273" max="10273" width="9.42578125" style="85" customWidth="1"/>
    <col min="10274" max="10274" width="11.5703125" style="85" bestFit="1" customWidth="1"/>
    <col min="10275" max="10275" width="10.5703125" style="85" bestFit="1" customWidth="1"/>
    <col min="10276" max="10276" width="9.140625" style="85"/>
    <col min="10277" max="10277" width="10.5703125" style="85" bestFit="1" customWidth="1"/>
    <col min="10278" max="10285" width="0" style="85" hidden="1" customWidth="1"/>
    <col min="10286" max="10496" width="9.140625" style="85"/>
    <col min="10497" max="10497" width="11.140625" style="85" customWidth="1"/>
    <col min="10498" max="10498" width="14.5703125" style="85" customWidth="1"/>
    <col min="10499" max="10499" width="20.85546875" style="85" customWidth="1"/>
    <col min="10500" max="10500" width="23.5703125" style="85" customWidth="1"/>
    <col min="10501" max="10501" width="11.85546875" style="85" customWidth="1"/>
    <col min="10502" max="10502" width="16.140625" style="85" bestFit="1" customWidth="1"/>
    <col min="10503" max="10503" width="0" style="85" hidden="1" customWidth="1"/>
    <col min="10504" max="10505" width="15.42578125" style="85" customWidth="1"/>
    <col min="10506" max="10506" width="15.5703125" style="85" bestFit="1" customWidth="1"/>
    <col min="10507" max="10507" width="0" style="85" hidden="1" customWidth="1"/>
    <col min="10508" max="10508" width="11.5703125" style="85" bestFit="1" customWidth="1"/>
    <col min="10509" max="10509" width="0" style="85" hidden="1" customWidth="1"/>
    <col min="10510" max="10510" width="14.5703125" style="85" customWidth="1"/>
    <col min="10511" max="10511" width="12.140625" style="85" customWidth="1"/>
    <col min="10512" max="10512" width="0" style="85" hidden="1" customWidth="1"/>
    <col min="10513" max="10513" width="12.42578125" style="85" customWidth="1"/>
    <col min="10514" max="10514" width="0" style="85" hidden="1" customWidth="1"/>
    <col min="10515" max="10515" width="11.42578125" style="85" customWidth="1"/>
    <col min="10516" max="10516" width="0" style="85" hidden="1" customWidth="1"/>
    <col min="10517" max="10517" width="13.85546875" style="85" customWidth="1"/>
    <col min="10518" max="10518" width="0" style="85" hidden="1" customWidth="1"/>
    <col min="10519" max="10519" width="10.5703125" style="85" bestFit="1" customWidth="1"/>
    <col min="10520" max="10520" width="0" style="85" hidden="1" customWidth="1"/>
    <col min="10521" max="10521" width="13.85546875" style="85" bestFit="1" customWidth="1"/>
    <col min="10522" max="10522" width="0" style="85" hidden="1" customWidth="1"/>
    <col min="10523" max="10523" width="8.85546875" style="85" customWidth="1"/>
    <col min="10524" max="10524" width="0.140625" style="85" customWidth="1"/>
    <col min="10525" max="10525" width="8.5703125" style="85" customWidth="1"/>
    <col min="10526" max="10526" width="0" style="85" hidden="1" customWidth="1"/>
    <col min="10527" max="10527" width="11.5703125" style="85" bestFit="1" customWidth="1"/>
    <col min="10528" max="10528" width="0" style="85" hidden="1" customWidth="1"/>
    <col min="10529" max="10529" width="9.42578125" style="85" customWidth="1"/>
    <col min="10530" max="10530" width="11.5703125" style="85" bestFit="1" customWidth="1"/>
    <col min="10531" max="10531" width="10.5703125" style="85" bestFit="1" customWidth="1"/>
    <col min="10532" max="10532" width="9.140625" style="85"/>
    <col min="10533" max="10533" width="10.5703125" style="85" bestFit="1" customWidth="1"/>
    <col min="10534" max="10541" width="0" style="85" hidden="1" customWidth="1"/>
    <col min="10542" max="10752" width="9.140625" style="85"/>
    <col min="10753" max="10753" width="11.140625" style="85" customWidth="1"/>
    <col min="10754" max="10754" width="14.5703125" style="85" customWidth="1"/>
    <col min="10755" max="10755" width="20.85546875" style="85" customWidth="1"/>
    <col min="10756" max="10756" width="23.5703125" style="85" customWidth="1"/>
    <col min="10757" max="10757" width="11.85546875" style="85" customWidth="1"/>
    <col min="10758" max="10758" width="16.140625" style="85" bestFit="1" customWidth="1"/>
    <col min="10759" max="10759" width="0" style="85" hidden="1" customWidth="1"/>
    <col min="10760" max="10761" width="15.42578125" style="85" customWidth="1"/>
    <col min="10762" max="10762" width="15.5703125" style="85" bestFit="1" customWidth="1"/>
    <col min="10763" max="10763" width="0" style="85" hidden="1" customWidth="1"/>
    <col min="10764" max="10764" width="11.5703125" style="85" bestFit="1" customWidth="1"/>
    <col min="10765" max="10765" width="0" style="85" hidden="1" customWidth="1"/>
    <col min="10766" max="10766" width="14.5703125" style="85" customWidth="1"/>
    <col min="10767" max="10767" width="12.140625" style="85" customWidth="1"/>
    <col min="10768" max="10768" width="0" style="85" hidden="1" customWidth="1"/>
    <col min="10769" max="10769" width="12.42578125" style="85" customWidth="1"/>
    <col min="10770" max="10770" width="0" style="85" hidden="1" customWidth="1"/>
    <col min="10771" max="10771" width="11.42578125" style="85" customWidth="1"/>
    <col min="10772" max="10772" width="0" style="85" hidden="1" customWidth="1"/>
    <col min="10773" max="10773" width="13.85546875" style="85" customWidth="1"/>
    <col min="10774" max="10774" width="0" style="85" hidden="1" customWidth="1"/>
    <col min="10775" max="10775" width="10.5703125" style="85" bestFit="1" customWidth="1"/>
    <col min="10776" max="10776" width="0" style="85" hidden="1" customWidth="1"/>
    <col min="10777" max="10777" width="13.85546875" style="85" bestFit="1" customWidth="1"/>
    <col min="10778" max="10778" width="0" style="85" hidden="1" customWidth="1"/>
    <col min="10779" max="10779" width="8.85546875" style="85" customWidth="1"/>
    <col min="10780" max="10780" width="0.140625" style="85" customWidth="1"/>
    <col min="10781" max="10781" width="8.5703125" style="85" customWidth="1"/>
    <col min="10782" max="10782" width="0" style="85" hidden="1" customWidth="1"/>
    <col min="10783" max="10783" width="11.5703125" style="85" bestFit="1" customWidth="1"/>
    <col min="10784" max="10784" width="0" style="85" hidden="1" customWidth="1"/>
    <col min="10785" max="10785" width="9.42578125" style="85" customWidth="1"/>
    <col min="10786" max="10786" width="11.5703125" style="85" bestFit="1" customWidth="1"/>
    <col min="10787" max="10787" width="10.5703125" style="85" bestFit="1" customWidth="1"/>
    <col min="10788" max="10788" width="9.140625" style="85"/>
    <col min="10789" max="10789" width="10.5703125" style="85" bestFit="1" customWidth="1"/>
    <col min="10790" max="10797" width="0" style="85" hidden="1" customWidth="1"/>
    <col min="10798" max="11008" width="9.140625" style="85"/>
    <col min="11009" max="11009" width="11.140625" style="85" customWidth="1"/>
    <col min="11010" max="11010" width="14.5703125" style="85" customWidth="1"/>
    <col min="11011" max="11011" width="20.85546875" style="85" customWidth="1"/>
    <col min="11012" max="11012" width="23.5703125" style="85" customWidth="1"/>
    <col min="11013" max="11013" width="11.85546875" style="85" customWidth="1"/>
    <col min="11014" max="11014" width="16.140625" style="85" bestFit="1" customWidth="1"/>
    <col min="11015" max="11015" width="0" style="85" hidden="1" customWidth="1"/>
    <col min="11016" max="11017" width="15.42578125" style="85" customWidth="1"/>
    <col min="11018" max="11018" width="15.5703125" style="85" bestFit="1" customWidth="1"/>
    <col min="11019" max="11019" width="0" style="85" hidden="1" customWidth="1"/>
    <col min="11020" max="11020" width="11.5703125" style="85" bestFit="1" customWidth="1"/>
    <col min="11021" max="11021" width="0" style="85" hidden="1" customWidth="1"/>
    <col min="11022" max="11022" width="14.5703125" style="85" customWidth="1"/>
    <col min="11023" max="11023" width="12.140625" style="85" customWidth="1"/>
    <col min="11024" max="11024" width="0" style="85" hidden="1" customWidth="1"/>
    <col min="11025" max="11025" width="12.42578125" style="85" customWidth="1"/>
    <col min="11026" max="11026" width="0" style="85" hidden="1" customWidth="1"/>
    <col min="11027" max="11027" width="11.42578125" style="85" customWidth="1"/>
    <col min="11028" max="11028" width="0" style="85" hidden="1" customWidth="1"/>
    <col min="11029" max="11029" width="13.85546875" style="85" customWidth="1"/>
    <col min="11030" max="11030" width="0" style="85" hidden="1" customWidth="1"/>
    <col min="11031" max="11031" width="10.5703125" style="85" bestFit="1" customWidth="1"/>
    <col min="11032" max="11032" width="0" style="85" hidden="1" customWidth="1"/>
    <col min="11033" max="11033" width="13.85546875" style="85" bestFit="1" customWidth="1"/>
    <col min="11034" max="11034" width="0" style="85" hidden="1" customWidth="1"/>
    <col min="11035" max="11035" width="8.85546875" style="85" customWidth="1"/>
    <col min="11036" max="11036" width="0.140625" style="85" customWidth="1"/>
    <col min="11037" max="11037" width="8.5703125" style="85" customWidth="1"/>
    <col min="11038" max="11038" width="0" style="85" hidden="1" customWidth="1"/>
    <col min="11039" max="11039" width="11.5703125" style="85" bestFit="1" customWidth="1"/>
    <col min="11040" max="11040" width="0" style="85" hidden="1" customWidth="1"/>
    <col min="11041" max="11041" width="9.42578125" style="85" customWidth="1"/>
    <col min="11042" max="11042" width="11.5703125" style="85" bestFit="1" customWidth="1"/>
    <col min="11043" max="11043" width="10.5703125" style="85" bestFit="1" customWidth="1"/>
    <col min="11044" max="11044" width="9.140625" style="85"/>
    <col min="11045" max="11045" width="10.5703125" style="85" bestFit="1" customWidth="1"/>
    <col min="11046" max="11053" width="0" style="85" hidden="1" customWidth="1"/>
    <col min="11054" max="11264" width="9.140625" style="85"/>
    <col min="11265" max="11265" width="11.140625" style="85" customWidth="1"/>
    <col min="11266" max="11266" width="14.5703125" style="85" customWidth="1"/>
    <col min="11267" max="11267" width="20.85546875" style="85" customWidth="1"/>
    <col min="11268" max="11268" width="23.5703125" style="85" customWidth="1"/>
    <col min="11269" max="11269" width="11.85546875" style="85" customWidth="1"/>
    <col min="11270" max="11270" width="16.140625" style="85" bestFit="1" customWidth="1"/>
    <col min="11271" max="11271" width="0" style="85" hidden="1" customWidth="1"/>
    <col min="11272" max="11273" width="15.42578125" style="85" customWidth="1"/>
    <col min="11274" max="11274" width="15.5703125" style="85" bestFit="1" customWidth="1"/>
    <col min="11275" max="11275" width="0" style="85" hidden="1" customWidth="1"/>
    <col min="11276" max="11276" width="11.5703125" style="85" bestFit="1" customWidth="1"/>
    <col min="11277" max="11277" width="0" style="85" hidden="1" customWidth="1"/>
    <col min="11278" max="11278" width="14.5703125" style="85" customWidth="1"/>
    <col min="11279" max="11279" width="12.140625" style="85" customWidth="1"/>
    <col min="11280" max="11280" width="0" style="85" hidden="1" customWidth="1"/>
    <col min="11281" max="11281" width="12.42578125" style="85" customWidth="1"/>
    <col min="11282" max="11282" width="0" style="85" hidden="1" customWidth="1"/>
    <col min="11283" max="11283" width="11.42578125" style="85" customWidth="1"/>
    <col min="11284" max="11284" width="0" style="85" hidden="1" customWidth="1"/>
    <col min="11285" max="11285" width="13.85546875" style="85" customWidth="1"/>
    <col min="11286" max="11286" width="0" style="85" hidden="1" customWidth="1"/>
    <col min="11287" max="11287" width="10.5703125" style="85" bestFit="1" customWidth="1"/>
    <col min="11288" max="11288" width="0" style="85" hidden="1" customWidth="1"/>
    <col min="11289" max="11289" width="13.85546875" style="85" bestFit="1" customWidth="1"/>
    <col min="11290" max="11290" width="0" style="85" hidden="1" customWidth="1"/>
    <col min="11291" max="11291" width="8.85546875" style="85" customWidth="1"/>
    <col min="11292" max="11292" width="0.140625" style="85" customWidth="1"/>
    <col min="11293" max="11293" width="8.5703125" style="85" customWidth="1"/>
    <col min="11294" max="11294" width="0" style="85" hidden="1" customWidth="1"/>
    <col min="11295" max="11295" width="11.5703125" style="85" bestFit="1" customWidth="1"/>
    <col min="11296" max="11296" width="0" style="85" hidden="1" customWidth="1"/>
    <col min="11297" max="11297" width="9.42578125" style="85" customWidth="1"/>
    <col min="11298" max="11298" width="11.5703125" style="85" bestFit="1" customWidth="1"/>
    <col min="11299" max="11299" width="10.5703125" style="85" bestFit="1" customWidth="1"/>
    <col min="11300" max="11300" width="9.140625" style="85"/>
    <col min="11301" max="11301" width="10.5703125" style="85" bestFit="1" customWidth="1"/>
    <col min="11302" max="11309" width="0" style="85" hidden="1" customWidth="1"/>
    <col min="11310" max="11520" width="9.140625" style="85"/>
    <col min="11521" max="11521" width="11.140625" style="85" customWidth="1"/>
    <col min="11522" max="11522" width="14.5703125" style="85" customWidth="1"/>
    <col min="11523" max="11523" width="20.85546875" style="85" customWidth="1"/>
    <col min="11524" max="11524" width="23.5703125" style="85" customWidth="1"/>
    <col min="11525" max="11525" width="11.85546875" style="85" customWidth="1"/>
    <col min="11526" max="11526" width="16.140625" style="85" bestFit="1" customWidth="1"/>
    <col min="11527" max="11527" width="0" style="85" hidden="1" customWidth="1"/>
    <col min="11528" max="11529" width="15.42578125" style="85" customWidth="1"/>
    <col min="11530" max="11530" width="15.5703125" style="85" bestFit="1" customWidth="1"/>
    <col min="11531" max="11531" width="0" style="85" hidden="1" customWidth="1"/>
    <col min="11532" max="11532" width="11.5703125" style="85" bestFit="1" customWidth="1"/>
    <col min="11533" max="11533" width="0" style="85" hidden="1" customWidth="1"/>
    <col min="11534" max="11534" width="14.5703125" style="85" customWidth="1"/>
    <col min="11535" max="11535" width="12.140625" style="85" customWidth="1"/>
    <col min="11536" max="11536" width="0" style="85" hidden="1" customWidth="1"/>
    <col min="11537" max="11537" width="12.42578125" style="85" customWidth="1"/>
    <col min="11538" max="11538" width="0" style="85" hidden="1" customWidth="1"/>
    <col min="11539" max="11539" width="11.42578125" style="85" customWidth="1"/>
    <col min="11540" max="11540" width="0" style="85" hidden="1" customWidth="1"/>
    <col min="11541" max="11541" width="13.85546875" style="85" customWidth="1"/>
    <col min="11542" max="11542" width="0" style="85" hidden="1" customWidth="1"/>
    <col min="11543" max="11543" width="10.5703125" style="85" bestFit="1" customWidth="1"/>
    <col min="11544" max="11544" width="0" style="85" hidden="1" customWidth="1"/>
    <col min="11545" max="11545" width="13.85546875" style="85" bestFit="1" customWidth="1"/>
    <col min="11546" max="11546" width="0" style="85" hidden="1" customWidth="1"/>
    <col min="11547" max="11547" width="8.85546875" style="85" customWidth="1"/>
    <col min="11548" max="11548" width="0.140625" style="85" customWidth="1"/>
    <col min="11549" max="11549" width="8.5703125" style="85" customWidth="1"/>
    <col min="11550" max="11550" width="0" style="85" hidden="1" customWidth="1"/>
    <col min="11551" max="11551" width="11.5703125" style="85" bestFit="1" customWidth="1"/>
    <col min="11552" max="11552" width="0" style="85" hidden="1" customWidth="1"/>
    <col min="11553" max="11553" width="9.42578125" style="85" customWidth="1"/>
    <col min="11554" max="11554" width="11.5703125" style="85" bestFit="1" customWidth="1"/>
    <col min="11555" max="11555" width="10.5703125" style="85" bestFit="1" customWidth="1"/>
    <col min="11556" max="11556" width="9.140625" style="85"/>
    <col min="11557" max="11557" width="10.5703125" style="85" bestFit="1" customWidth="1"/>
    <col min="11558" max="11565" width="0" style="85" hidden="1" customWidth="1"/>
    <col min="11566" max="11776" width="9.140625" style="85"/>
    <col min="11777" max="11777" width="11.140625" style="85" customWidth="1"/>
    <col min="11778" max="11778" width="14.5703125" style="85" customWidth="1"/>
    <col min="11779" max="11779" width="20.85546875" style="85" customWidth="1"/>
    <col min="11780" max="11780" width="23.5703125" style="85" customWidth="1"/>
    <col min="11781" max="11781" width="11.85546875" style="85" customWidth="1"/>
    <col min="11782" max="11782" width="16.140625" style="85" bestFit="1" customWidth="1"/>
    <col min="11783" max="11783" width="0" style="85" hidden="1" customWidth="1"/>
    <col min="11784" max="11785" width="15.42578125" style="85" customWidth="1"/>
    <col min="11786" max="11786" width="15.5703125" style="85" bestFit="1" customWidth="1"/>
    <col min="11787" max="11787" width="0" style="85" hidden="1" customWidth="1"/>
    <col min="11788" max="11788" width="11.5703125" style="85" bestFit="1" customWidth="1"/>
    <col min="11789" max="11789" width="0" style="85" hidden="1" customWidth="1"/>
    <col min="11790" max="11790" width="14.5703125" style="85" customWidth="1"/>
    <col min="11791" max="11791" width="12.140625" style="85" customWidth="1"/>
    <col min="11792" max="11792" width="0" style="85" hidden="1" customWidth="1"/>
    <col min="11793" max="11793" width="12.42578125" style="85" customWidth="1"/>
    <col min="11794" max="11794" width="0" style="85" hidden="1" customWidth="1"/>
    <col min="11795" max="11795" width="11.42578125" style="85" customWidth="1"/>
    <col min="11796" max="11796" width="0" style="85" hidden="1" customWidth="1"/>
    <col min="11797" max="11797" width="13.85546875" style="85" customWidth="1"/>
    <col min="11798" max="11798" width="0" style="85" hidden="1" customWidth="1"/>
    <col min="11799" max="11799" width="10.5703125" style="85" bestFit="1" customWidth="1"/>
    <col min="11800" max="11800" width="0" style="85" hidden="1" customWidth="1"/>
    <col min="11801" max="11801" width="13.85546875" style="85" bestFit="1" customWidth="1"/>
    <col min="11802" max="11802" width="0" style="85" hidden="1" customWidth="1"/>
    <col min="11803" max="11803" width="8.85546875" style="85" customWidth="1"/>
    <col min="11804" max="11804" width="0.140625" style="85" customWidth="1"/>
    <col min="11805" max="11805" width="8.5703125" style="85" customWidth="1"/>
    <col min="11806" max="11806" width="0" style="85" hidden="1" customWidth="1"/>
    <col min="11807" max="11807" width="11.5703125" style="85" bestFit="1" customWidth="1"/>
    <col min="11808" max="11808" width="0" style="85" hidden="1" customWidth="1"/>
    <col min="11809" max="11809" width="9.42578125" style="85" customWidth="1"/>
    <col min="11810" max="11810" width="11.5703125" style="85" bestFit="1" customWidth="1"/>
    <col min="11811" max="11811" width="10.5703125" style="85" bestFit="1" customWidth="1"/>
    <col min="11812" max="11812" width="9.140625" style="85"/>
    <col min="11813" max="11813" width="10.5703125" style="85" bestFit="1" customWidth="1"/>
    <col min="11814" max="11821" width="0" style="85" hidden="1" customWidth="1"/>
    <col min="11822" max="12032" width="9.140625" style="85"/>
    <col min="12033" max="12033" width="11.140625" style="85" customWidth="1"/>
    <col min="12034" max="12034" width="14.5703125" style="85" customWidth="1"/>
    <col min="12035" max="12035" width="20.85546875" style="85" customWidth="1"/>
    <col min="12036" max="12036" width="23.5703125" style="85" customWidth="1"/>
    <col min="12037" max="12037" width="11.85546875" style="85" customWidth="1"/>
    <col min="12038" max="12038" width="16.140625" style="85" bestFit="1" customWidth="1"/>
    <col min="12039" max="12039" width="0" style="85" hidden="1" customWidth="1"/>
    <col min="12040" max="12041" width="15.42578125" style="85" customWidth="1"/>
    <col min="12042" max="12042" width="15.5703125" style="85" bestFit="1" customWidth="1"/>
    <col min="12043" max="12043" width="0" style="85" hidden="1" customWidth="1"/>
    <col min="12044" max="12044" width="11.5703125" style="85" bestFit="1" customWidth="1"/>
    <col min="12045" max="12045" width="0" style="85" hidden="1" customWidth="1"/>
    <col min="12046" max="12046" width="14.5703125" style="85" customWidth="1"/>
    <col min="12047" max="12047" width="12.140625" style="85" customWidth="1"/>
    <col min="12048" max="12048" width="0" style="85" hidden="1" customWidth="1"/>
    <col min="12049" max="12049" width="12.42578125" style="85" customWidth="1"/>
    <col min="12050" max="12050" width="0" style="85" hidden="1" customWidth="1"/>
    <col min="12051" max="12051" width="11.42578125" style="85" customWidth="1"/>
    <col min="12052" max="12052" width="0" style="85" hidden="1" customWidth="1"/>
    <col min="12053" max="12053" width="13.85546875" style="85" customWidth="1"/>
    <col min="12054" max="12054" width="0" style="85" hidden="1" customWidth="1"/>
    <col min="12055" max="12055" width="10.5703125" style="85" bestFit="1" customWidth="1"/>
    <col min="12056" max="12056" width="0" style="85" hidden="1" customWidth="1"/>
    <col min="12057" max="12057" width="13.85546875" style="85" bestFit="1" customWidth="1"/>
    <col min="12058" max="12058" width="0" style="85" hidden="1" customWidth="1"/>
    <col min="12059" max="12059" width="8.85546875" style="85" customWidth="1"/>
    <col min="12060" max="12060" width="0.140625" style="85" customWidth="1"/>
    <col min="12061" max="12061" width="8.5703125" style="85" customWidth="1"/>
    <col min="12062" max="12062" width="0" style="85" hidden="1" customWidth="1"/>
    <col min="12063" max="12063" width="11.5703125" style="85" bestFit="1" customWidth="1"/>
    <col min="12064" max="12064" width="0" style="85" hidden="1" customWidth="1"/>
    <col min="12065" max="12065" width="9.42578125" style="85" customWidth="1"/>
    <col min="12066" max="12066" width="11.5703125" style="85" bestFit="1" customWidth="1"/>
    <col min="12067" max="12067" width="10.5703125" style="85" bestFit="1" customWidth="1"/>
    <col min="12068" max="12068" width="9.140625" style="85"/>
    <col min="12069" max="12069" width="10.5703125" style="85" bestFit="1" customWidth="1"/>
    <col min="12070" max="12077" width="0" style="85" hidden="1" customWidth="1"/>
    <col min="12078" max="12288" width="9.140625" style="85"/>
    <col min="12289" max="12289" width="11.140625" style="85" customWidth="1"/>
    <col min="12290" max="12290" width="14.5703125" style="85" customWidth="1"/>
    <col min="12291" max="12291" width="20.85546875" style="85" customWidth="1"/>
    <col min="12292" max="12292" width="23.5703125" style="85" customWidth="1"/>
    <col min="12293" max="12293" width="11.85546875" style="85" customWidth="1"/>
    <col min="12294" max="12294" width="16.140625" style="85" bestFit="1" customWidth="1"/>
    <col min="12295" max="12295" width="0" style="85" hidden="1" customWidth="1"/>
    <col min="12296" max="12297" width="15.42578125" style="85" customWidth="1"/>
    <col min="12298" max="12298" width="15.5703125" style="85" bestFit="1" customWidth="1"/>
    <col min="12299" max="12299" width="0" style="85" hidden="1" customWidth="1"/>
    <col min="12300" max="12300" width="11.5703125" style="85" bestFit="1" customWidth="1"/>
    <col min="12301" max="12301" width="0" style="85" hidden="1" customWidth="1"/>
    <col min="12302" max="12302" width="14.5703125" style="85" customWidth="1"/>
    <col min="12303" max="12303" width="12.140625" style="85" customWidth="1"/>
    <col min="12304" max="12304" width="0" style="85" hidden="1" customWidth="1"/>
    <col min="12305" max="12305" width="12.42578125" style="85" customWidth="1"/>
    <col min="12306" max="12306" width="0" style="85" hidden="1" customWidth="1"/>
    <col min="12307" max="12307" width="11.42578125" style="85" customWidth="1"/>
    <col min="12308" max="12308" width="0" style="85" hidden="1" customWidth="1"/>
    <col min="12309" max="12309" width="13.85546875" style="85" customWidth="1"/>
    <col min="12310" max="12310" width="0" style="85" hidden="1" customWidth="1"/>
    <col min="12311" max="12311" width="10.5703125" style="85" bestFit="1" customWidth="1"/>
    <col min="12312" max="12312" width="0" style="85" hidden="1" customWidth="1"/>
    <col min="12313" max="12313" width="13.85546875" style="85" bestFit="1" customWidth="1"/>
    <col min="12314" max="12314" width="0" style="85" hidden="1" customWidth="1"/>
    <col min="12315" max="12315" width="8.85546875" style="85" customWidth="1"/>
    <col min="12316" max="12316" width="0.140625" style="85" customWidth="1"/>
    <col min="12317" max="12317" width="8.5703125" style="85" customWidth="1"/>
    <col min="12318" max="12318" width="0" style="85" hidden="1" customWidth="1"/>
    <col min="12319" max="12319" width="11.5703125" style="85" bestFit="1" customWidth="1"/>
    <col min="12320" max="12320" width="0" style="85" hidden="1" customWidth="1"/>
    <col min="12321" max="12321" width="9.42578125" style="85" customWidth="1"/>
    <col min="12322" max="12322" width="11.5703125" style="85" bestFit="1" customWidth="1"/>
    <col min="12323" max="12323" width="10.5703125" style="85" bestFit="1" customWidth="1"/>
    <col min="12324" max="12324" width="9.140625" style="85"/>
    <col min="12325" max="12325" width="10.5703125" style="85" bestFit="1" customWidth="1"/>
    <col min="12326" max="12333" width="0" style="85" hidden="1" customWidth="1"/>
    <col min="12334" max="12544" width="9.140625" style="85"/>
    <col min="12545" max="12545" width="11.140625" style="85" customWidth="1"/>
    <col min="12546" max="12546" width="14.5703125" style="85" customWidth="1"/>
    <col min="12547" max="12547" width="20.85546875" style="85" customWidth="1"/>
    <col min="12548" max="12548" width="23.5703125" style="85" customWidth="1"/>
    <col min="12549" max="12549" width="11.85546875" style="85" customWidth="1"/>
    <col min="12550" max="12550" width="16.140625" style="85" bestFit="1" customWidth="1"/>
    <col min="12551" max="12551" width="0" style="85" hidden="1" customWidth="1"/>
    <col min="12552" max="12553" width="15.42578125" style="85" customWidth="1"/>
    <col min="12554" max="12554" width="15.5703125" style="85" bestFit="1" customWidth="1"/>
    <col min="12555" max="12555" width="0" style="85" hidden="1" customWidth="1"/>
    <col min="12556" max="12556" width="11.5703125" style="85" bestFit="1" customWidth="1"/>
    <col min="12557" max="12557" width="0" style="85" hidden="1" customWidth="1"/>
    <col min="12558" max="12558" width="14.5703125" style="85" customWidth="1"/>
    <col min="12559" max="12559" width="12.140625" style="85" customWidth="1"/>
    <col min="12560" max="12560" width="0" style="85" hidden="1" customWidth="1"/>
    <col min="12561" max="12561" width="12.42578125" style="85" customWidth="1"/>
    <col min="12562" max="12562" width="0" style="85" hidden="1" customWidth="1"/>
    <col min="12563" max="12563" width="11.42578125" style="85" customWidth="1"/>
    <col min="12564" max="12564" width="0" style="85" hidden="1" customWidth="1"/>
    <col min="12565" max="12565" width="13.85546875" style="85" customWidth="1"/>
    <col min="12566" max="12566" width="0" style="85" hidden="1" customWidth="1"/>
    <col min="12567" max="12567" width="10.5703125" style="85" bestFit="1" customWidth="1"/>
    <col min="12568" max="12568" width="0" style="85" hidden="1" customWidth="1"/>
    <col min="12569" max="12569" width="13.85546875" style="85" bestFit="1" customWidth="1"/>
    <col min="12570" max="12570" width="0" style="85" hidden="1" customWidth="1"/>
    <col min="12571" max="12571" width="8.85546875" style="85" customWidth="1"/>
    <col min="12572" max="12572" width="0.140625" style="85" customWidth="1"/>
    <col min="12573" max="12573" width="8.5703125" style="85" customWidth="1"/>
    <col min="12574" max="12574" width="0" style="85" hidden="1" customWidth="1"/>
    <col min="12575" max="12575" width="11.5703125" style="85" bestFit="1" customWidth="1"/>
    <col min="12576" max="12576" width="0" style="85" hidden="1" customWidth="1"/>
    <col min="12577" max="12577" width="9.42578125" style="85" customWidth="1"/>
    <col min="12578" max="12578" width="11.5703125" style="85" bestFit="1" customWidth="1"/>
    <col min="12579" max="12579" width="10.5703125" style="85" bestFit="1" customWidth="1"/>
    <col min="12580" max="12580" width="9.140625" style="85"/>
    <col min="12581" max="12581" width="10.5703125" style="85" bestFit="1" customWidth="1"/>
    <col min="12582" max="12589" width="0" style="85" hidden="1" customWidth="1"/>
    <col min="12590" max="12800" width="9.140625" style="85"/>
    <col min="12801" max="12801" width="11.140625" style="85" customWidth="1"/>
    <col min="12802" max="12802" width="14.5703125" style="85" customWidth="1"/>
    <col min="12803" max="12803" width="20.85546875" style="85" customWidth="1"/>
    <col min="12804" max="12804" width="23.5703125" style="85" customWidth="1"/>
    <col min="12805" max="12805" width="11.85546875" style="85" customWidth="1"/>
    <col min="12806" max="12806" width="16.140625" style="85" bestFit="1" customWidth="1"/>
    <col min="12807" max="12807" width="0" style="85" hidden="1" customWidth="1"/>
    <col min="12808" max="12809" width="15.42578125" style="85" customWidth="1"/>
    <col min="12810" max="12810" width="15.5703125" style="85" bestFit="1" customWidth="1"/>
    <col min="12811" max="12811" width="0" style="85" hidden="1" customWidth="1"/>
    <col min="12812" max="12812" width="11.5703125" style="85" bestFit="1" customWidth="1"/>
    <col min="12813" max="12813" width="0" style="85" hidden="1" customWidth="1"/>
    <col min="12814" max="12814" width="14.5703125" style="85" customWidth="1"/>
    <col min="12815" max="12815" width="12.140625" style="85" customWidth="1"/>
    <col min="12816" max="12816" width="0" style="85" hidden="1" customWidth="1"/>
    <col min="12817" max="12817" width="12.42578125" style="85" customWidth="1"/>
    <col min="12818" max="12818" width="0" style="85" hidden="1" customWidth="1"/>
    <col min="12819" max="12819" width="11.42578125" style="85" customWidth="1"/>
    <col min="12820" max="12820" width="0" style="85" hidden="1" customWidth="1"/>
    <col min="12821" max="12821" width="13.85546875" style="85" customWidth="1"/>
    <col min="12822" max="12822" width="0" style="85" hidden="1" customWidth="1"/>
    <col min="12823" max="12823" width="10.5703125" style="85" bestFit="1" customWidth="1"/>
    <col min="12824" max="12824" width="0" style="85" hidden="1" customWidth="1"/>
    <col min="12825" max="12825" width="13.85546875" style="85" bestFit="1" customWidth="1"/>
    <col min="12826" max="12826" width="0" style="85" hidden="1" customWidth="1"/>
    <col min="12827" max="12827" width="8.85546875" style="85" customWidth="1"/>
    <col min="12828" max="12828" width="0.140625" style="85" customWidth="1"/>
    <col min="12829" max="12829" width="8.5703125" style="85" customWidth="1"/>
    <col min="12830" max="12830" width="0" style="85" hidden="1" customWidth="1"/>
    <col min="12831" max="12831" width="11.5703125" style="85" bestFit="1" customWidth="1"/>
    <col min="12832" max="12832" width="0" style="85" hidden="1" customWidth="1"/>
    <col min="12833" max="12833" width="9.42578125" style="85" customWidth="1"/>
    <col min="12834" max="12834" width="11.5703125" style="85" bestFit="1" customWidth="1"/>
    <col min="12835" max="12835" width="10.5703125" style="85" bestFit="1" customWidth="1"/>
    <col min="12836" max="12836" width="9.140625" style="85"/>
    <col min="12837" max="12837" width="10.5703125" style="85" bestFit="1" customWidth="1"/>
    <col min="12838" max="12845" width="0" style="85" hidden="1" customWidth="1"/>
    <col min="12846" max="13056" width="9.140625" style="85"/>
    <col min="13057" max="13057" width="11.140625" style="85" customWidth="1"/>
    <col min="13058" max="13058" width="14.5703125" style="85" customWidth="1"/>
    <col min="13059" max="13059" width="20.85546875" style="85" customWidth="1"/>
    <col min="13060" max="13060" width="23.5703125" style="85" customWidth="1"/>
    <col min="13061" max="13061" width="11.85546875" style="85" customWidth="1"/>
    <col min="13062" max="13062" width="16.140625" style="85" bestFit="1" customWidth="1"/>
    <col min="13063" max="13063" width="0" style="85" hidden="1" customWidth="1"/>
    <col min="13064" max="13065" width="15.42578125" style="85" customWidth="1"/>
    <col min="13066" max="13066" width="15.5703125" style="85" bestFit="1" customWidth="1"/>
    <col min="13067" max="13067" width="0" style="85" hidden="1" customWidth="1"/>
    <col min="13068" max="13068" width="11.5703125" style="85" bestFit="1" customWidth="1"/>
    <col min="13069" max="13069" width="0" style="85" hidden="1" customWidth="1"/>
    <col min="13070" max="13070" width="14.5703125" style="85" customWidth="1"/>
    <col min="13071" max="13071" width="12.140625" style="85" customWidth="1"/>
    <col min="13072" max="13072" width="0" style="85" hidden="1" customWidth="1"/>
    <col min="13073" max="13073" width="12.42578125" style="85" customWidth="1"/>
    <col min="13074" max="13074" width="0" style="85" hidden="1" customWidth="1"/>
    <col min="13075" max="13075" width="11.42578125" style="85" customWidth="1"/>
    <col min="13076" max="13076" width="0" style="85" hidden="1" customWidth="1"/>
    <col min="13077" max="13077" width="13.85546875" style="85" customWidth="1"/>
    <col min="13078" max="13078" width="0" style="85" hidden="1" customWidth="1"/>
    <col min="13079" max="13079" width="10.5703125" style="85" bestFit="1" customWidth="1"/>
    <col min="13080" max="13080" width="0" style="85" hidden="1" customWidth="1"/>
    <col min="13081" max="13081" width="13.85546875" style="85" bestFit="1" customWidth="1"/>
    <col min="13082" max="13082" width="0" style="85" hidden="1" customWidth="1"/>
    <col min="13083" max="13083" width="8.85546875" style="85" customWidth="1"/>
    <col min="13084" max="13084" width="0.140625" style="85" customWidth="1"/>
    <col min="13085" max="13085" width="8.5703125" style="85" customWidth="1"/>
    <col min="13086" max="13086" width="0" style="85" hidden="1" customWidth="1"/>
    <col min="13087" max="13087" width="11.5703125" style="85" bestFit="1" customWidth="1"/>
    <col min="13088" max="13088" width="0" style="85" hidden="1" customWidth="1"/>
    <col min="13089" max="13089" width="9.42578125" style="85" customWidth="1"/>
    <col min="13090" max="13090" width="11.5703125" style="85" bestFit="1" customWidth="1"/>
    <col min="13091" max="13091" width="10.5703125" style="85" bestFit="1" customWidth="1"/>
    <col min="13092" max="13092" width="9.140625" style="85"/>
    <col min="13093" max="13093" width="10.5703125" style="85" bestFit="1" customWidth="1"/>
    <col min="13094" max="13101" width="0" style="85" hidden="1" customWidth="1"/>
    <col min="13102" max="13312" width="9.140625" style="85"/>
    <col min="13313" max="13313" width="11.140625" style="85" customWidth="1"/>
    <col min="13314" max="13314" width="14.5703125" style="85" customWidth="1"/>
    <col min="13315" max="13315" width="20.85546875" style="85" customWidth="1"/>
    <col min="13316" max="13316" width="23.5703125" style="85" customWidth="1"/>
    <col min="13317" max="13317" width="11.85546875" style="85" customWidth="1"/>
    <col min="13318" max="13318" width="16.140625" style="85" bestFit="1" customWidth="1"/>
    <col min="13319" max="13319" width="0" style="85" hidden="1" customWidth="1"/>
    <col min="13320" max="13321" width="15.42578125" style="85" customWidth="1"/>
    <col min="13322" max="13322" width="15.5703125" style="85" bestFit="1" customWidth="1"/>
    <col min="13323" max="13323" width="0" style="85" hidden="1" customWidth="1"/>
    <col min="13324" max="13324" width="11.5703125" style="85" bestFit="1" customWidth="1"/>
    <col min="13325" max="13325" width="0" style="85" hidden="1" customWidth="1"/>
    <col min="13326" max="13326" width="14.5703125" style="85" customWidth="1"/>
    <col min="13327" max="13327" width="12.140625" style="85" customWidth="1"/>
    <col min="13328" max="13328" width="0" style="85" hidden="1" customWidth="1"/>
    <col min="13329" max="13329" width="12.42578125" style="85" customWidth="1"/>
    <col min="13330" max="13330" width="0" style="85" hidden="1" customWidth="1"/>
    <col min="13331" max="13331" width="11.42578125" style="85" customWidth="1"/>
    <col min="13332" max="13332" width="0" style="85" hidden="1" customWidth="1"/>
    <col min="13333" max="13333" width="13.85546875" style="85" customWidth="1"/>
    <col min="13334" max="13334" width="0" style="85" hidden="1" customWidth="1"/>
    <col min="13335" max="13335" width="10.5703125" style="85" bestFit="1" customWidth="1"/>
    <col min="13336" max="13336" width="0" style="85" hidden="1" customWidth="1"/>
    <col min="13337" max="13337" width="13.85546875" style="85" bestFit="1" customWidth="1"/>
    <col min="13338" max="13338" width="0" style="85" hidden="1" customWidth="1"/>
    <col min="13339" max="13339" width="8.85546875" style="85" customWidth="1"/>
    <col min="13340" max="13340" width="0.140625" style="85" customWidth="1"/>
    <col min="13341" max="13341" width="8.5703125" style="85" customWidth="1"/>
    <col min="13342" max="13342" width="0" style="85" hidden="1" customWidth="1"/>
    <col min="13343" max="13343" width="11.5703125" style="85" bestFit="1" customWidth="1"/>
    <col min="13344" max="13344" width="0" style="85" hidden="1" customWidth="1"/>
    <col min="13345" max="13345" width="9.42578125" style="85" customWidth="1"/>
    <col min="13346" max="13346" width="11.5703125" style="85" bestFit="1" customWidth="1"/>
    <col min="13347" max="13347" width="10.5703125" style="85" bestFit="1" customWidth="1"/>
    <col min="13348" max="13348" width="9.140625" style="85"/>
    <col min="13349" max="13349" width="10.5703125" style="85" bestFit="1" customWidth="1"/>
    <col min="13350" max="13357" width="0" style="85" hidden="1" customWidth="1"/>
    <col min="13358" max="13568" width="9.140625" style="85"/>
    <col min="13569" max="13569" width="11.140625" style="85" customWidth="1"/>
    <col min="13570" max="13570" width="14.5703125" style="85" customWidth="1"/>
    <col min="13571" max="13571" width="20.85546875" style="85" customWidth="1"/>
    <col min="13572" max="13572" width="23.5703125" style="85" customWidth="1"/>
    <col min="13573" max="13573" width="11.85546875" style="85" customWidth="1"/>
    <col min="13574" max="13574" width="16.140625" style="85" bestFit="1" customWidth="1"/>
    <col min="13575" max="13575" width="0" style="85" hidden="1" customWidth="1"/>
    <col min="13576" max="13577" width="15.42578125" style="85" customWidth="1"/>
    <col min="13578" max="13578" width="15.5703125" style="85" bestFit="1" customWidth="1"/>
    <col min="13579" max="13579" width="0" style="85" hidden="1" customWidth="1"/>
    <col min="13580" max="13580" width="11.5703125" style="85" bestFit="1" customWidth="1"/>
    <col min="13581" max="13581" width="0" style="85" hidden="1" customWidth="1"/>
    <col min="13582" max="13582" width="14.5703125" style="85" customWidth="1"/>
    <col min="13583" max="13583" width="12.140625" style="85" customWidth="1"/>
    <col min="13584" max="13584" width="0" style="85" hidden="1" customWidth="1"/>
    <col min="13585" max="13585" width="12.42578125" style="85" customWidth="1"/>
    <col min="13586" max="13586" width="0" style="85" hidden="1" customWidth="1"/>
    <col min="13587" max="13587" width="11.42578125" style="85" customWidth="1"/>
    <col min="13588" max="13588" width="0" style="85" hidden="1" customWidth="1"/>
    <col min="13589" max="13589" width="13.85546875" style="85" customWidth="1"/>
    <col min="13590" max="13590" width="0" style="85" hidden="1" customWidth="1"/>
    <col min="13591" max="13591" width="10.5703125" style="85" bestFit="1" customWidth="1"/>
    <col min="13592" max="13592" width="0" style="85" hidden="1" customWidth="1"/>
    <col min="13593" max="13593" width="13.85546875" style="85" bestFit="1" customWidth="1"/>
    <col min="13594" max="13594" width="0" style="85" hidden="1" customWidth="1"/>
    <col min="13595" max="13595" width="8.85546875" style="85" customWidth="1"/>
    <col min="13596" max="13596" width="0.140625" style="85" customWidth="1"/>
    <col min="13597" max="13597" width="8.5703125" style="85" customWidth="1"/>
    <col min="13598" max="13598" width="0" style="85" hidden="1" customWidth="1"/>
    <col min="13599" max="13599" width="11.5703125" style="85" bestFit="1" customWidth="1"/>
    <col min="13600" max="13600" width="0" style="85" hidden="1" customWidth="1"/>
    <col min="13601" max="13601" width="9.42578125" style="85" customWidth="1"/>
    <col min="13602" max="13602" width="11.5703125" style="85" bestFit="1" customWidth="1"/>
    <col min="13603" max="13603" width="10.5703125" style="85" bestFit="1" customWidth="1"/>
    <col min="13604" max="13604" width="9.140625" style="85"/>
    <col min="13605" max="13605" width="10.5703125" style="85" bestFit="1" customWidth="1"/>
    <col min="13606" max="13613" width="0" style="85" hidden="1" customWidth="1"/>
    <col min="13614" max="13824" width="9.140625" style="85"/>
    <col min="13825" max="13825" width="11.140625" style="85" customWidth="1"/>
    <col min="13826" max="13826" width="14.5703125" style="85" customWidth="1"/>
    <col min="13827" max="13827" width="20.85546875" style="85" customWidth="1"/>
    <col min="13828" max="13828" width="23.5703125" style="85" customWidth="1"/>
    <col min="13829" max="13829" width="11.85546875" style="85" customWidth="1"/>
    <col min="13830" max="13830" width="16.140625" style="85" bestFit="1" customWidth="1"/>
    <col min="13831" max="13831" width="0" style="85" hidden="1" customWidth="1"/>
    <col min="13832" max="13833" width="15.42578125" style="85" customWidth="1"/>
    <col min="13834" max="13834" width="15.5703125" style="85" bestFit="1" customWidth="1"/>
    <col min="13835" max="13835" width="0" style="85" hidden="1" customWidth="1"/>
    <col min="13836" max="13836" width="11.5703125" style="85" bestFit="1" customWidth="1"/>
    <col min="13837" max="13837" width="0" style="85" hidden="1" customWidth="1"/>
    <col min="13838" max="13838" width="14.5703125" style="85" customWidth="1"/>
    <col min="13839" max="13839" width="12.140625" style="85" customWidth="1"/>
    <col min="13840" max="13840" width="0" style="85" hidden="1" customWidth="1"/>
    <col min="13841" max="13841" width="12.42578125" style="85" customWidth="1"/>
    <col min="13842" max="13842" width="0" style="85" hidden="1" customWidth="1"/>
    <col min="13843" max="13843" width="11.42578125" style="85" customWidth="1"/>
    <col min="13844" max="13844" width="0" style="85" hidden="1" customWidth="1"/>
    <col min="13845" max="13845" width="13.85546875" style="85" customWidth="1"/>
    <col min="13846" max="13846" width="0" style="85" hidden="1" customWidth="1"/>
    <col min="13847" max="13847" width="10.5703125" style="85" bestFit="1" customWidth="1"/>
    <col min="13848" max="13848" width="0" style="85" hidden="1" customWidth="1"/>
    <col min="13849" max="13849" width="13.85546875" style="85" bestFit="1" customWidth="1"/>
    <col min="13850" max="13850" width="0" style="85" hidden="1" customWidth="1"/>
    <col min="13851" max="13851" width="8.85546875" style="85" customWidth="1"/>
    <col min="13852" max="13852" width="0.140625" style="85" customWidth="1"/>
    <col min="13853" max="13853" width="8.5703125" style="85" customWidth="1"/>
    <col min="13854" max="13854" width="0" style="85" hidden="1" customWidth="1"/>
    <col min="13855" max="13855" width="11.5703125" style="85" bestFit="1" customWidth="1"/>
    <col min="13856" max="13856" width="0" style="85" hidden="1" customWidth="1"/>
    <col min="13857" max="13857" width="9.42578125" style="85" customWidth="1"/>
    <col min="13858" max="13858" width="11.5703125" style="85" bestFit="1" customWidth="1"/>
    <col min="13859" max="13859" width="10.5703125" style="85" bestFit="1" customWidth="1"/>
    <col min="13860" max="13860" width="9.140625" style="85"/>
    <col min="13861" max="13861" width="10.5703125" style="85" bestFit="1" customWidth="1"/>
    <col min="13862" max="13869" width="0" style="85" hidden="1" customWidth="1"/>
    <col min="13870" max="14080" width="9.140625" style="85"/>
    <col min="14081" max="14081" width="11.140625" style="85" customWidth="1"/>
    <col min="14082" max="14082" width="14.5703125" style="85" customWidth="1"/>
    <col min="14083" max="14083" width="20.85546875" style="85" customWidth="1"/>
    <col min="14084" max="14084" width="23.5703125" style="85" customWidth="1"/>
    <col min="14085" max="14085" width="11.85546875" style="85" customWidth="1"/>
    <col min="14086" max="14086" width="16.140625" style="85" bestFit="1" customWidth="1"/>
    <col min="14087" max="14087" width="0" style="85" hidden="1" customWidth="1"/>
    <col min="14088" max="14089" width="15.42578125" style="85" customWidth="1"/>
    <col min="14090" max="14090" width="15.5703125" style="85" bestFit="1" customWidth="1"/>
    <col min="14091" max="14091" width="0" style="85" hidden="1" customWidth="1"/>
    <col min="14092" max="14092" width="11.5703125" style="85" bestFit="1" customWidth="1"/>
    <col min="14093" max="14093" width="0" style="85" hidden="1" customWidth="1"/>
    <col min="14094" max="14094" width="14.5703125" style="85" customWidth="1"/>
    <col min="14095" max="14095" width="12.140625" style="85" customWidth="1"/>
    <col min="14096" max="14096" width="0" style="85" hidden="1" customWidth="1"/>
    <col min="14097" max="14097" width="12.42578125" style="85" customWidth="1"/>
    <col min="14098" max="14098" width="0" style="85" hidden="1" customWidth="1"/>
    <col min="14099" max="14099" width="11.42578125" style="85" customWidth="1"/>
    <col min="14100" max="14100" width="0" style="85" hidden="1" customWidth="1"/>
    <col min="14101" max="14101" width="13.85546875" style="85" customWidth="1"/>
    <col min="14102" max="14102" width="0" style="85" hidden="1" customWidth="1"/>
    <col min="14103" max="14103" width="10.5703125" style="85" bestFit="1" customWidth="1"/>
    <col min="14104" max="14104" width="0" style="85" hidden="1" customWidth="1"/>
    <col min="14105" max="14105" width="13.85546875" style="85" bestFit="1" customWidth="1"/>
    <col min="14106" max="14106" width="0" style="85" hidden="1" customWidth="1"/>
    <col min="14107" max="14107" width="8.85546875" style="85" customWidth="1"/>
    <col min="14108" max="14108" width="0.140625" style="85" customWidth="1"/>
    <col min="14109" max="14109" width="8.5703125" style="85" customWidth="1"/>
    <col min="14110" max="14110" width="0" style="85" hidden="1" customWidth="1"/>
    <col min="14111" max="14111" width="11.5703125" style="85" bestFit="1" customWidth="1"/>
    <col min="14112" max="14112" width="0" style="85" hidden="1" customWidth="1"/>
    <col min="14113" max="14113" width="9.42578125" style="85" customWidth="1"/>
    <col min="14114" max="14114" width="11.5703125" style="85" bestFit="1" customWidth="1"/>
    <col min="14115" max="14115" width="10.5703125" style="85" bestFit="1" customWidth="1"/>
    <col min="14116" max="14116" width="9.140625" style="85"/>
    <col min="14117" max="14117" width="10.5703125" style="85" bestFit="1" customWidth="1"/>
    <col min="14118" max="14125" width="0" style="85" hidden="1" customWidth="1"/>
    <col min="14126" max="14336" width="9.140625" style="85"/>
    <col min="14337" max="14337" width="11.140625" style="85" customWidth="1"/>
    <col min="14338" max="14338" width="14.5703125" style="85" customWidth="1"/>
    <col min="14339" max="14339" width="20.85546875" style="85" customWidth="1"/>
    <col min="14340" max="14340" width="23.5703125" style="85" customWidth="1"/>
    <col min="14341" max="14341" width="11.85546875" style="85" customWidth="1"/>
    <col min="14342" max="14342" width="16.140625" style="85" bestFit="1" customWidth="1"/>
    <col min="14343" max="14343" width="0" style="85" hidden="1" customWidth="1"/>
    <col min="14344" max="14345" width="15.42578125" style="85" customWidth="1"/>
    <col min="14346" max="14346" width="15.5703125" style="85" bestFit="1" customWidth="1"/>
    <col min="14347" max="14347" width="0" style="85" hidden="1" customWidth="1"/>
    <col min="14348" max="14348" width="11.5703125" style="85" bestFit="1" customWidth="1"/>
    <col min="14349" max="14349" width="0" style="85" hidden="1" customWidth="1"/>
    <col min="14350" max="14350" width="14.5703125" style="85" customWidth="1"/>
    <col min="14351" max="14351" width="12.140625" style="85" customWidth="1"/>
    <col min="14352" max="14352" width="0" style="85" hidden="1" customWidth="1"/>
    <col min="14353" max="14353" width="12.42578125" style="85" customWidth="1"/>
    <col min="14354" max="14354" width="0" style="85" hidden="1" customWidth="1"/>
    <col min="14355" max="14355" width="11.42578125" style="85" customWidth="1"/>
    <col min="14356" max="14356" width="0" style="85" hidden="1" customWidth="1"/>
    <col min="14357" max="14357" width="13.85546875" style="85" customWidth="1"/>
    <col min="14358" max="14358" width="0" style="85" hidden="1" customWidth="1"/>
    <col min="14359" max="14359" width="10.5703125" style="85" bestFit="1" customWidth="1"/>
    <col min="14360" max="14360" width="0" style="85" hidden="1" customWidth="1"/>
    <col min="14361" max="14361" width="13.85546875" style="85" bestFit="1" customWidth="1"/>
    <col min="14362" max="14362" width="0" style="85" hidden="1" customWidth="1"/>
    <col min="14363" max="14363" width="8.85546875" style="85" customWidth="1"/>
    <col min="14364" max="14364" width="0.140625" style="85" customWidth="1"/>
    <col min="14365" max="14365" width="8.5703125" style="85" customWidth="1"/>
    <col min="14366" max="14366" width="0" style="85" hidden="1" customWidth="1"/>
    <col min="14367" max="14367" width="11.5703125" style="85" bestFit="1" customWidth="1"/>
    <col min="14368" max="14368" width="0" style="85" hidden="1" customWidth="1"/>
    <col min="14369" max="14369" width="9.42578125" style="85" customWidth="1"/>
    <col min="14370" max="14370" width="11.5703125" style="85" bestFit="1" customWidth="1"/>
    <col min="14371" max="14371" width="10.5703125" style="85" bestFit="1" customWidth="1"/>
    <col min="14372" max="14372" width="9.140625" style="85"/>
    <col min="14373" max="14373" width="10.5703125" style="85" bestFit="1" customWidth="1"/>
    <col min="14374" max="14381" width="0" style="85" hidden="1" customWidth="1"/>
    <col min="14382" max="14592" width="9.140625" style="85"/>
    <col min="14593" max="14593" width="11.140625" style="85" customWidth="1"/>
    <col min="14594" max="14594" width="14.5703125" style="85" customWidth="1"/>
    <col min="14595" max="14595" width="20.85546875" style="85" customWidth="1"/>
    <col min="14596" max="14596" width="23.5703125" style="85" customWidth="1"/>
    <col min="14597" max="14597" width="11.85546875" style="85" customWidth="1"/>
    <col min="14598" max="14598" width="16.140625" style="85" bestFit="1" customWidth="1"/>
    <col min="14599" max="14599" width="0" style="85" hidden="1" customWidth="1"/>
    <col min="14600" max="14601" width="15.42578125" style="85" customWidth="1"/>
    <col min="14602" max="14602" width="15.5703125" style="85" bestFit="1" customWidth="1"/>
    <col min="14603" max="14603" width="0" style="85" hidden="1" customWidth="1"/>
    <col min="14604" max="14604" width="11.5703125" style="85" bestFit="1" customWidth="1"/>
    <col min="14605" max="14605" width="0" style="85" hidden="1" customWidth="1"/>
    <col min="14606" max="14606" width="14.5703125" style="85" customWidth="1"/>
    <col min="14607" max="14607" width="12.140625" style="85" customWidth="1"/>
    <col min="14608" max="14608" width="0" style="85" hidden="1" customWidth="1"/>
    <col min="14609" max="14609" width="12.42578125" style="85" customWidth="1"/>
    <col min="14610" max="14610" width="0" style="85" hidden="1" customWidth="1"/>
    <col min="14611" max="14611" width="11.42578125" style="85" customWidth="1"/>
    <col min="14612" max="14612" width="0" style="85" hidden="1" customWidth="1"/>
    <col min="14613" max="14613" width="13.85546875" style="85" customWidth="1"/>
    <col min="14614" max="14614" width="0" style="85" hidden="1" customWidth="1"/>
    <col min="14615" max="14615" width="10.5703125" style="85" bestFit="1" customWidth="1"/>
    <col min="14616" max="14616" width="0" style="85" hidden="1" customWidth="1"/>
    <col min="14617" max="14617" width="13.85546875" style="85" bestFit="1" customWidth="1"/>
    <col min="14618" max="14618" width="0" style="85" hidden="1" customWidth="1"/>
    <col min="14619" max="14619" width="8.85546875" style="85" customWidth="1"/>
    <col min="14620" max="14620" width="0.140625" style="85" customWidth="1"/>
    <col min="14621" max="14621" width="8.5703125" style="85" customWidth="1"/>
    <col min="14622" max="14622" width="0" style="85" hidden="1" customWidth="1"/>
    <col min="14623" max="14623" width="11.5703125" style="85" bestFit="1" customWidth="1"/>
    <col min="14624" max="14624" width="0" style="85" hidden="1" customWidth="1"/>
    <col min="14625" max="14625" width="9.42578125" style="85" customWidth="1"/>
    <col min="14626" max="14626" width="11.5703125" style="85" bestFit="1" customWidth="1"/>
    <col min="14627" max="14627" width="10.5703125" style="85" bestFit="1" customWidth="1"/>
    <col min="14628" max="14628" width="9.140625" style="85"/>
    <col min="14629" max="14629" width="10.5703125" style="85" bestFit="1" customWidth="1"/>
    <col min="14630" max="14637" width="0" style="85" hidden="1" customWidth="1"/>
    <col min="14638" max="14848" width="9.140625" style="85"/>
    <col min="14849" max="14849" width="11.140625" style="85" customWidth="1"/>
    <col min="14850" max="14850" width="14.5703125" style="85" customWidth="1"/>
    <col min="14851" max="14851" width="20.85546875" style="85" customWidth="1"/>
    <col min="14852" max="14852" width="23.5703125" style="85" customWidth="1"/>
    <col min="14853" max="14853" width="11.85546875" style="85" customWidth="1"/>
    <col min="14854" max="14854" width="16.140625" style="85" bestFit="1" customWidth="1"/>
    <col min="14855" max="14855" width="0" style="85" hidden="1" customWidth="1"/>
    <col min="14856" max="14857" width="15.42578125" style="85" customWidth="1"/>
    <col min="14858" max="14858" width="15.5703125" style="85" bestFit="1" customWidth="1"/>
    <col min="14859" max="14859" width="0" style="85" hidden="1" customWidth="1"/>
    <col min="14860" max="14860" width="11.5703125" style="85" bestFit="1" customWidth="1"/>
    <col min="14861" max="14861" width="0" style="85" hidden="1" customWidth="1"/>
    <col min="14862" max="14862" width="14.5703125" style="85" customWidth="1"/>
    <col min="14863" max="14863" width="12.140625" style="85" customWidth="1"/>
    <col min="14864" max="14864" width="0" style="85" hidden="1" customWidth="1"/>
    <col min="14865" max="14865" width="12.42578125" style="85" customWidth="1"/>
    <col min="14866" max="14866" width="0" style="85" hidden="1" customWidth="1"/>
    <col min="14867" max="14867" width="11.42578125" style="85" customWidth="1"/>
    <col min="14868" max="14868" width="0" style="85" hidden="1" customWidth="1"/>
    <col min="14869" max="14869" width="13.85546875" style="85" customWidth="1"/>
    <col min="14870" max="14870" width="0" style="85" hidden="1" customWidth="1"/>
    <col min="14871" max="14871" width="10.5703125" style="85" bestFit="1" customWidth="1"/>
    <col min="14872" max="14872" width="0" style="85" hidden="1" customWidth="1"/>
    <col min="14873" max="14873" width="13.85546875" style="85" bestFit="1" customWidth="1"/>
    <col min="14874" max="14874" width="0" style="85" hidden="1" customWidth="1"/>
    <col min="14875" max="14875" width="8.85546875" style="85" customWidth="1"/>
    <col min="14876" max="14876" width="0.140625" style="85" customWidth="1"/>
    <col min="14877" max="14877" width="8.5703125" style="85" customWidth="1"/>
    <col min="14878" max="14878" width="0" style="85" hidden="1" customWidth="1"/>
    <col min="14879" max="14879" width="11.5703125" style="85" bestFit="1" customWidth="1"/>
    <col min="14880" max="14880" width="0" style="85" hidden="1" customWidth="1"/>
    <col min="14881" max="14881" width="9.42578125" style="85" customWidth="1"/>
    <col min="14882" max="14882" width="11.5703125" style="85" bestFit="1" customWidth="1"/>
    <col min="14883" max="14883" width="10.5703125" style="85" bestFit="1" customWidth="1"/>
    <col min="14884" max="14884" width="9.140625" style="85"/>
    <col min="14885" max="14885" width="10.5703125" style="85" bestFit="1" customWidth="1"/>
    <col min="14886" max="14893" width="0" style="85" hidden="1" customWidth="1"/>
    <col min="14894" max="15104" width="9.140625" style="85"/>
    <col min="15105" max="15105" width="11.140625" style="85" customWidth="1"/>
    <col min="15106" max="15106" width="14.5703125" style="85" customWidth="1"/>
    <col min="15107" max="15107" width="20.85546875" style="85" customWidth="1"/>
    <col min="15108" max="15108" width="23.5703125" style="85" customWidth="1"/>
    <col min="15109" max="15109" width="11.85546875" style="85" customWidth="1"/>
    <col min="15110" max="15110" width="16.140625" style="85" bestFit="1" customWidth="1"/>
    <col min="15111" max="15111" width="0" style="85" hidden="1" customWidth="1"/>
    <col min="15112" max="15113" width="15.42578125" style="85" customWidth="1"/>
    <col min="15114" max="15114" width="15.5703125" style="85" bestFit="1" customWidth="1"/>
    <col min="15115" max="15115" width="0" style="85" hidden="1" customWidth="1"/>
    <col min="15116" max="15116" width="11.5703125" style="85" bestFit="1" customWidth="1"/>
    <col min="15117" max="15117" width="0" style="85" hidden="1" customWidth="1"/>
    <col min="15118" max="15118" width="14.5703125" style="85" customWidth="1"/>
    <col min="15119" max="15119" width="12.140625" style="85" customWidth="1"/>
    <col min="15120" max="15120" width="0" style="85" hidden="1" customWidth="1"/>
    <col min="15121" max="15121" width="12.42578125" style="85" customWidth="1"/>
    <col min="15122" max="15122" width="0" style="85" hidden="1" customWidth="1"/>
    <col min="15123" max="15123" width="11.42578125" style="85" customWidth="1"/>
    <col min="15124" max="15124" width="0" style="85" hidden="1" customWidth="1"/>
    <col min="15125" max="15125" width="13.85546875" style="85" customWidth="1"/>
    <col min="15126" max="15126" width="0" style="85" hidden="1" customWidth="1"/>
    <col min="15127" max="15127" width="10.5703125" style="85" bestFit="1" customWidth="1"/>
    <col min="15128" max="15128" width="0" style="85" hidden="1" customWidth="1"/>
    <col min="15129" max="15129" width="13.85546875" style="85" bestFit="1" customWidth="1"/>
    <col min="15130" max="15130" width="0" style="85" hidden="1" customWidth="1"/>
    <col min="15131" max="15131" width="8.85546875" style="85" customWidth="1"/>
    <col min="15132" max="15132" width="0.140625" style="85" customWidth="1"/>
    <col min="15133" max="15133" width="8.5703125" style="85" customWidth="1"/>
    <col min="15134" max="15134" width="0" style="85" hidden="1" customWidth="1"/>
    <col min="15135" max="15135" width="11.5703125" style="85" bestFit="1" customWidth="1"/>
    <col min="15136" max="15136" width="0" style="85" hidden="1" customWidth="1"/>
    <col min="15137" max="15137" width="9.42578125" style="85" customWidth="1"/>
    <col min="15138" max="15138" width="11.5703125" style="85" bestFit="1" customWidth="1"/>
    <col min="15139" max="15139" width="10.5703125" style="85" bestFit="1" customWidth="1"/>
    <col min="15140" max="15140" width="9.140625" style="85"/>
    <col min="15141" max="15141" width="10.5703125" style="85" bestFit="1" customWidth="1"/>
    <col min="15142" max="15149" width="0" style="85" hidden="1" customWidth="1"/>
    <col min="15150" max="15360" width="9.140625" style="85"/>
    <col min="15361" max="15361" width="11.140625" style="85" customWidth="1"/>
    <col min="15362" max="15362" width="14.5703125" style="85" customWidth="1"/>
    <col min="15363" max="15363" width="20.85546875" style="85" customWidth="1"/>
    <col min="15364" max="15364" width="23.5703125" style="85" customWidth="1"/>
    <col min="15365" max="15365" width="11.85546875" style="85" customWidth="1"/>
    <col min="15366" max="15366" width="16.140625" style="85" bestFit="1" customWidth="1"/>
    <col min="15367" max="15367" width="0" style="85" hidden="1" customWidth="1"/>
    <col min="15368" max="15369" width="15.42578125" style="85" customWidth="1"/>
    <col min="15370" max="15370" width="15.5703125" style="85" bestFit="1" customWidth="1"/>
    <col min="15371" max="15371" width="0" style="85" hidden="1" customWidth="1"/>
    <col min="15372" max="15372" width="11.5703125" style="85" bestFit="1" customWidth="1"/>
    <col min="15373" max="15373" width="0" style="85" hidden="1" customWidth="1"/>
    <col min="15374" max="15374" width="14.5703125" style="85" customWidth="1"/>
    <col min="15375" max="15375" width="12.140625" style="85" customWidth="1"/>
    <col min="15376" max="15376" width="0" style="85" hidden="1" customWidth="1"/>
    <col min="15377" max="15377" width="12.42578125" style="85" customWidth="1"/>
    <col min="15378" max="15378" width="0" style="85" hidden="1" customWidth="1"/>
    <col min="15379" max="15379" width="11.42578125" style="85" customWidth="1"/>
    <col min="15380" max="15380" width="0" style="85" hidden="1" customWidth="1"/>
    <col min="15381" max="15381" width="13.85546875" style="85" customWidth="1"/>
    <col min="15382" max="15382" width="0" style="85" hidden="1" customWidth="1"/>
    <col min="15383" max="15383" width="10.5703125" style="85" bestFit="1" customWidth="1"/>
    <col min="15384" max="15384" width="0" style="85" hidden="1" customWidth="1"/>
    <col min="15385" max="15385" width="13.85546875" style="85" bestFit="1" customWidth="1"/>
    <col min="15386" max="15386" width="0" style="85" hidden="1" customWidth="1"/>
    <col min="15387" max="15387" width="8.85546875" style="85" customWidth="1"/>
    <col min="15388" max="15388" width="0.140625" style="85" customWidth="1"/>
    <col min="15389" max="15389" width="8.5703125" style="85" customWidth="1"/>
    <col min="15390" max="15390" width="0" style="85" hidden="1" customWidth="1"/>
    <col min="15391" max="15391" width="11.5703125" style="85" bestFit="1" customWidth="1"/>
    <col min="15392" max="15392" width="0" style="85" hidden="1" customWidth="1"/>
    <col min="15393" max="15393" width="9.42578125" style="85" customWidth="1"/>
    <col min="15394" max="15394" width="11.5703125" style="85" bestFit="1" customWidth="1"/>
    <col min="15395" max="15395" width="10.5703125" style="85" bestFit="1" customWidth="1"/>
    <col min="15396" max="15396" width="9.140625" style="85"/>
    <col min="15397" max="15397" width="10.5703125" style="85" bestFit="1" customWidth="1"/>
    <col min="15398" max="15405" width="0" style="85" hidden="1" customWidth="1"/>
    <col min="15406" max="15616" width="9.140625" style="85"/>
    <col min="15617" max="15617" width="11.140625" style="85" customWidth="1"/>
    <col min="15618" max="15618" width="14.5703125" style="85" customWidth="1"/>
    <col min="15619" max="15619" width="20.85546875" style="85" customWidth="1"/>
    <col min="15620" max="15620" width="23.5703125" style="85" customWidth="1"/>
    <col min="15621" max="15621" width="11.85546875" style="85" customWidth="1"/>
    <col min="15622" max="15622" width="16.140625" style="85" bestFit="1" customWidth="1"/>
    <col min="15623" max="15623" width="0" style="85" hidden="1" customWidth="1"/>
    <col min="15624" max="15625" width="15.42578125" style="85" customWidth="1"/>
    <col min="15626" max="15626" width="15.5703125" style="85" bestFit="1" customWidth="1"/>
    <col min="15627" max="15627" width="0" style="85" hidden="1" customWidth="1"/>
    <col min="15628" max="15628" width="11.5703125" style="85" bestFit="1" customWidth="1"/>
    <col min="15629" max="15629" width="0" style="85" hidden="1" customWidth="1"/>
    <col min="15630" max="15630" width="14.5703125" style="85" customWidth="1"/>
    <col min="15631" max="15631" width="12.140625" style="85" customWidth="1"/>
    <col min="15632" max="15632" width="0" style="85" hidden="1" customWidth="1"/>
    <col min="15633" max="15633" width="12.42578125" style="85" customWidth="1"/>
    <col min="15634" max="15634" width="0" style="85" hidden="1" customWidth="1"/>
    <col min="15635" max="15635" width="11.42578125" style="85" customWidth="1"/>
    <col min="15636" max="15636" width="0" style="85" hidden="1" customWidth="1"/>
    <col min="15637" max="15637" width="13.85546875" style="85" customWidth="1"/>
    <col min="15638" max="15638" width="0" style="85" hidden="1" customWidth="1"/>
    <col min="15639" max="15639" width="10.5703125" style="85" bestFit="1" customWidth="1"/>
    <col min="15640" max="15640" width="0" style="85" hidden="1" customWidth="1"/>
    <col min="15641" max="15641" width="13.85546875" style="85" bestFit="1" customWidth="1"/>
    <col min="15642" max="15642" width="0" style="85" hidden="1" customWidth="1"/>
    <col min="15643" max="15643" width="8.85546875" style="85" customWidth="1"/>
    <col min="15644" max="15644" width="0.140625" style="85" customWidth="1"/>
    <col min="15645" max="15645" width="8.5703125" style="85" customWidth="1"/>
    <col min="15646" max="15646" width="0" style="85" hidden="1" customWidth="1"/>
    <col min="15647" max="15647" width="11.5703125" style="85" bestFit="1" customWidth="1"/>
    <col min="15648" max="15648" width="0" style="85" hidden="1" customWidth="1"/>
    <col min="15649" max="15649" width="9.42578125" style="85" customWidth="1"/>
    <col min="15650" max="15650" width="11.5703125" style="85" bestFit="1" customWidth="1"/>
    <col min="15651" max="15651" width="10.5703125" style="85" bestFit="1" customWidth="1"/>
    <col min="15652" max="15652" width="9.140625" style="85"/>
    <col min="15653" max="15653" width="10.5703125" style="85" bestFit="1" customWidth="1"/>
    <col min="15654" max="15661" width="0" style="85" hidden="1" customWidth="1"/>
    <col min="15662" max="15872" width="9.140625" style="85"/>
    <col min="15873" max="15873" width="11.140625" style="85" customWidth="1"/>
    <col min="15874" max="15874" width="14.5703125" style="85" customWidth="1"/>
    <col min="15875" max="15875" width="20.85546875" style="85" customWidth="1"/>
    <col min="15876" max="15876" width="23.5703125" style="85" customWidth="1"/>
    <col min="15877" max="15877" width="11.85546875" style="85" customWidth="1"/>
    <col min="15878" max="15878" width="16.140625" style="85" bestFit="1" customWidth="1"/>
    <col min="15879" max="15879" width="0" style="85" hidden="1" customWidth="1"/>
    <col min="15880" max="15881" width="15.42578125" style="85" customWidth="1"/>
    <col min="15882" max="15882" width="15.5703125" style="85" bestFit="1" customWidth="1"/>
    <col min="15883" max="15883" width="0" style="85" hidden="1" customWidth="1"/>
    <col min="15884" max="15884" width="11.5703125" style="85" bestFit="1" customWidth="1"/>
    <col min="15885" max="15885" width="0" style="85" hidden="1" customWidth="1"/>
    <col min="15886" max="15886" width="14.5703125" style="85" customWidth="1"/>
    <col min="15887" max="15887" width="12.140625" style="85" customWidth="1"/>
    <col min="15888" max="15888" width="0" style="85" hidden="1" customWidth="1"/>
    <col min="15889" max="15889" width="12.42578125" style="85" customWidth="1"/>
    <col min="15890" max="15890" width="0" style="85" hidden="1" customWidth="1"/>
    <col min="15891" max="15891" width="11.42578125" style="85" customWidth="1"/>
    <col min="15892" max="15892" width="0" style="85" hidden="1" customWidth="1"/>
    <col min="15893" max="15893" width="13.85546875" style="85" customWidth="1"/>
    <col min="15894" max="15894" width="0" style="85" hidden="1" customWidth="1"/>
    <col min="15895" max="15895" width="10.5703125" style="85" bestFit="1" customWidth="1"/>
    <col min="15896" max="15896" width="0" style="85" hidden="1" customWidth="1"/>
    <col min="15897" max="15897" width="13.85546875" style="85" bestFit="1" customWidth="1"/>
    <col min="15898" max="15898" width="0" style="85" hidden="1" customWidth="1"/>
    <col min="15899" max="15899" width="8.85546875" style="85" customWidth="1"/>
    <col min="15900" max="15900" width="0.140625" style="85" customWidth="1"/>
    <col min="15901" max="15901" width="8.5703125" style="85" customWidth="1"/>
    <col min="15902" max="15902" width="0" style="85" hidden="1" customWidth="1"/>
    <col min="15903" max="15903" width="11.5703125" style="85" bestFit="1" customWidth="1"/>
    <col min="15904" max="15904" width="0" style="85" hidden="1" customWidth="1"/>
    <col min="15905" max="15905" width="9.42578125" style="85" customWidth="1"/>
    <col min="15906" max="15906" width="11.5703125" style="85" bestFit="1" customWidth="1"/>
    <col min="15907" max="15907" width="10.5703125" style="85" bestFit="1" customWidth="1"/>
    <col min="15908" max="15908" width="9.140625" style="85"/>
    <col min="15909" max="15909" width="10.5703125" style="85" bestFit="1" customWidth="1"/>
    <col min="15910" max="15917" width="0" style="85" hidden="1" customWidth="1"/>
    <col min="15918" max="16128" width="9.140625" style="85"/>
    <col min="16129" max="16129" width="11.140625" style="85" customWidth="1"/>
    <col min="16130" max="16130" width="14.5703125" style="85" customWidth="1"/>
    <col min="16131" max="16131" width="20.85546875" style="85" customWidth="1"/>
    <col min="16132" max="16132" width="23.5703125" style="85" customWidth="1"/>
    <col min="16133" max="16133" width="11.85546875" style="85" customWidth="1"/>
    <col min="16134" max="16134" width="16.140625" style="85" bestFit="1" customWidth="1"/>
    <col min="16135" max="16135" width="0" style="85" hidden="1" customWidth="1"/>
    <col min="16136" max="16137" width="15.42578125" style="85" customWidth="1"/>
    <col min="16138" max="16138" width="15.5703125" style="85" bestFit="1" customWidth="1"/>
    <col min="16139" max="16139" width="0" style="85" hidden="1" customWidth="1"/>
    <col min="16140" max="16140" width="11.5703125" style="85" bestFit="1" customWidth="1"/>
    <col min="16141" max="16141" width="0" style="85" hidden="1" customWidth="1"/>
    <col min="16142" max="16142" width="14.5703125" style="85" customWidth="1"/>
    <col min="16143" max="16143" width="12.140625" style="85" customWidth="1"/>
    <col min="16144" max="16144" width="0" style="85" hidden="1" customWidth="1"/>
    <col min="16145" max="16145" width="12.42578125" style="85" customWidth="1"/>
    <col min="16146" max="16146" width="0" style="85" hidden="1" customWidth="1"/>
    <col min="16147" max="16147" width="11.42578125" style="85" customWidth="1"/>
    <col min="16148" max="16148" width="0" style="85" hidden="1" customWidth="1"/>
    <col min="16149" max="16149" width="13.85546875" style="85" customWidth="1"/>
    <col min="16150" max="16150" width="0" style="85" hidden="1" customWidth="1"/>
    <col min="16151" max="16151" width="10.5703125" style="85" bestFit="1" customWidth="1"/>
    <col min="16152" max="16152" width="0" style="85" hidden="1" customWidth="1"/>
    <col min="16153" max="16153" width="13.85546875" style="85" bestFit="1" customWidth="1"/>
    <col min="16154" max="16154" width="0" style="85" hidden="1" customWidth="1"/>
    <col min="16155" max="16155" width="8.85546875" style="85" customWidth="1"/>
    <col min="16156" max="16156" width="0.140625" style="85" customWidth="1"/>
    <col min="16157" max="16157" width="8.5703125" style="85" customWidth="1"/>
    <col min="16158" max="16158" width="0" style="85" hidden="1" customWidth="1"/>
    <col min="16159" max="16159" width="11.5703125" style="85" bestFit="1" customWidth="1"/>
    <col min="16160" max="16160" width="0" style="85" hidden="1" customWidth="1"/>
    <col min="16161" max="16161" width="9.42578125" style="85" customWidth="1"/>
    <col min="16162" max="16162" width="11.5703125" style="85" bestFit="1" customWidth="1"/>
    <col min="16163" max="16163" width="10.5703125" style="85" bestFit="1" customWidth="1"/>
    <col min="16164" max="16164" width="9.140625" style="85"/>
    <col min="16165" max="16165" width="10.5703125" style="85" bestFit="1" customWidth="1"/>
    <col min="16166" max="16173" width="0" style="85" hidden="1" customWidth="1"/>
    <col min="16174" max="16384" width="9.140625" style="85"/>
  </cols>
  <sheetData>
    <row r="1" spans="1:45" x14ac:dyDescent="0.2">
      <c r="F1" s="87"/>
      <c r="G1" s="87"/>
      <c r="H1" s="87"/>
      <c r="I1" s="87"/>
      <c r="J1" s="87"/>
      <c r="Q1" s="89" t="s">
        <v>476</v>
      </c>
      <c r="S1" s="90"/>
    </row>
    <row r="2" spans="1:45" ht="15" customHeight="1" x14ac:dyDescent="0.2">
      <c r="C2" s="92"/>
      <c r="D2" s="92"/>
      <c r="E2" s="92"/>
      <c r="F2" s="87"/>
      <c r="G2" s="87"/>
      <c r="H2" s="87"/>
      <c r="I2" s="87"/>
      <c r="J2" s="87"/>
      <c r="N2" s="93" t="s">
        <v>477</v>
      </c>
      <c r="O2" s="89" t="s">
        <v>478</v>
      </c>
      <c r="P2" s="94"/>
      <c r="Q2" s="89" t="s">
        <v>479</v>
      </c>
      <c r="S2" s="89" t="s">
        <v>480</v>
      </c>
      <c r="T2" s="94"/>
      <c r="AA2" s="93" t="s">
        <v>481</v>
      </c>
      <c r="AB2" s="95"/>
      <c r="AC2" s="87"/>
      <c r="AE2" s="87"/>
    </row>
    <row r="3" spans="1:45" s="96" customFormat="1" ht="15" customHeight="1" x14ac:dyDescent="0.2">
      <c r="B3" s="96" t="s">
        <v>482</v>
      </c>
      <c r="D3" s="97" t="s">
        <v>869</v>
      </c>
      <c r="E3" s="97"/>
      <c r="F3" s="97" t="s">
        <v>483</v>
      </c>
      <c r="G3" s="97"/>
      <c r="H3" s="93" t="s">
        <v>484</v>
      </c>
      <c r="I3" s="97" t="s">
        <v>485</v>
      </c>
      <c r="J3" s="93" t="s">
        <v>486</v>
      </c>
      <c r="K3" s="95"/>
      <c r="L3" s="93" t="s">
        <v>487</v>
      </c>
      <c r="M3" s="95"/>
      <c r="N3" s="93" t="s">
        <v>488</v>
      </c>
      <c r="O3" s="93" t="s">
        <v>489</v>
      </c>
      <c r="P3" s="95"/>
      <c r="Q3" s="93" t="s">
        <v>489</v>
      </c>
      <c r="R3" s="95"/>
      <c r="S3" s="93" t="s">
        <v>490</v>
      </c>
      <c r="T3" s="95"/>
      <c r="U3" s="93"/>
      <c r="V3" s="98"/>
      <c r="W3" s="93" t="s">
        <v>430</v>
      </c>
      <c r="X3" s="95"/>
      <c r="Y3" s="93"/>
      <c r="Z3" s="95"/>
      <c r="AA3" s="93" t="s">
        <v>491</v>
      </c>
      <c r="AB3" s="95"/>
      <c r="AC3" s="93"/>
      <c r="AD3" s="95"/>
      <c r="AE3" s="93" t="s">
        <v>492</v>
      </c>
      <c r="AF3" s="85"/>
      <c r="AG3" s="85"/>
      <c r="AH3" s="85" t="s">
        <v>493</v>
      </c>
    </row>
    <row r="4" spans="1:45" s="96" customFormat="1" ht="15" customHeight="1" x14ac:dyDescent="0.2">
      <c r="A4" s="99" t="s">
        <v>1</v>
      </c>
      <c r="B4" s="96" t="s">
        <v>494</v>
      </c>
      <c r="D4" s="97" t="s">
        <v>494</v>
      </c>
      <c r="E4" s="97" t="s">
        <v>2</v>
      </c>
      <c r="F4" s="97" t="s">
        <v>494</v>
      </c>
      <c r="G4" s="97"/>
      <c r="H4" s="93" t="s">
        <v>495</v>
      </c>
      <c r="I4" s="97" t="s">
        <v>496</v>
      </c>
      <c r="J4" s="93" t="s">
        <v>497</v>
      </c>
      <c r="K4" s="95"/>
      <c r="L4" s="93" t="s">
        <v>498</v>
      </c>
      <c r="M4" s="95"/>
      <c r="N4" s="93" t="s">
        <v>499</v>
      </c>
      <c r="O4" s="93" t="s">
        <v>500</v>
      </c>
      <c r="P4" s="95"/>
      <c r="Q4" s="93" t="s">
        <v>500</v>
      </c>
      <c r="R4" s="95"/>
      <c r="S4" s="93" t="s">
        <v>500</v>
      </c>
      <c r="T4" s="95"/>
      <c r="U4" s="93" t="s">
        <v>501</v>
      </c>
      <c r="V4" s="98"/>
      <c r="W4" s="93" t="s">
        <v>502</v>
      </c>
      <c r="X4" s="95"/>
      <c r="Y4" s="93" t="s">
        <v>503</v>
      </c>
      <c r="Z4" s="95"/>
      <c r="AA4" s="93" t="s">
        <v>504</v>
      </c>
      <c r="AB4" s="95"/>
      <c r="AC4" s="93" t="s">
        <v>505</v>
      </c>
      <c r="AD4" s="95"/>
      <c r="AE4" s="93" t="s">
        <v>506</v>
      </c>
      <c r="AF4" s="85"/>
      <c r="AG4" s="85"/>
      <c r="AH4" s="85" t="s">
        <v>507</v>
      </c>
    </row>
    <row r="5" spans="1:45" x14ac:dyDescent="0.2">
      <c r="A5" s="99" t="s">
        <v>508</v>
      </c>
      <c r="B5" s="96" t="s">
        <v>509</v>
      </c>
      <c r="C5" s="96" t="s">
        <v>510</v>
      </c>
      <c r="D5" s="97" t="s">
        <v>509</v>
      </c>
      <c r="E5" s="97"/>
      <c r="F5" s="97" t="s">
        <v>509</v>
      </c>
      <c r="G5" s="97"/>
      <c r="H5" s="93" t="s">
        <v>511</v>
      </c>
      <c r="I5" s="97" t="s">
        <v>512</v>
      </c>
      <c r="J5" s="93" t="s">
        <v>511</v>
      </c>
      <c r="K5" s="95"/>
      <c r="L5" s="93" t="s">
        <v>511</v>
      </c>
      <c r="M5" s="95"/>
      <c r="N5" s="93" t="s">
        <v>511</v>
      </c>
      <c r="O5" s="93" t="s">
        <v>511</v>
      </c>
      <c r="P5" s="95"/>
      <c r="Q5" s="93" t="s">
        <v>511</v>
      </c>
      <c r="R5" s="95"/>
      <c r="S5" s="93" t="s">
        <v>511</v>
      </c>
      <c r="T5" s="95"/>
      <c r="U5" s="93" t="s">
        <v>511</v>
      </c>
      <c r="V5" s="98"/>
      <c r="W5" s="93" t="s">
        <v>511</v>
      </c>
      <c r="X5" s="95"/>
      <c r="Y5" s="93" t="s">
        <v>511</v>
      </c>
      <c r="Z5" s="95"/>
      <c r="AA5" s="93" t="s">
        <v>511</v>
      </c>
      <c r="AB5" s="95"/>
      <c r="AC5" s="93" t="s">
        <v>511</v>
      </c>
      <c r="AD5" s="95"/>
      <c r="AE5" s="93" t="s">
        <v>513</v>
      </c>
    </row>
    <row r="6" spans="1:45" x14ac:dyDescent="0.2">
      <c r="B6" s="96"/>
      <c r="C6" s="96"/>
      <c r="D6" s="96"/>
      <c r="E6" s="96"/>
      <c r="F6" s="100"/>
      <c r="G6" s="100"/>
      <c r="H6" s="100"/>
      <c r="I6" s="100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8"/>
      <c r="W6" s="95"/>
      <c r="X6" s="95"/>
      <c r="Y6" s="95"/>
      <c r="Z6" s="95"/>
      <c r="AA6" s="95"/>
      <c r="AB6" s="95"/>
      <c r="AC6" s="95"/>
      <c r="AD6" s="95"/>
      <c r="AE6" s="95"/>
    </row>
    <row r="7" spans="1:45" x14ac:dyDescent="0.2">
      <c r="A7" s="85" t="s">
        <v>15</v>
      </c>
      <c r="B7" s="101" t="s">
        <v>16</v>
      </c>
      <c r="C7" s="86" t="s">
        <v>514</v>
      </c>
      <c r="F7" s="102">
        <f>E7</f>
        <v>0</v>
      </c>
      <c r="G7" s="103"/>
      <c r="H7" s="103"/>
      <c r="I7" s="103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8"/>
      <c r="W7" s="95"/>
      <c r="X7" s="95"/>
      <c r="Y7" s="95"/>
      <c r="Z7" s="95"/>
      <c r="AA7" s="95"/>
      <c r="AB7" s="95"/>
      <c r="AC7" s="95"/>
      <c r="AD7" s="95"/>
      <c r="AE7" s="95"/>
      <c r="AN7" s="85" t="s">
        <v>515</v>
      </c>
      <c r="AO7" s="85" t="s">
        <v>516</v>
      </c>
      <c r="AR7" s="85" t="s">
        <v>515</v>
      </c>
      <c r="AS7" s="85" t="s">
        <v>517</v>
      </c>
    </row>
    <row r="8" spans="1:45" x14ac:dyDescent="0.2">
      <c r="A8" s="85" t="s">
        <v>15</v>
      </c>
      <c r="C8" s="92" t="s">
        <v>518</v>
      </c>
      <c r="D8" s="92"/>
      <c r="F8" s="104">
        <f>SUM(F7)</f>
        <v>0</v>
      </c>
      <c r="G8" s="104">
        <f>F8</f>
        <v>0</v>
      </c>
      <c r="H8" s="105">
        <f>VLOOKUP(A8,Data!$A$2:$Z$179,24,FALSE)</f>
        <v>27</v>
      </c>
      <c r="I8" s="105">
        <f>VLOOKUP(A8,Data!$A$2:$Z$179,25,FALSE)</f>
        <v>0</v>
      </c>
      <c r="J8" s="105">
        <f>VLOOKUP(A8,Data!$A$2:$Z$179,7,FALSE)</f>
        <v>27</v>
      </c>
      <c r="K8" s="105">
        <f>$F8*J8</f>
        <v>0</v>
      </c>
      <c r="L8" s="105">
        <f>VLOOKUP(A8,Data!$A$2:$Z$179,8,FALSE)</f>
        <v>0</v>
      </c>
      <c r="M8" s="105">
        <f>L8*F8</f>
        <v>0</v>
      </c>
      <c r="N8" s="105">
        <f>VLOOKUP(A8,Data!$A$2:$Z$179,9,FALSE)</f>
        <v>0</v>
      </c>
      <c r="O8" s="105">
        <f>VLOOKUP(A7,Data!$A$2:$Z$179,10,FALSE)</f>
        <v>0.224</v>
      </c>
      <c r="P8" s="105">
        <f>O8*F8</f>
        <v>0</v>
      </c>
      <c r="Q8" s="105">
        <f>VLOOKUP(A8,Data!$A$2:$Z$179,11,FALSE)</f>
        <v>0</v>
      </c>
      <c r="R8" s="105">
        <f t="shared" ref="R8:R71" si="0">$F8*Q8</f>
        <v>0</v>
      </c>
      <c r="S8" s="105">
        <f>VLOOKUP(A8,Data!$A$2:$Z$179,12,FALSE)</f>
        <v>8.02</v>
      </c>
      <c r="T8" s="105">
        <f>S8*F8</f>
        <v>0</v>
      </c>
      <c r="U8" s="105">
        <f>VLOOKUP(A8,Data!$A$2:$Z$179,13,FALSE)</f>
        <v>0.45800000000000002</v>
      </c>
      <c r="V8" s="91">
        <f t="shared" ref="V8:V38" si="1">U8*F8/1000</f>
        <v>0</v>
      </c>
      <c r="W8" s="105">
        <f>VLOOKUP(A8,Data!$A$2:$Z$179,22,FALSE)</f>
        <v>0</v>
      </c>
      <c r="X8" s="105">
        <f>W8*F8</f>
        <v>0</v>
      </c>
      <c r="Y8" s="105">
        <f>VLOOKUP(A8,Data!$A$2:$Z$179,19,FALSE)</f>
        <v>0</v>
      </c>
      <c r="Z8" s="105">
        <f t="shared" ref="Z8:Z71" si="2">$F8*Y8</f>
        <v>0</v>
      </c>
      <c r="AA8" s="105">
        <f>VLOOKUP(A8,Data!$A$2:$Z$179,20,FALSE)</f>
        <v>0</v>
      </c>
      <c r="AB8" s="105">
        <f t="shared" ref="AB8:AB22" si="3">$F8*AA8</f>
        <v>0</v>
      </c>
      <c r="AC8" s="105">
        <f>VLOOKUP(A8,Data!$A$2:$Z$179,21,FALSE)</f>
        <v>0</v>
      </c>
      <c r="AD8" s="105">
        <f t="shared" ref="AD8:AD71" si="4">$F8*AC8</f>
        <v>0</v>
      </c>
      <c r="AE8" s="105">
        <f>J8+L8+N8+O8+Q8+S8+U8+W8+Y8+AA8+AC8</f>
        <v>35.701999999999998</v>
      </c>
      <c r="AF8" s="105">
        <f t="shared" ref="AF8:AF17" si="5">$F8*AE8</f>
        <v>0</v>
      </c>
      <c r="AG8" s="105"/>
      <c r="AH8" s="106">
        <f>AE8-S8-W8</f>
        <v>27.681999999999999</v>
      </c>
      <c r="AI8" s="85">
        <f>AH8/AE8</f>
        <v>0.77536272477732338</v>
      </c>
      <c r="AK8" s="106">
        <f t="shared" ref="AK8:AK71" si="6">O8+Q8+S8</f>
        <v>8.2439999999999998</v>
      </c>
      <c r="AL8" s="106">
        <f t="shared" ref="AL8:AL71" si="7">O8+Q8+S8</f>
        <v>8.2439999999999998</v>
      </c>
      <c r="AN8" s="85" t="s">
        <v>15</v>
      </c>
      <c r="AO8" s="85">
        <v>0.47449735072163846</v>
      </c>
      <c r="AQ8" s="107"/>
      <c r="AR8" s="85" t="s">
        <v>15</v>
      </c>
      <c r="AS8" s="108">
        <v>7884293.50722</v>
      </c>
    </row>
    <row r="9" spans="1:45" x14ac:dyDescent="0.2">
      <c r="C9" s="92"/>
      <c r="D9" s="92"/>
      <c r="F9" s="109"/>
      <c r="G9" s="109"/>
      <c r="H9" s="109"/>
      <c r="I9" s="109"/>
      <c r="J9" s="105"/>
      <c r="K9" s="105"/>
      <c r="L9" s="105"/>
      <c r="M9" s="105">
        <f>L9*F9</f>
        <v>0</v>
      </c>
      <c r="N9" s="105"/>
      <c r="O9" s="105"/>
      <c r="P9" s="105">
        <f>O9*F9</f>
        <v>0</v>
      </c>
      <c r="Q9" s="105"/>
      <c r="R9" s="105">
        <f t="shared" si="0"/>
        <v>0</v>
      </c>
      <c r="S9" s="105"/>
      <c r="T9" s="105"/>
      <c r="U9" s="105"/>
      <c r="V9" s="91">
        <f t="shared" si="1"/>
        <v>0</v>
      </c>
      <c r="W9" s="105"/>
      <c r="X9" s="105">
        <f>W9*F9</f>
        <v>0</v>
      </c>
      <c r="Y9" s="105"/>
      <c r="Z9" s="105">
        <f t="shared" si="2"/>
        <v>0</v>
      </c>
      <c r="AA9" s="105"/>
      <c r="AB9" s="105">
        <f t="shared" si="3"/>
        <v>0</v>
      </c>
      <c r="AC9" s="105"/>
      <c r="AD9" s="105">
        <f t="shared" si="4"/>
        <v>0</v>
      </c>
      <c r="AE9" s="105"/>
      <c r="AF9" s="105">
        <f t="shared" si="5"/>
        <v>0</v>
      </c>
      <c r="AG9" s="105"/>
      <c r="AK9" s="106">
        <f t="shared" si="6"/>
        <v>0</v>
      </c>
      <c r="AL9" s="106">
        <f t="shared" si="7"/>
        <v>0</v>
      </c>
      <c r="AN9" s="85" t="s">
        <v>17</v>
      </c>
      <c r="AO9" s="85">
        <v>0.43244439526391504</v>
      </c>
      <c r="AQ9" s="107"/>
      <c r="AR9" s="85" t="s">
        <v>17</v>
      </c>
      <c r="AS9" s="108">
        <v>62398783.325764999</v>
      </c>
    </row>
    <row r="10" spans="1:45" x14ac:dyDescent="0.2">
      <c r="A10" s="85" t="s">
        <v>17</v>
      </c>
      <c r="B10" s="101" t="s">
        <v>16</v>
      </c>
      <c r="C10" s="86" t="s">
        <v>18</v>
      </c>
      <c r="F10" s="102">
        <f>E10</f>
        <v>0</v>
      </c>
      <c r="G10" s="103"/>
      <c r="H10" s="103"/>
      <c r="I10" s="103"/>
      <c r="J10" s="105" t="s">
        <v>271</v>
      </c>
      <c r="K10" s="105"/>
      <c r="L10" s="105"/>
      <c r="M10" s="105">
        <f>L10*F10</f>
        <v>0</v>
      </c>
      <c r="N10" s="105"/>
      <c r="O10" s="105"/>
      <c r="P10" s="105">
        <f>O10*F10</f>
        <v>0</v>
      </c>
      <c r="Q10" s="105"/>
      <c r="R10" s="105">
        <f t="shared" si="0"/>
        <v>0</v>
      </c>
      <c r="S10" s="105"/>
      <c r="T10" s="105"/>
      <c r="U10" s="105"/>
      <c r="V10" s="91">
        <f t="shared" si="1"/>
        <v>0</v>
      </c>
      <c r="W10" s="105"/>
      <c r="X10" s="105">
        <f>W10*F10</f>
        <v>0</v>
      </c>
      <c r="Y10" s="105"/>
      <c r="Z10" s="105">
        <f t="shared" si="2"/>
        <v>0</v>
      </c>
      <c r="AA10" s="105"/>
      <c r="AB10" s="105">
        <f t="shared" si="3"/>
        <v>0</v>
      </c>
      <c r="AC10" s="105"/>
      <c r="AD10" s="105">
        <f t="shared" si="4"/>
        <v>0</v>
      </c>
      <c r="AE10" s="105"/>
      <c r="AF10" s="105">
        <f t="shared" si="5"/>
        <v>0</v>
      </c>
      <c r="AG10" s="105"/>
      <c r="AK10" s="106">
        <f t="shared" si="6"/>
        <v>0</v>
      </c>
      <c r="AL10" s="106">
        <f t="shared" si="7"/>
        <v>0</v>
      </c>
      <c r="AN10" s="85" t="s">
        <v>19</v>
      </c>
      <c r="AO10" s="85">
        <v>0.61247822566795063</v>
      </c>
      <c r="AQ10" s="107"/>
      <c r="AR10" s="110" t="s">
        <v>19</v>
      </c>
      <c r="AS10" s="108">
        <v>4890361.2483000001</v>
      </c>
    </row>
    <row r="11" spans="1:45" x14ac:dyDescent="0.2">
      <c r="A11" s="85" t="s">
        <v>17</v>
      </c>
      <c r="B11" s="101" t="s">
        <v>519</v>
      </c>
      <c r="C11" s="86" t="s">
        <v>18</v>
      </c>
      <c r="F11" s="102">
        <f>E11</f>
        <v>0</v>
      </c>
      <c r="G11" s="103"/>
      <c r="H11" s="103"/>
      <c r="I11" s="103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91">
        <f t="shared" si="1"/>
        <v>0</v>
      </c>
      <c r="W11" s="105"/>
      <c r="X11" s="105"/>
      <c r="Y11" s="105"/>
      <c r="Z11" s="105">
        <f t="shared" si="2"/>
        <v>0</v>
      </c>
      <c r="AA11" s="105"/>
      <c r="AB11" s="105">
        <f t="shared" si="3"/>
        <v>0</v>
      </c>
      <c r="AC11" s="105"/>
      <c r="AD11" s="105"/>
      <c r="AE11" s="105"/>
      <c r="AF11" s="105"/>
      <c r="AG11" s="105"/>
      <c r="AK11" s="106">
        <f t="shared" si="6"/>
        <v>0</v>
      </c>
      <c r="AL11" s="106">
        <f t="shared" si="7"/>
        <v>0</v>
      </c>
      <c r="AN11" s="85" t="s">
        <v>20</v>
      </c>
      <c r="AO11" s="85">
        <v>0.53813766170368571</v>
      </c>
      <c r="AQ11" s="107"/>
      <c r="AR11" s="85" t="s">
        <v>20</v>
      </c>
      <c r="AS11" s="108">
        <v>750178.81152200012</v>
      </c>
    </row>
    <row r="12" spans="1:45" x14ac:dyDescent="0.2">
      <c r="A12" s="85" t="s">
        <v>17</v>
      </c>
      <c r="C12" s="92" t="s">
        <v>520</v>
      </c>
      <c r="D12" s="92"/>
      <c r="F12" s="104">
        <f>SUM(F10:F11)</f>
        <v>0</v>
      </c>
      <c r="G12" s="104">
        <f>F12</f>
        <v>0</v>
      </c>
      <c r="H12" s="105">
        <f>VLOOKUP(A12,Data!$A$2:$Z$179,24,FALSE)</f>
        <v>27</v>
      </c>
      <c r="I12" s="105">
        <f>VLOOKUP(A12,Data!$A$2:$Z$179,25,FALSE)</f>
        <v>0</v>
      </c>
      <c r="J12" s="105">
        <f>VLOOKUP(A12,Data!$A$2:$Z$179,7,FALSE)</f>
        <v>27</v>
      </c>
      <c r="K12" s="105">
        <f>$F12*J12</f>
        <v>0</v>
      </c>
      <c r="L12" s="105">
        <f>VLOOKUP(A12,Data!$A$2:$Z$179,8,FALSE)</f>
        <v>0</v>
      </c>
      <c r="M12" s="105">
        <f t="shared" ref="M12:M17" si="8">L12*F12</f>
        <v>0</v>
      </c>
      <c r="N12" s="105">
        <f>VLOOKUP(A12,Data!$A$2:$Z$179,9,FALSE)</f>
        <v>0</v>
      </c>
      <c r="O12" s="105">
        <f>VLOOKUP(A11,Data!$A$2:$Z$179,10,FALSE)</f>
        <v>0</v>
      </c>
      <c r="P12" s="105">
        <f t="shared" ref="P12:P17" si="9">O12*F12</f>
        <v>0</v>
      </c>
      <c r="Q12" s="105">
        <f>VLOOKUP(A12,Data!$A$2:$Z$179,11,FALSE)</f>
        <v>0</v>
      </c>
      <c r="R12" s="105">
        <f>$F12*Q12</f>
        <v>0</v>
      </c>
      <c r="S12" s="105">
        <f>VLOOKUP(A12,Data!$A$2:$Z$179,12,FALSE)</f>
        <v>19.085999999999999</v>
      </c>
      <c r="T12" s="105">
        <f t="shared" ref="T12:T17" si="10">S12*F12</f>
        <v>0</v>
      </c>
      <c r="U12" s="105">
        <f>VLOOKUP(A12,Data!$A$2:$Z$179,13,FALSE)</f>
        <v>0.76395442035592853</v>
      </c>
      <c r="V12" s="91">
        <f>U12*F12/1000</f>
        <v>0</v>
      </c>
      <c r="W12" s="105">
        <f>VLOOKUP(A12,Data!$A$2:$Z$179,22,FALSE)</f>
        <v>0</v>
      </c>
      <c r="X12" s="105">
        <f t="shared" ref="X12:X17" si="11">W12*F12</f>
        <v>0</v>
      </c>
      <c r="Y12" s="105">
        <f>VLOOKUP(A12,Data!$A$2:$Z$179,19,FALSE)</f>
        <v>0</v>
      </c>
      <c r="Z12" s="105">
        <f>$F12*Y12</f>
        <v>0</v>
      </c>
      <c r="AA12" s="105">
        <f>VLOOKUP(A12,Data!$A$2:$Z$179,20,FALSE)</f>
        <v>0</v>
      </c>
      <c r="AB12" s="105">
        <f>$F12*AA12</f>
        <v>0</v>
      </c>
      <c r="AC12" s="105">
        <f>VLOOKUP(A12,Data!$A$2:$Z$179,21,FALSE)</f>
        <v>0</v>
      </c>
      <c r="AD12" s="105">
        <f t="shared" si="4"/>
        <v>0</v>
      </c>
      <c r="AE12" s="105">
        <f>J12+L12+N12+O12+Q12+S12+U12+W12+Y12+AA12+AC12</f>
        <v>46.849954420355928</v>
      </c>
      <c r="AF12" s="105">
        <f t="shared" si="5"/>
        <v>0</v>
      </c>
      <c r="AG12" s="105"/>
      <c r="AH12" s="106">
        <f>AE12-S12-W12</f>
        <v>27.76395442035593</v>
      </c>
      <c r="AI12" s="85">
        <f>AH12/AE12</f>
        <v>0.59261433151560794</v>
      </c>
      <c r="AK12" s="106">
        <f t="shared" si="6"/>
        <v>19.085999999999999</v>
      </c>
      <c r="AL12" s="106">
        <f t="shared" si="7"/>
        <v>19.085999999999999</v>
      </c>
      <c r="AN12" s="85" t="s">
        <v>21</v>
      </c>
      <c r="AO12" s="85">
        <v>0.69132897873262544</v>
      </c>
      <c r="AQ12" s="107"/>
      <c r="AR12" s="85" t="s">
        <v>22</v>
      </c>
      <c r="AS12" s="108">
        <v>299972.481975</v>
      </c>
    </row>
    <row r="13" spans="1:45" x14ac:dyDescent="0.2">
      <c r="C13" s="92"/>
      <c r="D13" s="92"/>
      <c r="F13" s="109"/>
      <c r="G13" s="109"/>
      <c r="H13" s="109"/>
      <c r="I13" s="109"/>
      <c r="J13" s="105"/>
      <c r="K13" s="105"/>
      <c r="L13" s="105"/>
      <c r="M13" s="105">
        <f t="shared" si="8"/>
        <v>0</v>
      </c>
      <c r="N13" s="105"/>
      <c r="O13" s="105"/>
      <c r="P13" s="105">
        <f t="shared" si="9"/>
        <v>0</v>
      </c>
      <c r="Q13" s="105"/>
      <c r="R13" s="105">
        <f t="shared" si="0"/>
        <v>0</v>
      </c>
      <c r="S13" s="105"/>
      <c r="T13" s="105">
        <f t="shared" si="10"/>
        <v>0</v>
      </c>
      <c r="U13" s="105"/>
      <c r="V13" s="91">
        <f t="shared" si="1"/>
        <v>0</v>
      </c>
      <c r="W13" s="105"/>
      <c r="X13" s="105">
        <f t="shared" si="11"/>
        <v>0</v>
      </c>
      <c r="Y13" s="105"/>
      <c r="Z13" s="105">
        <f t="shared" si="2"/>
        <v>0</v>
      </c>
      <c r="AA13" s="105"/>
      <c r="AB13" s="105">
        <f t="shared" si="3"/>
        <v>0</v>
      </c>
      <c r="AC13" s="105"/>
      <c r="AD13" s="105">
        <f t="shared" si="4"/>
        <v>0</v>
      </c>
      <c r="AE13" s="105"/>
      <c r="AF13" s="105">
        <f t="shared" si="5"/>
        <v>0</v>
      </c>
      <c r="AG13" s="105"/>
      <c r="AH13" s="106"/>
      <c r="AK13" s="106">
        <f t="shared" si="6"/>
        <v>0</v>
      </c>
      <c r="AL13" s="106">
        <f t="shared" si="7"/>
        <v>0</v>
      </c>
      <c r="AN13" s="85" t="s">
        <v>22</v>
      </c>
      <c r="AO13" s="85">
        <v>0.70549393188046461</v>
      </c>
      <c r="AQ13" s="107"/>
      <c r="AR13" s="85" t="s">
        <v>23</v>
      </c>
      <c r="AS13" s="108">
        <v>18154285.268610001</v>
      </c>
    </row>
    <row r="14" spans="1:45" x14ac:dyDescent="0.2">
      <c r="A14" s="110" t="s">
        <v>19</v>
      </c>
      <c r="B14" s="101" t="s">
        <v>16</v>
      </c>
      <c r="C14" s="86" t="s">
        <v>521</v>
      </c>
      <c r="F14" s="102">
        <f>E14</f>
        <v>0</v>
      </c>
      <c r="G14" s="103"/>
      <c r="H14" s="103"/>
      <c r="I14" s="103"/>
      <c r="J14" s="105"/>
      <c r="K14" s="105"/>
      <c r="L14" s="105"/>
      <c r="M14" s="105">
        <f t="shared" si="8"/>
        <v>0</v>
      </c>
      <c r="N14" s="105"/>
      <c r="O14" s="105"/>
      <c r="P14" s="105">
        <f t="shared" si="9"/>
        <v>0</v>
      </c>
      <c r="Q14" s="105"/>
      <c r="R14" s="105">
        <f t="shared" si="0"/>
        <v>0</v>
      </c>
      <c r="S14" s="105"/>
      <c r="T14" s="105">
        <f t="shared" si="10"/>
        <v>0</v>
      </c>
      <c r="U14" s="105"/>
      <c r="V14" s="91">
        <f t="shared" si="1"/>
        <v>0</v>
      </c>
      <c r="W14" s="105"/>
      <c r="X14" s="105">
        <f t="shared" si="11"/>
        <v>0</v>
      </c>
      <c r="Y14" s="105"/>
      <c r="Z14" s="105">
        <f t="shared" si="2"/>
        <v>0</v>
      </c>
      <c r="AA14" s="105"/>
      <c r="AB14" s="105">
        <f t="shared" si="3"/>
        <v>0</v>
      </c>
      <c r="AC14" s="105"/>
      <c r="AD14" s="105">
        <f t="shared" si="4"/>
        <v>0</v>
      </c>
      <c r="AE14" s="105"/>
      <c r="AF14" s="105">
        <f t="shared" si="5"/>
        <v>0</v>
      </c>
      <c r="AG14" s="105"/>
      <c r="AH14" s="106"/>
      <c r="AK14" s="106">
        <f t="shared" si="6"/>
        <v>0</v>
      </c>
      <c r="AL14" s="106">
        <f t="shared" si="7"/>
        <v>0</v>
      </c>
      <c r="AN14" s="85" t="s">
        <v>23</v>
      </c>
      <c r="AO14" s="85">
        <v>0.53853726330418661</v>
      </c>
      <c r="AQ14" s="107"/>
      <c r="AR14" s="85" t="s">
        <v>27</v>
      </c>
      <c r="AS14" s="108">
        <v>6154266.6863520006</v>
      </c>
    </row>
    <row r="15" spans="1:45" x14ac:dyDescent="0.2">
      <c r="A15" s="110" t="s">
        <v>19</v>
      </c>
      <c r="B15" s="111"/>
      <c r="C15" s="92" t="s">
        <v>522</v>
      </c>
      <c r="D15" s="92"/>
      <c r="F15" s="104">
        <f>SUM(F14)</f>
        <v>0</v>
      </c>
      <c r="G15" s="104">
        <f>F15</f>
        <v>0</v>
      </c>
      <c r="H15" s="105">
        <f>VLOOKUP(A15,Data!$A$2:$Z$179,24,FALSE)</f>
        <v>27</v>
      </c>
      <c r="I15" s="105">
        <f>VLOOKUP(A15,Data!$A$2:$Z$179,25,FALSE)</f>
        <v>1.3119999999999998</v>
      </c>
      <c r="J15" s="105">
        <f>VLOOKUP(A15,Data!$A$2:$Z$179,7,FALSE)</f>
        <v>25.687999999999999</v>
      </c>
      <c r="K15" s="105">
        <f>$F15*J15</f>
        <v>0</v>
      </c>
      <c r="L15" s="105">
        <f>VLOOKUP(A15,Data!$A$2:$Z$179,8,FALSE)</f>
        <v>0</v>
      </c>
      <c r="M15" s="105">
        <f t="shared" si="8"/>
        <v>0</v>
      </c>
      <c r="N15" s="105">
        <f>VLOOKUP(A15,Data!$A$2:$Z$179,9,FALSE)</f>
        <v>0</v>
      </c>
      <c r="O15" s="105">
        <f>VLOOKUP(A14,Data!$A$2:$Z$179,10,FALSE)</f>
        <v>0</v>
      </c>
      <c r="P15" s="105">
        <f t="shared" si="9"/>
        <v>0</v>
      </c>
      <c r="Q15" s="105">
        <f>VLOOKUP(A15,Data!$A$2:$Z$179,11,FALSE)</f>
        <v>0</v>
      </c>
      <c r="R15" s="105">
        <f>$F15*Q15</f>
        <v>0</v>
      </c>
      <c r="S15" s="105">
        <f>VLOOKUP(A15,Data!$A$2:$Z$179,12,FALSE)</f>
        <v>4.9630000000000001</v>
      </c>
      <c r="T15" s="105">
        <f t="shared" si="10"/>
        <v>0</v>
      </c>
      <c r="U15" s="105">
        <f>VLOOKUP(A15,Data!$A$2:$Z$179,13,FALSE)</f>
        <v>0.10589166296097474</v>
      </c>
      <c r="V15" s="91">
        <f>U15*F15/1000</f>
        <v>0</v>
      </c>
      <c r="W15" s="105">
        <f>VLOOKUP(A15,Data!$A$2:$Z$179,22,FALSE)</f>
        <v>0</v>
      </c>
      <c r="X15" s="105">
        <f t="shared" si="11"/>
        <v>0</v>
      </c>
      <c r="Y15" s="105">
        <f>VLOOKUP(A15,Data!$A$2:$Z$179,19,FALSE)</f>
        <v>0</v>
      </c>
      <c r="Z15" s="105">
        <f>$F15*Y15</f>
        <v>0</v>
      </c>
      <c r="AA15" s="105">
        <f>VLOOKUP(A15,Data!$A$2:$Z$179,20,FALSE)</f>
        <v>0</v>
      </c>
      <c r="AB15" s="105">
        <f>$F15*AA15</f>
        <v>0</v>
      </c>
      <c r="AC15" s="105">
        <f>VLOOKUP(A15,Data!$A$2:$Z$179,21,FALSE)</f>
        <v>0</v>
      </c>
      <c r="AD15" s="105">
        <f t="shared" si="4"/>
        <v>0</v>
      </c>
      <c r="AE15" s="105">
        <f>J15+L15+N15+O15+Q15+S15+U15+W15+Y15+AA15+AC15</f>
        <v>30.756891662960975</v>
      </c>
      <c r="AF15" s="105">
        <f t="shared" si="5"/>
        <v>0</v>
      </c>
      <c r="AG15" s="105"/>
      <c r="AH15" s="106">
        <f>AE15-S15-W15</f>
        <v>25.793891662960974</v>
      </c>
      <c r="AI15" s="85">
        <f>AH15/AE15</f>
        <v>0.83863779037279307</v>
      </c>
      <c r="AK15" s="106">
        <f t="shared" si="6"/>
        <v>4.9630000000000001</v>
      </c>
      <c r="AL15" s="106">
        <f t="shared" si="7"/>
        <v>4.9630000000000001</v>
      </c>
      <c r="AN15" s="85" t="s">
        <v>24</v>
      </c>
      <c r="AO15" s="85">
        <v>0.67290759794222399</v>
      </c>
      <c r="AQ15" s="107"/>
      <c r="AR15" s="85" t="s">
        <v>29</v>
      </c>
      <c r="AS15" s="108">
        <v>4006199.1835000003</v>
      </c>
    </row>
    <row r="16" spans="1:45" x14ac:dyDescent="0.2">
      <c r="B16" s="111"/>
      <c r="C16" s="92"/>
      <c r="D16" s="92"/>
      <c r="F16" s="109"/>
      <c r="G16" s="109"/>
      <c r="H16" s="109"/>
      <c r="I16" s="109"/>
      <c r="J16" s="105"/>
      <c r="K16" s="105"/>
      <c r="L16" s="105"/>
      <c r="M16" s="105">
        <f t="shared" si="8"/>
        <v>0</v>
      </c>
      <c r="N16" s="105"/>
      <c r="O16" s="105"/>
      <c r="P16" s="105">
        <f t="shared" si="9"/>
        <v>0</v>
      </c>
      <c r="Q16" s="105"/>
      <c r="R16" s="105">
        <f t="shared" si="0"/>
        <v>0</v>
      </c>
      <c r="S16" s="105"/>
      <c r="T16" s="105">
        <f t="shared" si="10"/>
        <v>0</v>
      </c>
      <c r="U16" s="105"/>
      <c r="V16" s="91">
        <f t="shared" si="1"/>
        <v>0</v>
      </c>
      <c r="W16" s="105"/>
      <c r="X16" s="105">
        <f t="shared" si="11"/>
        <v>0</v>
      </c>
      <c r="Y16" s="105"/>
      <c r="Z16" s="105">
        <f t="shared" si="2"/>
        <v>0</v>
      </c>
      <c r="AA16" s="105"/>
      <c r="AB16" s="105">
        <f t="shared" si="3"/>
        <v>0</v>
      </c>
      <c r="AC16" s="105"/>
      <c r="AD16" s="105">
        <f t="shared" si="4"/>
        <v>0</v>
      </c>
      <c r="AE16" s="105"/>
      <c r="AF16" s="105">
        <f t="shared" si="5"/>
        <v>0</v>
      </c>
      <c r="AG16" s="105"/>
      <c r="AH16" s="106"/>
      <c r="AK16" s="106">
        <f t="shared" si="6"/>
        <v>0</v>
      </c>
      <c r="AL16" s="106">
        <f t="shared" si="7"/>
        <v>0</v>
      </c>
      <c r="AN16" s="85" t="s">
        <v>26</v>
      </c>
      <c r="AO16" s="85">
        <v>0.76722426991777715</v>
      </c>
      <c r="AQ16" s="107"/>
      <c r="AR16" s="112" t="s">
        <v>30</v>
      </c>
      <c r="AS16" s="108">
        <v>118104325.81364399</v>
      </c>
    </row>
    <row r="17" spans="1:45" x14ac:dyDescent="0.2">
      <c r="A17" s="85" t="s">
        <v>20</v>
      </c>
      <c r="B17" s="101" t="s">
        <v>16</v>
      </c>
      <c r="C17" s="86" t="s">
        <v>523</v>
      </c>
      <c r="F17" s="102">
        <f>E17</f>
        <v>0</v>
      </c>
      <c r="G17" s="102"/>
      <c r="H17" s="102"/>
      <c r="I17" s="102"/>
      <c r="J17" s="105"/>
      <c r="K17" s="105"/>
      <c r="L17" s="105"/>
      <c r="M17" s="105">
        <f t="shared" si="8"/>
        <v>0</v>
      </c>
      <c r="N17" s="105"/>
      <c r="O17" s="105"/>
      <c r="P17" s="105">
        <f t="shared" si="9"/>
        <v>0</v>
      </c>
      <c r="Q17" s="105"/>
      <c r="R17" s="105">
        <f t="shared" si="0"/>
        <v>0</v>
      </c>
      <c r="S17" s="105"/>
      <c r="T17" s="105">
        <f t="shared" si="10"/>
        <v>0</v>
      </c>
      <c r="U17" s="105"/>
      <c r="V17" s="91">
        <f t="shared" si="1"/>
        <v>0</v>
      </c>
      <c r="W17" s="105"/>
      <c r="X17" s="105">
        <f t="shared" si="11"/>
        <v>0</v>
      </c>
      <c r="Y17" s="105"/>
      <c r="Z17" s="105">
        <f t="shared" si="2"/>
        <v>0</v>
      </c>
      <c r="AA17" s="105"/>
      <c r="AB17" s="105">
        <f t="shared" si="3"/>
        <v>0</v>
      </c>
      <c r="AC17" s="105"/>
      <c r="AD17" s="105">
        <f t="shared" si="4"/>
        <v>0</v>
      </c>
      <c r="AE17" s="105"/>
      <c r="AF17" s="105">
        <f t="shared" si="5"/>
        <v>0</v>
      </c>
      <c r="AG17" s="105"/>
      <c r="AH17" s="106"/>
      <c r="AK17" s="106">
        <f t="shared" si="6"/>
        <v>0</v>
      </c>
      <c r="AL17" s="106">
        <f t="shared" si="7"/>
        <v>0</v>
      </c>
      <c r="AN17" s="85" t="s">
        <v>27</v>
      </c>
      <c r="AO17" s="85">
        <v>0.42364240433819594</v>
      </c>
      <c r="AQ17" s="107"/>
      <c r="AR17" s="85" t="s">
        <v>31</v>
      </c>
      <c r="AS17" s="108">
        <v>28813025.405945998</v>
      </c>
    </row>
    <row r="18" spans="1:45" x14ac:dyDescent="0.2">
      <c r="A18" s="85" t="s">
        <v>20</v>
      </c>
      <c r="B18" s="101" t="s">
        <v>519</v>
      </c>
      <c r="C18" s="86" t="s">
        <v>523</v>
      </c>
      <c r="F18" s="102">
        <f>E18</f>
        <v>0</v>
      </c>
      <c r="G18" s="102"/>
      <c r="H18" s="102"/>
      <c r="I18" s="102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91">
        <f t="shared" si="1"/>
        <v>0</v>
      </c>
      <c r="W18" s="105"/>
      <c r="X18" s="105"/>
      <c r="Y18" s="105"/>
      <c r="Z18" s="105">
        <f t="shared" si="2"/>
        <v>0</v>
      </c>
      <c r="AA18" s="105"/>
      <c r="AB18" s="105">
        <f t="shared" si="3"/>
        <v>0</v>
      </c>
      <c r="AC18" s="105"/>
      <c r="AD18" s="105"/>
      <c r="AE18" s="105"/>
      <c r="AF18" s="105"/>
      <c r="AG18" s="105"/>
      <c r="AH18" s="106"/>
      <c r="AK18" s="106">
        <f t="shared" si="6"/>
        <v>0</v>
      </c>
      <c r="AL18" s="106">
        <f t="shared" si="7"/>
        <v>0</v>
      </c>
      <c r="AN18" s="85" t="s">
        <v>29</v>
      </c>
      <c r="AO18" s="85">
        <v>0.59828696219404975</v>
      </c>
      <c r="AQ18" s="107"/>
      <c r="AR18" s="85" t="s">
        <v>32</v>
      </c>
      <c r="AS18" s="108">
        <v>6506.5340079999996</v>
      </c>
    </row>
    <row r="19" spans="1:45" x14ac:dyDescent="0.2">
      <c r="A19" s="85" t="s">
        <v>20</v>
      </c>
      <c r="B19" s="101" t="s">
        <v>241</v>
      </c>
      <c r="C19" s="86" t="s">
        <v>523</v>
      </c>
      <c r="F19" s="102">
        <f>E19</f>
        <v>0</v>
      </c>
      <c r="G19" s="102"/>
      <c r="H19" s="102"/>
      <c r="I19" s="102"/>
      <c r="J19" s="105"/>
      <c r="K19" s="105"/>
      <c r="L19" s="105"/>
      <c r="M19" s="105">
        <f t="shared" ref="M19:M50" si="12">L19*F19</f>
        <v>0</v>
      </c>
      <c r="N19" s="105"/>
      <c r="O19" s="105"/>
      <c r="P19" s="105">
        <f t="shared" ref="P19:P50" si="13">O19*F19</f>
        <v>0</v>
      </c>
      <c r="Q19" s="105"/>
      <c r="R19" s="105">
        <f t="shared" si="0"/>
        <v>0</v>
      </c>
      <c r="S19" s="105"/>
      <c r="T19" s="105">
        <f t="shared" ref="T19:T50" si="14">S19*F19</f>
        <v>0</v>
      </c>
      <c r="U19" s="105"/>
      <c r="V19" s="91">
        <f t="shared" si="1"/>
        <v>0</v>
      </c>
      <c r="W19" s="105"/>
      <c r="X19" s="105">
        <f t="shared" ref="X19:X50" si="15">W19*F19</f>
        <v>0</v>
      </c>
      <c r="Y19" s="105"/>
      <c r="Z19" s="105">
        <f t="shared" si="2"/>
        <v>0</v>
      </c>
      <c r="AA19" s="105"/>
      <c r="AB19" s="105">
        <f t="shared" si="3"/>
        <v>0</v>
      </c>
      <c r="AC19" s="105"/>
      <c r="AD19" s="105">
        <f t="shared" si="4"/>
        <v>0</v>
      </c>
      <c r="AE19" s="105"/>
      <c r="AF19" s="105"/>
      <c r="AG19" s="105"/>
      <c r="AH19" s="106"/>
      <c r="AK19" s="106">
        <f t="shared" si="6"/>
        <v>0</v>
      </c>
      <c r="AL19" s="106">
        <f t="shared" si="7"/>
        <v>0</v>
      </c>
      <c r="AN19" s="85" t="s">
        <v>30</v>
      </c>
      <c r="AO19" s="85">
        <v>0.43902831726608571</v>
      </c>
      <c r="AQ19" s="107"/>
      <c r="AR19" s="85" t="s">
        <v>33</v>
      </c>
      <c r="AS19" s="108">
        <v>85636713.735350996</v>
      </c>
    </row>
    <row r="20" spans="1:45" x14ac:dyDescent="0.2">
      <c r="A20" s="85" t="s">
        <v>20</v>
      </c>
      <c r="C20" s="92" t="s">
        <v>524</v>
      </c>
      <c r="D20" s="92"/>
      <c r="F20" s="104">
        <f>SUM(F17:F19)</f>
        <v>0</v>
      </c>
      <c r="G20" s="104">
        <f>F20</f>
        <v>0</v>
      </c>
      <c r="H20" s="105">
        <f>VLOOKUP(A20,Data!$A$2:$Z$179,24,FALSE)</f>
        <v>27</v>
      </c>
      <c r="I20" s="105">
        <f>VLOOKUP(A20,Data!$A$2:$Z$179,25,FALSE)</f>
        <v>0</v>
      </c>
      <c r="J20" s="105">
        <f>VLOOKUP(A20,Data!$A$2:$Z$179,7,FALSE)</f>
        <v>27</v>
      </c>
      <c r="K20" s="105">
        <f>$F20*J20</f>
        <v>0</v>
      </c>
      <c r="L20" s="105">
        <f>VLOOKUP(A20,Data!$A$2:$Z$179,8,FALSE)</f>
        <v>0</v>
      </c>
      <c r="M20" s="105">
        <f>L20*F20</f>
        <v>0</v>
      </c>
      <c r="N20" s="105">
        <f>VLOOKUP(A20,Data!$A$2:$Z$179,9,FALSE)</f>
        <v>0</v>
      </c>
      <c r="O20" s="105">
        <f>VLOOKUP(A19,Data!$A$2:$Z$179,10,FALSE)</f>
        <v>0</v>
      </c>
      <c r="P20" s="105">
        <f>O20*F20</f>
        <v>0</v>
      </c>
      <c r="Q20" s="105">
        <f>VLOOKUP(A20,Data!$A$2:$Z$179,11,FALSE)</f>
        <v>0</v>
      </c>
      <c r="R20" s="105">
        <f>$F20*Q20</f>
        <v>0</v>
      </c>
      <c r="S20" s="105">
        <f>VLOOKUP(A20,Data!$A$2:$Z$179,12,FALSE)</f>
        <v>0.372</v>
      </c>
      <c r="T20" s="105">
        <f>S20*F20</f>
        <v>0</v>
      </c>
      <c r="U20" s="105">
        <f>VLOOKUP(A20,Data!$A$2:$Z$179,13,FALSE)</f>
        <v>0.4246290040599095</v>
      </c>
      <c r="V20" s="91">
        <f>U20*F20/1000</f>
        <v>0</v>
      </c>
      <c r="W20" s="105">
        <f>VLOOKUP(A20,Data!$A$2:$Z$179,22,FALSE)</f>
        <v>0</v>
      </c>
      <c r="X20" s="105">
        <f>W20*F20</f>
        <v>0</v>
      </c>
      <c r="Y20" s="105">
        <f>VLOOKUP(A20,Data!$A$2:$Z$179,19,FALSE)</f>
        <v>0</v>
      </c>
      <c r="Z20" s="105">
        <f>$F20*Y20</f>
        <v>0</v>
      </c>
      <c r="AA20" s="105">
        <f>VLOOKUP(A20,Data!$A$2:$Z$179,20,FALSE)</f>
        <v>0</v>
      </c>
      <c r="AB20" s="105">
        <f>$F20*AA20</f>
        <v>0</v>
      </c>
      <c r="AC20" s="105">
        <f>VLOOKUP(A20,Data!$A$2:$Z$179,21,FALSE)</f>
        <v>0</v>
      </c>
      <c r="AD20" s="105">
        <f t="shared" si="4"/>
        <v>0</v>
      </c>
      <c r="AE20" s="105">
        <f>J20+L20+N20+O20+Q20+S20+U20+W20+Y20+AA20+AC20</f>
        <v>27.796629004059909</v>
      </c>
      <c r="AF20" s="105">
        <f>$F20*AE20</f>
        <v>0</v>
      </c>
      <c r="AG20" s="105"/>
      <c r="AH20" s="106">
        <f>AE20-S20-W20</f>
        <v>27.424629004059909</v>
      </c>
      <c r="AI20" s="85">
        <f>AH20/AE20</f>
        <v>0.98661708223879718</v>
      </c>
      <c r="AK20" s="106">
        <f t="shared" si="6"/>
        <v>0.372</v>
      </c>
      <c r="AL20" s="106">
        <f t="shared" si="7"/>
        <v>0.372</v>
      </c>
      <c r="AN20" s="85" t="s">
        <v>31</v>
      </c>
      <c r="AO20" s="85">
        <v>0.52886682562639253</v>
      </c>
      <c r="AQ20" s="107"/>
      <c r="AR20" s="85" t="s">
        <v>34</v>
      </c>
      <c r="AS20" s="108">
        <v>150037.94570399998</v>
      </c>
    </row>
    <row r="21" spans="1:45" x14ac:dyDescent="0.2">
      <c r="C21" s="92"/>
      <c r="D21" s="92"/>
      <c r="F21" s="104"/>
      <c r="G21" s="104"/>
      <c r="H21" s="104"/>
      <c r="I21" s="104"/>
      <c r="J21" s="105"/>
      <c r="K21" s="105"/>
      <c r="L21" s="105"/>
      <c r="M21" s="105">
        <f t="shared" si="12"/>
        <v>0</v>
      </c>
      <c r="N21" s="105"/>
      <c r="O21" s="105"/>
      <c r="P21" s="105">
        <f t="shared" si="13"/>
        <v>0</v>
      </c>
      <c r="Q21" s="105"/>
      <c r="R21" s="105">
        <f t="shared" si="0"/>
        <v>0</v>
      </c>
      <c r="S21" s="105"/>
      <c r="T21" s="105">
        <f t="shared" si="14"/>
        <v>0</v>
      </c>
      <c r="U21" s="105"/>
      <c r="V21" s="91">
        <f t="shared" si="1"/>
        <v>0</v>
      </c>
      <c r="W21" s="105"/>
      <c r="X21" s="105">
        <f t="shared" si="15"/>
        <v>0</v>
      </c>
      <c r="Y21" s="105"/>
      <c r="Z21" s="105">
        <f t="shared" si="2"/>
        <v>0</v>
      </c>
      <c r="AA21" s="105"/>
      <c r="AB21" s="105">
        <f t="shared" si="3"/>
        <v>0</v>
      </c>
      <c r="AC21" s="105"/>
      <c r="AD21" s="105">
        <f t="shared" si="4"/>
        <v>0</v>
      </c>
      <c r="AE21" s="105"/>
      <c r="AF21" s="105">
        <f>$F21*AE21</f>
        <v>0</v>
      </c>
      <c r="AG21" s="105"/>
      <c r="AH21" s="106"/>
      <c r="AK21" s="106">
        <f t="shared" si="6"/>
        <v>0</v>
      </c>
      <c r="AL21" s="106">
        <f t="shared" si="7"/>
        <v>0</v>
      </c>
      <c r="AN21" s="85" t="s">
        <v>32</v>
      </c>
      <c r="AO21" s="85">
        <v>0.63947134918040449</v>
      </c>
      <c r="AQ21" s="107"/>
      <c r="AR21" s="112" t="s">
        <v>35</v>
      </c>
      <c r="AS21" s="108">
        <v>1700130.44722</v>
      </c>
    </row>
    <row r="22" spans="1:45" x14ac:dyDescent="0.2">
      <c r="A22" s="85" t="s">
        <v>21</v>
      </c>
      <c r="B22" s="101" t="s">
        <v>16</v>
      </c>
      <c r="C22" s="86" t="s">
        <v>525</v>
      </c>
      <c r="F22" s="102">
        <f>E22</f>
        <v>0</v>
      </c>
      <c r="G22" s="102"/>
      <c r="H22" s="102"/>
      <c r="I22" s="102"/>
      <c r="J22" s="105"/>
      <c r="K22" s="105"/>
      <c r="L22" s="105"/>
      <c r="M22" s="105">
        <f t="shared" si="12"/>
        <v>0</v>
      </c>
      <c r="N22" s="105"/>
      <c r="O22" s="105"/>
      <c r="P22" s="105">
        <f t="shared" si="13"/>
        <v>0</v>
      </c>
      <c r="Q22" s="105"/>
      <c r="R22" s="105">
        <f t="shared" si="0"/>
        <v>0</v>
      </c>
      <c r="S22" s="105"/>
      <c r="T22" s="105">
        <f t="shared" si="14"/>
        <v>0</v>
      </c>
      <c r="U22" s="105"/>
      <c r="V22" s="91">
        <f t="shared" si="1"/>
        <v>0</v>
      </c>
      <c r="W22" s="105"/>
      <c r="X22" s="105">
        <f t="shared" si="15"/>
        <v>0</v>
      </c>
      <c r="Y22" s="105"/>
      <c r="Z22" s="105">
        <f t="shared" si="2"/>
        <v>0</v>
      </c>
      <c r="AA22" s="105"/>
      <c r="AB22" s="105">
        <f t="shared" si="3"/>
        <v>0</v>
      </c>
      <c r="AC22" s="105"/>
      <c r="AD22" s="105">
        <f t="shared" si="4"/>
        <v>0</v>
      </c>
      <c r="AE22" s="105"/>
      <c r="AF22" s="105">
        <f t="shared" ref="AF22:AF70" si="16">$F22*AE22</f>
        <v>0</v>
      </c>
      <c r="AG22" s="105"/>
      <c r="AH22" s="106"/>
      <c r="AK22" s="106">
        <f t="shared" si="6"/>
        <v>0</v>
      </c>
      <c r="AL22" s="106">
        <f t="shared" si="7"/>
        <v>0</v>
      </c>
      <c r="AN22" s="85" t="s">
        <v>33</v>
      </c>
      <c r="AO22" s="85">
        <v>0.38670550386922881</v>
      </c>
      <c r="AQ22" s="107"/>
      <c r="AR22" s="85" t="s">
        <v>37</v>
      </c>
      <c r="AS22" s="108">
        <v>218329.39199999999</v>
      </c>
    </row>
    <row r="23" spans="1:45" x14ac:dyDescent="0.2">
      <c r="A23" s="85" t="s">
        <v>21</v>
      </c>
      <c r="B23" s="101" t="s">
        <v>28</v>
      </c>
      <c r="C23" s="86" t="s">
        <v>525</v>
      </c>
      <c r="F23" s="102">
        <f>E23</f>
        <v>0</v>
      </c>
      <c r="G23" s="102"/>
      <c r="H23" s="102"/>
      <c r="I23" s="102"/>
      <c r="J23" s="105"/>
      <c r="K23" s="105"/>
      <c r="L23" s="105"/>
      <c r="M23" s="105">
        <f t="shared" si="12"/>
        <v>0</v>
      </c>
      <c r="N23" s="105"/>
      <c r="O23" s="105"/>
      <c r="P23" s="105">
        <f t="shared" si="13"/>
        <v>0</v>
      </c>
      <c r="Q23" s="105"/>
      <c r="R23" s="105">
        <f t="shared" si="0"/>
        <v>0</v>
      </c>
      <c r="S23" s="105"/>
      <c r="T23" s="105">
        <f t="shared" si="14"/>
        <v>0</v>
      </c>
      <c r="U23" s="105"/>
      <c r="V23" s="91">
        <f t="shared" si="1"/>
        <v>0</v>
      </c>
      <c r="W23" s="105"/>
      <c r="X23" s="105">
        <f t="shared" si="15"/>
        <v>0</v>
      </c>
      <c r="Y23" s="105"/>
      <c r="Z23" s="105">
        <f t="shared" si="2"/>
        <v>0</v>
      </c>
      <c r="AA23" s="105"/>
      <c r="AB23" s="105">
        <f t="shared" ref="AB23:AB30" si="17">$F22*AA23</f>
        <v>0</v>
      </c>
      <c r="AC23" s="105"/>
      <c r="AD23" s="105">
        <f t="shared" si="4"/>
        <v>0</v>
      </c>
      <c r="AE23" s="105"/>
      <c r="AF23" s="105">
        <f t="shared" si="16"/>
        <v>0</v>
      </c>
      <c r="AG23" s="105"/>
      <c r="AH23" s="106"/>
      <c r="AK23" s="106">
        <f t="shared" si="6"/>
        <v>0</v>
      </c>
      <c r="AL23" s="106">
        <f t="shared" si="7"/>
        <v>0</v>
      </c>
      <c r="AN23" s="85" t="s">
        <v>34</v>
      </c>
      <c r="AO23" s="85">
        <v>1</v>
      </c>
      <c r="AQ23" s="107"/>
      <c r="AR23" s="85" t="s">
        <v>39</v>
      </c>
      <c r="AS23" s="108">
        <v>99992.443074999988</v>
      </c>
    </row>
    <row r="24" spans="1:45" x14ac:dyDescent="0.2">
      <c r="A24" s="85" t="s">
        <v>21</v>
      </c>
      <c r="C24" s="92" t="s">
        <v>526</v>
      </c>
      <c r="D24" s="92"/>
      <c r="F24" s="104">
        <f>SUM(F22:F23)</f>
        <v>0</v>
      </c>
      <c r="G24" s="104">
        <f>F24</f>
        <v>0</v>
      </c>
      <c r="H24" s="105">
        <f>VLOOKUP(A24,Data!$A$2:$Z$179,24,FALSE)</f>
        <v>25.265000000000001</v>
      </c>
      <c r="I24" s="105">
        <f>VLOOKUP(A24,Data!$A$2:$Z$179,25,FALSE)</f>
        <v>1.98</v>
      </c>
      <c r="J24" s="105">
        <f>VLOOKUP(A24,Data!$A$2:$Z$179,7,FALSE)</f>
        <v>23.285</v>
      </c>
      <c r="K24" s="105">
        <f>$F24*J24</f>
        <v>0</v>
      </c>
      <c r="L24" s="105">
        <f>VLOOKUP(A24,Data!$A$2:$Z$179,8,FALSE)</f>
        <v>0</v>
      </c>
      <c r="M24" s="105">
        <f>L24*F24</f>
        <v>0</v>
      </c>
      <c r="N24" s="105">
        <f>VLOOKUP(A24,Data!$A$2:$Z$179,9,FALSE)</f>
        <v>0</v>
      </c>
      <c r="O24" s="105">
        <f>VLOOKUP(A23,Data!$A$2:$Z$179,10,FALSE)</f>
        <v>0</v>
      </c>
      <c r="P24" s="105">
        <f>O24*F24</f>
        <v>0</v>
      </c>
      <c r="Q24" s="105">
        <f>VLOOKUP(A24,Data!$A$2:$Z$179,11,FALSE)</f>
        <v>0</v>
      </c>
      <c r="R24" s="105">
        <f>$F24*Q24</f>
        <v>0</v>
      </c>
      <c r="S24" s="105">
        <f>VLOOKUP(A24,Data!$A$2:$Z$179,12,FALSE)</f>
        <v>9.5679999999999996</v>
      </c>
      <c r="T24" s="105">
        <f>S24*F24</f>
        <v>0</v>
      </c>
      <c r="U24" s="105">
        <f>VLOOKUP(A24,Data!$A$2:$Z$179,13,FALSE)</f>
        <v>0.23534426301657155</v>
      </c>
      <c r="V24" s="91">
        <f>U24*F24/1000</f>
        <v>0</v>
      </c>
      <c r="W24" s="105">
        <f>VLOOKUP(A24,Data!$A$2:$Z$179,22,FALSE)</f>
        <v>0</v>
      </c>
      <c r="X24" s="105">
        <f>W24*F24</f>
        <v>0</v>
      </c>
      <c r="Y24" s="105">
        <f>VLOOKUP(A24,Data!$A$2:$Z$179,19,FALSE)</f>
        <v>0</v>
      </c>
      <c r="Z24" s="105">
        <f>$F24*Y24</f>
        <v>0</v>
      </c>
      <c r="AA24" s="105">
        <f>VLOOKUP(A24,Data!$A$2:$Z$179,20,FALSE)</f>
        <v>0</v>
      </c>
      <c r="AB24" s="105">
        <f>$F24*AA24</f>
        <v>0</v>
      </c>
      <c r="AC24" s="105">
        <f>VLOOKUP(A24,Data!$A$2:$Z$179,21,FALSE)</f>
        <v>0</v>
      </c>
      <c r="AD24" s="105">
        <f t="shared" si="4"/>
        <v>0</v>
      </c>
      <c r="AE24" s="105">
        <f>J24+L24+N24+O24+Q24+S24+U24+W24+Y24+AA24+AC24</f>
        <v>33.088344263016573</v>
      </c>
      <c r="AF24" s="105">
        <f t="shared" si="16"/>
        <v>0</v>
      </c>
      <c r="AG24" s="105"/>
      <c r="AH24" s="106">
        <f>AE24-S24-W24</f>
        <v>23.520344263016575</v>
      </c>
      <c r="AI24" s="85">
        <f>AH24/AE24</f>
        <v>0.71083473008063691</v>
      </c>
      <c r="AK24" s="106">
        <f t="shared" si="6"/>
        <v>9.5679999999999996</v>
      </c>
      <c r="AL24" s="106">
        <f t="shared" si="7"/>
        <v>9.5679999999999996</v>
      </c>
      <c r="AN24" s="85" t="s">
        <v>35</v>
      </c>
      <c r="AO24" s="85">
        <v>0.86942872485439293</v>
      </c>
      <c r="AQ24" s="107"/>
      <c r="AR24" s="85" t="s">
        <v>42</v>
      </c>
      <c r="AS24" s="108">
        <v>159285.11644800002</v>
      </c>
    </row>
    <row r="25" spans="1:45" x14ac:dyDescent="0.2">
      <c r="C25" s="92"/>
      <c r="D25" s="92"/>
      <c r="F25" s="109"/>
      <c r="G25" s="109"/>
      <c r="H25" s="109"/>
      <c r="I25" s="109"/>
      <c r="J25" s="105"/>
      <c r="K25" s="105"/>
      <c r="L25" s="105"/>
      <c r="M25" s="105">
        <f t="shared" si="12"/>
        <v>0</v>
      </c>
      <c r="N25" s="105"/>
      <c r="O25" s="105"/>
      <c r="P25" s="105">
        <f t="shared" si="13"/>
        <v>0</v>
      </c>
      <c r="Q25" s="105"/>
      <c r="R25" s="105">
        <f t="shared" si="0"/>
        <v>0</v>
      </c>
      <c r="S25" s="105"/>
      <c r="T25" s="105">
        <f t="shared" si="14"/>
        <v>0</v>
      </c>
      <c r="U25" s="105"/>
      <c r="V25" s="91">
        <f t="shared" si="1"/>
        <v>0</v>
      </c>
      <c r="W25" s="105"/>
      <c r="X25" s="105">
        <f t="shared" si="15"/>
        <v>0</v>
      </c>
      <c r="Y25" s="105"/>
      <c r="Z25" s="105">
        <f t="shared" si="2"/>
        <v>0</v>
      </c>
      <c r="AA25" s="105"/>
      <c r="AB25" s="105">
        <f t="shared" si="17"/>
        <v>0</v>
      </c>
      <c r="AC25" s="105"/>
      <c r="AD25" s="105">
        <f t="shared" si="4"/>
        <v>0</v>
      </c>
      <c r="AE25" s="105"/>
      <c r="AF25" s="105">
        <f t="shared" si="16"/>
        <v>0</v>
      </c>
      <c r="AG25" s="105"/>
      <c r="AH25" s="106"/>
      <c r="AK25" s="106">
        <f t="shared" si="6"/>
        <v>0</v>
      </c>
      <c r="AL25" s="106">
        <f t="shared" si="7"/>
        <v>0</v>
      </c>
      <c r="AN25" s="85" t="s">
        <v>37</v>
      </c>
      <c r="AO25" s="85">
        <v>0.65888934370309726</v>
      </c>
      <c r="AQ25" s="107"/>
      <c r="AR25" s="85" t="s">
        <v>46</v>
      </c>
      <c r="AS25" s="108">
        <v>125779.0444</v>
      </c>
    </row>
    <row r="26" spans="1:45" x14ac:dyDescent="0.2">
      <c r="A26" s="85" t="s">
        <v>22</v>
      </c>
      <c r="B26" s="101" t="s">
        <v>16</v>
      </c>
      <c r="C26" s="86" t="s">
        <v>527</v>
      </c>
      <c r="F26" s="102">
        <f>E26</f>
        <v>0</v>
      </c>
      <c r="G26" s="102"/>
      <c r="H26" s="102"/>
      <c r="I26" s="102"/>
      <c r="J26" s="105"/>
      <c r="K26" s="105"/>
      <c r="L26" s="105"/>
      <c r="M26" s="105">
        <f t="shared" si="12"/>
        <v>0</v>
      </c>
      <c r="N26" s="105"/>
      <c r="O26" s="105"/>
      <c r="P26" s="105">
        <f t="shared" si="13"/>
        <v>0</v>
      </c>
      <c r="Q26" s="105"/>
      <c r="R26" s="105">
        <f t="shared" si="0"/>
        <v>0</v>
      </c>
      <c r="S26" s="105"/>
      <c r="T26" s="105">
        <f t="shared" si="14"/>
        <v>0</v>
      </c>
      <c r="U26" s="105"/>
      <c r="V26" s="91">
        <f t="shared" si="1"/>
        <v>0</v>
      </c>
      <c r="W26" s="105"/>
      <c r="X26" s="105">
        <f t="shared" si="15"/>
        <v>0</v>
      </c>
      <c r="Y26" s="105"/>
      <c r="Z26" s="105">
        <f t="shared" si="2"/>
        <v>0</v>
      </c>
      <c r="AA26" s="105"/>
      <c r="AB26" s="105">
        <f t="shared" si="17"/>
        <v>0</v>
      </c>
      <c r="AC26" s="105"/>
      <c r="AD26" s="105">
        <f t="shared" si="4"/>
        <v>0</v>
      </c>
      <c r="AE26" s="105"/>
      <c r="AF26" s="105">
        <f t="shared" si="16"/>
        <v>0</v>
      </c>
      <c r="AG26" s="105"/>
      <c r="AH26" s="106"/>
      <c r="AK26" s="106">
        <f t="shared" si="6"/>
        <v>0</v>
      </c>
      <c r="AL26" s="106">
        <f t="shared" si="7"/>
        <v>0</v>
      </c>
      <c r="AN26" s="85" t="s">
        <v>39</v>
      </c>
      <c r="AO26" s="85">
        <v>0.76099611901681763</v>
      </c>
      <c r="AQ26" s="107"/>
      <c r="AR26" s="112" t="s">
        <v>47</v>
      </c>
      <c r="AS26" s="108">
        <v>46750290.847649999</v>
      </c>
    </row>
    <row r="27" spans="1:45" x14ac:dyDescent="0.2">
      <c r="A27" s="85" t="s">
        <v>22</v>
      </c>
      <c r="B27" s="101" t="s">
        <v>28</v>
      </c>
      <c r="C27" s="86" t="s">
        <v>527</v>
      </c>
      <c r="F27" s="102">
        <f>E27</f>
        <v>0</v>
      </c>
      <c r="G27" s="102"/>
      <c r="H27" s="102"/>
      <c r="I27" s="102"/>
      <c r="J27" s="105"/>
      <c r="K27" s="105"/>
      <c r="L27" s="105"/>
      <c r="M27" s="105">
        <f t="shared" si="12"/>
        <v>0</v>
      </c>
      <c r="N27" s="105"/>
      <c r="O27" s="105"/>
      <c r="P27" s="105">
        <f t="shared" si="13"/>
        <v>0</v>
      </c>
      <c r="Q27" s="105"/>
      <c r="R27" s="105">
        <f t="shared" si="0"/>
        <v>0</v>
      </c>
      <c r="S27" s="105"/>
      <c r="T27" s="105">
        <f t="shared" si="14"/>
        <v>0</v>
      </c>
      <c r="U27" s="105"/>
      <c r="V27" s="91">
        <f t="shared" si="1"/>
        <v>0</v>
      </c>
      <c r="W27" s="105"/>
      <c r="X27" s="105">
        <f t="shared" si="15"/>
        <v>0</v>
      </c>
      <c r="Y27" s="105"/>
      <c r="Z27" s="105">
        <f t="shared" si="2"/>
        <v>0</v>
      </c>
      <c r="AA27" s="105"/>
      <c r="AB27" s="105">
        <f t="shared" si="17"/>
        <v>0</v>
      </c>
      <c r="AC27" s="105"/>
      <c r="AD27" s="105">
        <f t="shared" si="4"/>
        <v>0</v>
      </c>
      <c r="AE27" s="105"/>
      <c r="AF27" s="105">
        <f t="shared" si="16"/>
        <v>0</v>
      </c>
      <c r="AG27" s="105"/>
      <c r="AH27" s="106"/>
      <c r="AK27" s="106">
        <f t="shared" si="6"/>
        <v>0</v>
      </c>
      <c r="AL27" s="106">
        <f t="shared" si="7"/>
        <v>0</v>
      </c>
      <c r="AN27" s="85" t="s">
        <v>40</v>
      </c>
      <c r="AO27" s="85">
        <v>1</v>
      </c>
      <c r="AQ27" s="107"/>
      <c r="AR27" s="112" t="s">
        <v>49</v>
      </c>
      <c r="AS27" s="108">
        <v>71247192.572002381</v>
      </c>
    </row>
    <row r="28" spans="1:45" x14ac:dyDescent="0.2">
      <c r="A28" s="85" t="s">
        <v>22</v>
      </c>
      <c r="C28" s="92" t="s">
        <v>528</v>
      </c>
      <c r="D28" s="92"/>
      <c r="F28" s="104">
        <f>SUM(F26:F27)</f>
        <v>0</v>
      </c>
      <c r="G28" s="104">
        <f>F28</f>
        <v>0</v>
      </c>
      <c r="H28" s="105">
        <f>VLOOKUP(A28,Data!$A$2:$Z$179,24,FALSE)</f>
        <v>27</v>
      </c>
      <c r="I28" s="105">
        <f>VLOOKUP(A28,Data!$A$2:$Z$179,25,FALSE)</f>
        <v>0</v>
      </c>
      <c r="J28" s="105">
        <f>VLOOKUP(A28,Data!$A$2:$Z$179,7,FALSE)</f>
        <v>27</v>
      </c>
      <c r="K28" s="105">
        <f>$F28*J28</f>
        <v>0</v>
      </c>
      <c r="L28" s="105">
        <f>VLOOKUP(A28,Data!$A$2:$Z$179,8,FALSE)</f>
        <v>0</v>
      </c>
      <c r="M28" s="105">
        <f>L28*F28</f>
        <v>0</v>
      </c>
      <c r="N28" s="105">
        <f>VLOOKUP(A28,Data!$A$2:$Z$179,9,FALSE)</f>
        <v>0</v>
      </c>
      <c r="O28" s="105">
        <f>VLOOKUP(A27,Data!$A$2:$Z$179,10,FALSE)</f>
        <v>0</v>
      </c>
      <c r="P28" s="105">
        <f>O28*F28</f>
        <v>0</v>
      </c>
      <c r="Q28" s="105">
        <f>VLOOKUP(A28,Data!$A$2:$Z$179,11,FALSE)</f>
        <v>0</v>
      </c>
      <c r="R28" s="105">
        <f>$F28*Q28</f>
        <v>0</v>
      </c>
      <c r="S28" s="105">
        <f>VLOOKUP(A28,Data!$A$2:$Z$179,12,FALSE)</f>
        <v>2.5419999999999998</v>
      </c>
      <c r="T28" s="105">
        <f>S28*F28</f>
        <v>0</v>
      </c>
      <c r="U28" s="105">
        <f>VLOOKUP(A28,Data!$A$2:$Z$179,13,FALSE)</f>
        <v>3.0243941296798513E-2</v>
      </c>
      <c r="V28" s="91">
        <f>U28*F28/1000</f>
        <v>0</v>
      </c>
      <c r="W28" s="105">
        <f>VLOOKUP(A28,Data!$A$2:$Z$179,22,FALSE)</f>
        <v>0</v>
      </c>
      <c r="X28" s="105">
        <f>W28*F28</f>
        <v>0</v>
      </c>
      <c r="Y28" s="105">
        <f>VLOOKUP(A28,Data!$A$2:$Z$179,19,FALSE)</f>
        <v>0</v>
      </c>
      <c r="Z28" s="105">
        <f>$F28*Y28</f>
        <v>0</v>
      </c>
      <c r="AA28" s="105">
        <f>VLOOKUP(A28,Data!$A$2:$Z$179,20,FALSE)</f>
        <v>0</v>
      </c>
      <c r="AB28" s="105">
        <f>$F28*AA28</f>
        <v>0</v>
      </c>
      <c r="AC28" s="105">
        <f>VLOOKUP(A28,Data!$A$2:$Z$179,21,FALSE)</f>
        <v>0</v>
      </c>
      <c r="AD28" s="105">
        <f t="shared" si="4"/>
        <v>0</v>
      </c>
      <c r="AE28" s="105">
        <f>J28+L28+N28+O28+Q28+S28+U28+W28+Y28+AA28+AC28</f>
        <v>29.572243941296801</v>
      </c>
      <c r="AF28" s="105">
        <f t="shared" si="16"/>
        <v>0</v>
      </c>
      <c r="AG28" s="105"/>
      <c r="AH28" s="106">
        <f>AE28-S28-W28</f>
        <v>27.030243941296803</v>
      </c>
      <c r="AI28" s="85">
        <f>AH28/AE28</f>
        <v>0.91404101748091671</v>
      </c>
      <c r="AK28" s="106">
        <f t="shared" si="6"/>
        <v>2.5419999999999998</v>
      </c>
      <c r="AL28" s="106">
        <f t="shared" si="7"/>
        <v>2.5419999999999998</v>
      </c>
      <c r="AN28" s="85" t="s">
        <v>41</v>
      </c>
      <c r="AO28" s="85">
        <v>1</v>
      </c>
      <c r="AQ28" s="107"/>
      <c r="AR28" s="85" t="s">
        <v>50</v>
      </c>
      <c r="AS28" s="108">
        <v>2150249.8859699997</v>
      </c>
    </row>
    <row r="29" spans="1:45" x14ac:dyDescent="0.2">
      <c r="C29" s="92"/>
      <c r="D29" s="92"/>
      <c r="F29" s="109"/>
      <c r="G29" s="109"/>
      <c r="H29" s="109"/>
      <c r="I29" s="109"/>
      <c r="J29" s="105"/>
      <c r="K29" s="105"/>
      <c r="L29" s="105"/>
      <c r="M29" s="105">
        <f t="shared" si="12"/>
        <v>0</v>
      </c>
      <c r="N29" s="105"/>
      <c r="O29" s="105"/>
      <c r="P29" s="105">
        <f t="shared" si="13"/>
        <v>0</v>
      </c>
      <c r="Q29" s="105"/>
      <c r="R29" s="105">
        <f t="shared" si="0"/>
        <v>0</v>
      </c>
      <c r="S29" s="105"/>
      <c r="T29" s="105">
        <f t="shared" si="14"/>
        <v>0</v>
      </c>
      <c r="U29" s="105"/>
      <c r="V29" s="91">
        <f t="shared" si="1"/>
        <v>0</v>
      </c>
      <c r="W29" s="105"/>
      <c r="X29" s="105">
        <f t="shared" si="15"/>
        <v>0</v>
      </c>
      <c r="Y29" s="105"/>
      <c r="Z29" s="105">
        <f t="shared" si="2"/>
        <v>0</v>
      </c>
      <c r="AA29" s="105"/>
      <c r="AB29" s="105">
        <f t="shared" si="17"/>
        <v>0</v>
      </c>
      <c r="AC29" s="105"/>
      <c r="AD29" s="105">
        <f t="shared" si="4"/>
        <v>0</v>
      </c>
      <c r="AE29" s="105"/>
      <c r="AF29" s="105">
        <f t="shared" si="16"/>
        <v>0</v>
      </c>
      <c r="AG29" s="105"/>
      <c r="AH29" s="106"/>
      <c r="AK29" s="106">
        <f t="shared" si="6"/>
        <v>0</v>
      </c>
      <c r="AL29" s="106">
        <f t="shared" si="7"/>
        <v>0</v>
      </c>
      <c r="AN29" s="85" t="s">
        <v>42</v>
      </c>
      <c r="AO29" s="85">
        <v>0.50470904044770004</v>
      </c>
      <c r="AQ29" s="107"/>
      <c r="AR29" s="112" t="s">
        <v>52</v>
      </c>
      <c r="AS29" s="108">
        <v>1781563.3358519999</v>
      </c>
    </row>
    <row r="30" spans="1:45" x14ac:dyDescent="0.2">
      <c r="A30" s="85" t="s">
        <v>23</v>
      </c>
      <c r="B30" s="101" t="s">
        <v>16</v>
      </c>
      <c r="C30" s="86" t="s">
        <v>529</v>
      </c>
      <c r="F30" s="102">
        <f>E30</f>
        <v>0</v>
      </c>
      <c r="G30" s="103"/>
      <c r="H30" s="103"/>
      <c r="I30" s="103"/>
      <c r="J30" s="105"/>
      <c r="K30" s="105"/>
      <c r="L30" s="105"/>
      <c r="M30" s="105">
        <f t="shared" si="12"/>
        <v>0</v>
      </c>
      <c r="N30" s="105"/>
      <c r="O30" s="105"/>
      <c r="P30" s="105">
        <f t="shared" si="13"/>
        <v>0</v>
      </c>
      <c r="Q30" s="105"/>
      <c r="R30" s="105">
        <f t="shared" si="0"/>
        <v>0</v>
      </c>
      <c r="S30" s="105"/>
      <c r="T30" s="105">
        <f t="shared" si="14"/>
        <v>0</v>
      </c>
      <c r="U30" s="105"/>
      <c r="V30" s="91">
        <f t="shared" si="1"/>
        <v>0</v>
      </c>
      <c r="W30" s="105"/>
      <c r="X30" s="105">
        <f t="shared" si="15"/>
        <v>0</v>
      </c>
      <c r="Y30" s="105"/>
      <c r="Z30" s="105">
        <f t="shared" si="2"/>
        <v>0</v>
      </c>
      <c r="AA30" s="105"/>
      <c r="AB30" s="105">
        <f t="shared" si="17"/>
        <v>0</v>
      </c>
      <c r="AC30" s="105"/>
      <c r="AD30" s="105">
        <f t="shared" si="4"/>
        <v>0</v>
      </c>
      <c r="AE30" s="105"/>
      <c r="AF30" s="105">
        <f t="shared" si="16"/>
        <v>0</v>
      </c>
      <c r="AG30" s="105"/>
      <c r="AH30" s="106"/>
      <c r="AK30" s="106">
        <f t="shared" si="6"/>
        <v>0</v>
      </c>
      <c r="AL30" s="106">
        <f t="shared" si="7"/>
        <v>0</v>
      </c>
      <c r="AN30" s="85" t="s">
        <v>43</v>
      </c>
      <c r="AO30" s="85">
        <v>0.87201929088148611</v>
      </c>
      <c r="AQ30" s="107"/>
      <c r="AR30" s="85" t="s">
        <v>53</v>
      </c>
      <c r="AS30" s="108">
        <v>393404.74285999994</v>
      </c>
    </row>
    <row r="31" spans="1:45" x14ac:dyDescent="0.2">
      <c r="A31" s="85" t="s">
        <v>23</v>
      </c>
      <c r="C31" s="92" t="s">
        <v>530</v>
      </c>
      <c r="D31" s="92"/>
      <c r="F31" s="104">
        <f>SUM(F30)</f>
        <v>0</v>
      </c>
      <c r="G31" s="104">
        <f>F31</f>
        <v>0</v>
      </c>
      <c r="H31" s="105">
        <f>VLOOKUP(A31,Data!$A$2:$Z$179,24,FALSE)</f>
        <v>27</v>
      </c>
      <c r="I31" s="105">
        <f>VLOOKUP(A31,Data!$A$2:$Z$179,25,FALSE)</f>
        <v>0</v>
      </c>
      <c r="J31" s="105">
        <f>VLOOKUP(A31,Data!$A$2:$Z$179,7,FALSE)</f>
        <v>27</v>
      </c>
      <c r="K31" s="105">
        <f>$F31*J31</f>
        <v>0</v>
      </c>
      <c r="L31" s="105">
        <f>VLOOKUP(A31,Data!$A$2:$Z$179,8,FALSE)</f>
        <v>0</v>
      </c>
      <c r="M31" s="105">
        <f>L31*F31</f>
        <v>0</v>
      </c>
      <c r="N31" s="105">
        <f>VLOOKUP(A31,Data!$A$2:$Z$179,9,FALSE)</f>
        <v>0</v>
      </c>
      <c r="O31" s="105">
        <f>VLOOKUP(A30,Data!$A$2:$Z$179,10,FALSE)</f>
        <v>0.56099999999999994</v>
      </c>
      <c r="P31" s="105">
        <f>O31*F31</f>
        <v>0</v>
      </c>
      <c r="Q31" s="105">
        <f>VLOOKUP(A31,Data!$A$2:$Z$179,11,FALSE)</f>
        <v>0</v>
      </c>
      <c r="R31" s="105">
        <f>$F31*Q31</f>
        <v>0</v>
      </c>
      <c r="S31" s="105">
        <f>VLOOKUP(A31,Data!$A$2:$Z$179,12,FALSE)</f>
        <v>8.4870000000000001</v>
      </c>
      <c r="T31" s="105">
        <f>S31*F31</f>
        <v>0</v>
      </c>
      <c r="U31" s="105">
        <f>VLOOKUP(A31,Data!$A$2:$Z$179,13,FALSE)</f>
        <v>0.30769456042855292</v>
      </c>
      <c r="V31" s="91">
        <f>U31*F31/1000</f>
        <v>0</v>
      </c>
      <c r="W31" s="105">
        <f>VLOOKUP(A31,Data!$A$2:$Z$179,22,FALSE)</f>
        <v>0</v>
      </c>
      <c r="X31" s="105">
        <f>W31*F31</f>
        <v>0</v>
      </c>
      <c r="Y31" s="105">
        <f>VLOOKUP(A31,Data!$A$2:$Z$179,19,FALSE)</f>
        <v>0</v>
      </c>
      <c r="Z31" s="105">
        <f>$F31*Y31</f>
        <v>0</v>
      </c>
      <c r="AA31" s="105">
        <f>VLOOKUP(A31,Data!$A$2:$Z$179,20,FALSE)</f>
        <v>0</v>
      </c>
      <c r="AB31" s="105">
        <f>$F31*AA31</f>
        <v>0</v>
      </c>
      <c r="AC31" s="105">
        <f>VLOOKUP(A31,Data!$A$2:$Z$179,21,FALSE)</f>
        <v>0</v>
      </c>
      <c r="AD31" s="105">
        <f t="shared" si="4"/>
        <v>0</v>
      </c>
      <c r="AE31" s="105">
        <f>J31+L31+N31+O31+Q31+S31+U31+W31+Y31+AA31+AC31</f>
        <v>36.355694560428553</v>
      </c>
      <c r="AF31" s="105">
        <f t="shared" si="16"/>
        <v>0</v>
      </c>
      <c r="AG31" s="105"/>
      <c r="AH31" s="106">
        <f>AE31-S31-W31</f>
        <v>27.868694560428551</v>
      </c>
      <c r="AI31" s="85">
        <f>AH31/AE31</f>
        <v>0.76655651603923147</v>
      </c>
      <c r="AK31" s="106">
        <f t="shared" si="6"/>
        <v>9.048</v>
      </c>
      <c r="AL31" s="106">
        <f t="shared" si="7"/>
        <v>9.048</v>
      </c>
      <c r="AN31" s="85" t="s">
        <v>46</v>
      </c>
      <c r="AO31" s="85">
        <v>1</v>
      </c>
      <c r="AQ31" s="107"/>
      <c r="AR31" s="112" t="s">
        <v>56</v>
      </c>
      <c r="AS31" s="108">
        <v>726929.34623999998</v>
      </c>
    </row>
    <row r="32" spans="1:45" x14ac:dyDescent="0.2">
      <c r="C32" s="92"/>
      <c r="D32" s="92"/>
      <c r="F32" s="109"/>
      <c r="G32" s="109"/>
      <c r="H32" s="109"/>
      <c r="I32" s="109"/>
      <c r="J32" s="105"/>
      <c r="K32" s="105"/>
      <c r="L32" s="105"/>
      <c r="M32" s="105">
        <f t="shared" si="12"/>
        <v>0</v>
      </c>
      <c r="N32" s="105"/>
      <c r="O32" s="105"/>
      <c r="P32" s="105">
        <f t="shared" si="13"/>
        <v>0</v>
      </c>
      <c r="Q32" s="105"/>
      <c r="R32" s="105">
        <f t="shared" si="0"/>
        <v>0</v>
      </c>
      <c r="S32" s="105"/>
      <c r="T32" s="105">
        <f t="shared" si="14"/>
        <v>0</v>
      </c>
      <c r="U32" s="105"/>
      <c r="V32" s="91">
        <f t="shared" si="1"/>
        <v>0</v>
      </c>
      <c r="W32" s="105"/>
      <c r="X32" s="105">
        <f t="shared" si="15"/>
        <v>0</v>
      </c>
      <c r="Y32" s="105"/>
      <c r="Z32" s="105">
        <f t="shared" si="2"/>
        <v>0</v>
      </c>
      <c r="AA32" s="105"/>
      <c r="AB32" s="105">
        <f>$F32*AA32</f>
        <v>0</v>
      </c>
      <c r="AC32" s="105"/>
      <c r="AD32" s="105">
        <f t="shared" si="4"/>
        <v>0</v>
      </c>
      <c r="AE32" s="105"/>
      <c r="AF32" s="105">
        <f t="shared" si="16"/>
        <v>0</v>
      </c>
      <c r="AG32" s="105"/>
      <c r="AH32" s="106"/>
      <c r="AK32" s="106">
        <f t="shared" si="6"/>
        <v>0</v>
      </c>
      <c r="AL32" s="106">
        <f t="shared" si="7"/>
        <v>0</v>
      </c>
      <c r="AN32" s="85" t="s">
        <v>47</v>
      </c>
      <c r="AO32" s="85">
        <v>0.44781359719119052</v>
      </c>
      <c r="AQ32" s="107"/>
      <c r="AR32" s="85" t="s">
        <v>57</v>
      </c>
      <c r="AS32" s="108">
        <v>1839057.58696</v>
      </c>
    </row>
    <row r="33" spans="1:45" x14ac:dyDescent="0.2">
      <c r="A33" s="85" t="s">
        <v>24</v>
      </c>
      <c r="B33" s="101" t="s">
        <v>25</v>
      </c>
      <c r="C33" s="86" t="s">
        <v>531</v>
      </c>
      <c r="F33" s="102">
        <f>E33</f>
        <v>0</v>
      </c>
      <c r="G33" s="102"/>
      <c r="H33" s="102"/>
      <c r="I33" s="102"/>
      <c r="J33" s="105"/>
      <c r="K33" s="105"/>
      <c r="L33" s="105"/>
      <c r="M33" s="105">
        <f t="shared" si="12"/>
        <v>0</v>
      </c>
      <c r="N33" s="105"/>
      <c r="O33" s="105"/>
      <c r="P33" s="105">
        <f t="shared" si="13"/>
        <v>0</v>
      </c>
      <c r="Q33" s="105"/>
      <c r="R33" s="105">
        <f t="shared" si="0"/>
        <v>0</v>
      </c>
      <c r="S33" s="105"/>
      <c r="T33" s="105">
        <f t="shared" si="14"/>
        <v>0</v>
      </c>
      <c r="U33" s="105"/>
      <c r="V33" s="91">
        <f t="shared" si="1"/>
        <v>0</v>
      </c>
      <c r="W33" s="105"/>
      <c r="X33" s="105">
        <f t="shared" si="15"/>
        <v>0</v>
      </c>
      <c r="Y33" s="105"/>
      <c r="Z33" s="105">
        <f t="shared" si="2"/>
        <v>0</v>
      </c>
      <c r="AA33" s="105"/>
      <c r="AB33" s="105">
        <f>$F33*AA33</f>
        <v>0</v>
      </c>
      <c r="AC33" s="105"/>
      <c r="AD33" s="105">
        <f t="shared" si="4"/>
        <v>0</v>
      </c>
      <c r="AE33" s="105"/>
      <c r="AF33" s="105">
        <f t="shared" si="16"/>
        <v>0</v>
      </c>
      <c r="AG33" s="105"/>
      <c r="AH33" s="106"/>
      <c r="AK33" s="106">
        <f t="shared" si="6"/>
        <v>0</v>
      </c>
      <c r="AL33" s="106">
        <f t="shared" si="7"/>
        <v>0</v>
      </c>
      <c r="AN33" s="85" t="s">
        <v>49</v>
      </c>
      <c r="AO33" s="85">
        <v>0.612578484721641</v>
      </c>
      <c r="AQ33" s="107"/>
      <c r="AR33" s="85" t="s">
        <v>59</v>
      </c>
      <c r="AS33" s="108">
        <v>189651.77768999999</v>
      </c>
    </row>
    <row r="34" spans="1:45" x14ac:dyDescent="0.2">
      <c r="A34" s="85" t="s">
        <v>24</v>
      </c>
      <c r="B34" s="101" t="s">
        <v>60</v>
      </c>
      <c r="C34" s="86" t="s">
        <v>531</v>
      </c>
      <c r="F34" s="102">
        <f>E34</f>
        <v>0</v>
      </c>
      <c r="G34" s="102"/>
      <c r="H34" s="102"/>
      <c r="I34" s="102"/>
      <c r="J34" s="105"/>
      <c r="K34" s="105"/>
      <c r="L34" s="105"/>
      <c r="M34" s="105">
        <f t="shared" si="12"/>
        <v>0</v>
      </c>
      <c r="N34" s="105"/>
      <c r="O34" s="105"/>
      <c r="P34" s="105">
        <f t="shared" si="13"/>
        <v>0</v>
      </c>
      <c r="Q34" s="105"/>
      <c r="R34" s="105">
        <f t="shared" si="0"/>
        <v>0</v>
      </c>
      <c r="S34" s="105"/>
      <c r="T34" s="105">
        <f t="shared" si="14"/>
        <v>0</v>
      </c>
      <c r="U34" s="105"/>
      <c r="V34" s="91">
        <f t="shared" si="1"/>
        <v>0</v>
      </c>
      <c r="W34" s="105"/>
      <c r="X34" s="105">
        <f t="shared" si="15"/>
        <v>0</v>
      </c>
      <c r="Y34" s="105"/>
      <c r="Z34" s="105">
        <f t="shared" si="2"/>
        <v>0</v>
      </c>
      <c r="AA34" s="105"/>
      <c r="AB34" s="105">
        <f>$F34*AA34</f>
        <v>0</v>
      </c>
      <c r="AC34" s="105"/>
      <c r="AD34" s="105">
        <f t="shared" si="4"/>
        <v>0</v>
      </c>
      <c r="AE34" s="105"/>
      <c r="AF34" s="105">
        <f t="shared" si="16"/>
        <v>0</v>
      </c>
      <c r="AG34" s="105"/>
      <c r="AH34" s="106"/>
      <c r="AK34" s="106">
        <f t="shared" si="6"/>
        <v>0</v>
      </c>
      <c r="AL34" s="106">
        <f t="shared" si="7"/>
        <v>0</v>
      </c>
      <c r="AN34" s="85" t="s">
        <v>50</v>
      </c>
      <c r="AO34" s="85">
        <v>0.46159578126791229</v>
      </c>
      <c r="AQ34" s="107"/>
      <c r="AR34" s="85" t="s">
        <v>65</v>
      </c>
      <c r="AS34" s="108">
        <v>351832.42499999999</v>
      </c>
    </row>
    <row r="35" spans="1:45" x14ac:dyDescent="0.2">
      <c r="A35" s="85" t="s">
        <v>24</v>
      </c>
      <c r="C35" s="92" t="s">
        <v>532</v>
      </c>
      <c r="D35" s="92"/>
      <c r="F35" s="104">
        <f>SUM(F33:F34)</f>
        <v>0</v>
      </c>
      <c r="G35" s="104">
        <f>F35</f>
        <v>0</v>
      </c>
      <c r="H35" s="105">
        <f>VLOOKUP(A35,Data!$A$2:$Z$179,24,FALSE)</f>
        <v>27</v>
      </c>
      <c r="I35" s="105">
        <f>VLOOKUP(A35,Data!$A$2:$Z$179,25,FALSE)</f>
        <v>0</v>
      </c>
      <c r="J35" s="105">
        <f>VLOOKUP(A35,Data!$A$2:$Z$179,7,FALSE)</f>
        <v>27</v>
      </c>
      <c r="K35" s="105">
        <f>$F35*J35</f>
        <v>0</v>
      </c>
      <c r="L35" s="105">
        <f>VLOOKUP(A35,Data!$A$2:$Z$179,8,FALSE)</f>
        <v>0</v>
      </c>
      <c r="M35" s="105">
        <f>L35*F35</f>
        <v>0</v>
      </c>
      <c r="N35" s="105">
        <f>VLOOKUP(A35,Data!$A$2:$Z$179,9,FALSE)</f>
        <v>0</v>
      </c>
      <c r="O35" s="105">
        <f>VLOOKUP(A34,Data!$A$2:$Z$179,10,FALSE)</f>
        <v>0</v>
      </c>
      <c r="P35" s="105">
        <f>O35*F35</f>
        <v>0</v>
      </c>
      <c r="Q35" s="105">
        <f>VLOOKUP(A35,Data!$A$2:$Z$179,11,FALSE)</f>
        <v>0</v>
      </c>
      <c r="R35" s="105">
        <f>$F35*Q35</f>
        <v>0</v>
      </c>
      <c r="S35" s="105">
        <f>VLOOKUP(A35,Data!$A$2:$Z$179,12,FALSE)</f>
        <v>0</v>
      </c>
      <c r="T35" s="105">
        <f>S35*F35</f>
        <v>0</v>
      </c>
      <c r="U35" s="105">
        <f>VLOOKUP(A35,Data!$A$2:$Z$179,13,FALSE)</f>
        <v>8.7425383411431246E-2</v>
      </c>
      <c r="V35" s="91">
        <f>U35*F35/1000</f>
        <v>0</v>
      </c>
      <c r="W35" s="105">
        <f>VLOOKUP(A35,Data!$A$2:$Z$179,22,FALSE)</f>
        <v>0</v>
      </c>
      <c r="X35" s="105">
        <f>W35*F35</f>
        <v>0</v>
      </c>
      <c r="Y35" s="105">
        <f>VLOOKUP(A35,Data!$A$2:$Z$179,19,FALSE)</f>
        <v>0</v>
      </c>
      <c r="Z35" s="105">
        <f>$F35*Y35</f>
        <v>0</v>
      </c>
      <c r="AA35" s="105">
        <f>VLOOKUP(A35,Data!$A$2:$Z$179,20,FALSE)</f>
        <v>0</v>
      </c>
      <c r="AB35" s="105">
        <f>$F35*AA35</f>
        <v>0</v>
      </c>
      <c r="AC35" s="105">
        <f>VLOOKUP(A35,Data!$A$2:$Z$179,21,FALSE)</f>
        <v>0</v>
      </c>
      <c r="AD35" s="105">
        <f t="shared" si="4"/>
        <v>0</v>
      </c>
      <c r="AE35" s="105">
        <f>J35+L35+N35+O35+Q35+S35+U35+W35+Y35+AA35+AC35</f>
        <v>27.087425383411432</v>
      </c>
      <c r="AF35" s="105">
        <f t="shared" si="16"/>
        <v>0</v>
      </c>
      <c r="AG35" s="105"/>
      <c r="AH35" s="106">
        <f>AE35-S35-W35</f>
        <v>27.087425383411432</v>
      </c>
      <c r="AI35" s="85">
        <f>AH35/AE35</f>
        <v>1</v>
      </c>
      <c r="AK35" s="106">
        <f t="shared" si="6"/>
        <v>0</v>
      </c>
      <c r="AL35" s="106">
        <f t="shared" si="7"/>
        <v>0</v>
      </c>
      <c r="AN35" s="85" t="s">
        <v>52</v>
      </c>
      <c r="AO35" s="85">
        <v>0.47481620018057524</v>
      </c>
      <c r="AQ35" s="107"/>
      <c r="AR35" s="85" t="s">
        <v>66</v>
      </c>
      <c r="AS35" s="108">
        <v>256674.27</v>
      </c>
    </row>
    <row r="36" spans="1:45" x14ac:dyDescent="0.2">
      <c r="C36" s="92"/>
      <c r="D36" s="92"/>
      <c r="F36" s="109"/>
      <c r="G36" s="109"/>
      <c r="H36" s="109"/>
      <c r="I36" s="109"/>
      <c r="J36" s="105"/>
      <c r="K36" s="105"/>
      <c r="L36" s="105"/>
      <c r="M36" s="105">
        <f t="shared" si="12"/>
        <v>0</v>
      </c>
      <c r="N36" s="105"/>
      <c r="O36" s="105"/>
      <c r="P36" s="105">
        <f t="shared" si="13"/>
        <v>0</v>
      </c>
      <c r="Q36" s="105"/>
      <c r="R36" s="105">
        <f t="shared" si="0"/>
        <v>0</v>
      </c>
      <c r="S36" s="105"/>
      <c r="T36" s="105">
        <f t="shared" si="14"/>
        <v>0</v>
      </c>
      <c r="U36" s="105"/>
      <c r="V36" s="91">
        <f t="shared" si="1"/>
        <v>0</v>
      </c>
      <c r="W36" s="105"/>
      <c r="X36" s="105">
        <f t="shared" si="15"/>
        <v>0</v>
      </c>
      <c r="Y36" s="105"/>
      <c r="Z36" s="105">
        <f t="shared" si="2"/>
        <v>0</v>
      </c>
      <c r="AA36" s="105"/>
      <c r="AB36" s="105">
        <f t="shared" ref="AB36:AB41" si="18">$F35*AA36</f>
        <v>0</v>
      </c>
      <c r="AC36" s="105"/>
      <c r="AD36" s="105">
        <f t="shared" si="4"/>
        <v>0</v>
      </c>
      <c r="AE36" s="105"/>
      <c r="AF36" s="105">
        <f t="shared" si="16"/>
        <v>0</v>
      </c>
      <c r="AG36" s="105"/>
      <c r="AH36" s="106"/>
      <c r="AK36" s="106">
        <f t="shared" si="6"/>
        <v>0</v>
      </c>
      <c r="AL36" s="106">
        <f t="shared" si="7"/>
        <v>0</v>
      </c>
      <c r="AN36" s="85" t="s">
        <v>53</v>
      </c>
      <c r="AO36" s="85">
        <v>0.54805888705735228</v>
      </c>
      <c r="AQ36" s="107"/>
      <c r="AR36" s="85" t="s">
        <v>72</v>
      </c>
      <c r="AS36" s="108">
        <v>258319705.175064</v>
      </c>
    </row>
    <row r="37" spans="1:45" x14ac:dyDescent="0.2">
      <c r="A37" s="85" t="s">
        <v>26</v>
      </c>
      <c r="B37" s="101" t="s">
        <v>25</v>
      </c>
      <c r="C37" s="86" t="s">
        <v>533</v>
      </c>
      <c r="F37" s="102">
        <f>E37</f>
        <v>0</v>
      </c>
      <c r="G37" s="102"/>
      <c r="H37" s="102"/>
      <c r="I37" s="102"/>
      <c r="J37" s="105"/>
      <c r="K37" s="105"/>
      <c r="L37" s="105"/>
      <c r="M37" s="105">
        <f t="shared" si="12"/>
        <v>0</v>
      </c>
      <c r="N37" s="105"/>
      <c r="O37" s="105"/>
      <c r="P37" s="105">
        <f t="shared" si="13"/>
        <v>0</v>
      </c>
      <c r="Q37" s="105"/>
      <c r="R37" s="105">
        <f t="shared" si="0"/>
        <v>0</v>
      </c>
      <c r="S37" s="105"/>
      <c r="T37" s="105">
        <f t="shared" si="14"/>
        <v>0</v>
      </c>
      <c r="U37" s="105"/>
      <c r="V37" s="91">
        <f t="shared" si="1"/>
        <v>0</v>
      </c>
      <c r="W37" s="105"/>
      <c r="X37" s="105">
        <f t="shared" si="15"/>
        <v>0</v>
      </c>
      <c r="Y37" s="105"/>
      <c r="Z37" s="105">
        <f t="shared" si="2"/>
        <v>0</v>
      </c>
      <c r="AA37" s="105"/>
      <c r="AB37" s="105">
        <f t="shared" si="18"/>
        <v>0</v>
      </c>
      <c r="AC37" s="105"/>
      <c r="AD37" s="105">
        <f t="shared" si="4"/>
        <v>0</v>
      </c>
      <c r="AE37" s="105"/>
      <c r="AF37" s="105">
        <f t="shared" si="16"/>
        <v>0</v>
      </c>
      <c r="AG37" s="105"/>
      <c r="AH37" s="106"/>
      <c r="AK37" s="106">
        <f t="shared" si="6"/>
        <v>0</v>
      </c>
      <c r="AL37" s="106">
        <f t="shared" si="7"/>
        <v>0</v>
      </c>
      <c r="AN37" s="85" t="s">
        <v>56</v>
      </c>
      <c r="AO37" s="85">
        <v>0.41238260009886313</v>
      </c>
      <c r="AQ37" s="107"/>
      <c r="AR37" s="112" t="s">
        <v>74</v>
      </c>
      <c r="AS37" s="108">
        <v>386424.90899999999</v>
      </c>
    </row>
    <row r="38" spans="1:45" x14ac:dyDescent="0.2">
      <c r="A38" s="85" t="s">
        <v>26</v>
      </c>
      <c r="B38" s="101" t="s">
        <v>218</v>
      </c>
      <c r="C38" s="86" t="s">
        <v>533</v>
      </c>
      <c r="F38" s="102">
        <f>E38</f>
        <v>0</v>
      </c>
      <c r="G38" s="102"/>
      <c r="H38" s="102"/>
      <c r="I38" s="102"/>
      <c r="J38" s="105"/>
      <c r="K38" s="105"/>
      <c r="L38" s="105"/>
      <c r="M38" s="105">
        <f t="shared" si="12"/>
        <v>0</v>
      </c>
      <c r="N38" s="105"/>
      <c r="O38" s="105"/>
      <c r="P38" s="105">
        <f t="shared" si="13"/>
        <v>0</v>
      </c>
      <c r="Q38" s="105"/>
      <c r="R38" s="105">
        <f t="shared" si="0"/>
        <v>0</v>
      </c>
      <c r="S38" s="105"/>
      <c r="T38" s="105">
        <f t="shared" si="14"/>
        <v>0</v>
      </c>
      <c r="U38" s="105"/>
      <c r="V38" s="91">
        <f t="shared" si="1"/>
        <v>0</v>
      </c>
      <c r="W38" s="105"/>
      <c r="X38" s="105">
        <f t="shared" si="15"/>
        <v>0</v>
      </c>
      <c r="Y38" s="105"/>
      <c r="Z38" s="105">
        <f t="shared" si="2"/>
        <v>0</v>
      </c>
      <c r="AA38" s="105"/>
      <c r="AB38" s="105">
        <f t="shared" si="18"/>
        <v>0</v>
      </c>
      <c r="AC38" s="105"/>
      <c r="AD38" s="105">
        <f t="shared" si="4"/>
        <v>0</v>
      </c>
      <c r="AE38" s="105"/>
      <c r="AF38" s="105">
        <f t="shared" si="16"/>
        <v>0</v>
      </c>
      <c r="AG38" s="105"/>
      <c r="AH38" s="106"/>
      <c r="AK38" s="106">
        <f t="shared" si="6"/>
        <v>0</v>
      </c>
      <c r="AL38" s="106">
        <f t="shared" si="7"/>
        <v>0</v>
      </c>
      <c r="AN38" s="85" t="s">
        <v>57</v>
      </c>
      <c r="AO38" s="85">
        <v>0.60906695295725155</v>
      </c>
      <c r="AQ38" s="107"/>
      <c r="AR38" s="85" t="s">
        <v>76</v>
      </c>
      <c r="AS38" s="108">
        <v>73693949.924968004</v>
      </c>
    </row>
    <row r="39" spans="1:45" x14ac:dyDescent="0.2">
      <c r="A39" s="85" t="s">
        <v>26</v>
      </c>
      <c r="C39" s="92" t="s">
        <v>534</v>
      </c>
      <c r="D39" s="92"/>
      <c r="F39" s="104">
        <f>SUM(F37:F38)</f>
        <v>0</v>
      </c>
      <c r="G39" s="104">
        <f>F39</f>
        <v>0</v>
      </c>
      <c r="H39" s="105">
        <f>VLOOKUP(A39,Data!$A$2:$Z$179,24,FALSE)</f>
        <v>27</v>
      </c>
      <c r="I39" s="105">
        <f>VLOOKUP(A39,Data!$A$2:$Z$179,25,FALSE)</f>
        <v>0</v>
      </c>
      <c r="J39" s="105">
        <f>VLOOKUP(A39,Data!$A$2:$Z$179,7,FALSE)</f>
        <v>27</v>
      </c>
      <c r="K39" s="105">
        <f>$F39*J39</f>
        <v>0</v>
      </c>
      <c r="L39" s="105">
        <f>VLOOKUP(A39,Data!$A$2:$Z$179,8,FALSE)</f>
        <v>0</v>
      </c>
      <c r="M39" s="105">
        <f>L39*F39</f>
        <v>0</v>
      </c>
      <c r="N39" s="105">
        <f>VLOOKUP(A39,Data!$A$2:$Z$179,9,FALSE)</f>
        <v>0</v>
      </c>
      <c r="O39" s="105">
        <f>VLOOKUP(A38,Data!$A$2:$Z$179,10,FALSE)</f>
        <v>0</v>
      </c>
      <c r="P39" s="105">
        <f>O39*F39</f>
        <v>0</v>
      </c>
      <c r="Q39" s="105">
        <f>VLOOKUP(A39,Data!$A$2:$Z$179,11,FALSE)</f>
        <v>0</v>
      </c>
      <c r="R39" s="105">
        <f>$F39*Q39</f>
        <v>0</v>
      </c>
      <c r="S39" s="105">
        <f>VLOOKUP(A39,Data!$A$2:$Z$179,12,FALSE)</f>
        <v>0</v>
      </c>
      <c r="T39" s="105">
        <f>S39*F39</f>
        <v>0</v>
      </c>
      <c r="U39" s="105">
        <f>VLOOKUP(A39,Data!$A$2:$Z$179,13,FALSE)</f>
        <v>0</v>
      </c>
      <c r="V39" s="91">
        <f>U39*F39/1000</f>
        <v>0</v>
      </c>
      <c r="W39" s="105">
        <f>VLOOKUP(A39,Data!$A$2:$Z$179,22,FALSE)</f>
        <v>0</v>
      </c>
      <c r="X39" s="105">
        <f>W39*F39</f>
        <v>0</v>
      </c>
      <c r="Y39" s="105">
        <f>VLOOKUP(A39,Data!$A$2:$Z$179,19,FALSE)</f>
        <v>0</v>
      </c>
      <c r="Z39" s="105">
        <f>$F39*Y39</f>
        <v>0</v>
      </c>
      <c r="AA39" s="105">
        <f>VLOOKUP(A39,Data!$A$2:$Z$179,20,FALSE)</f>
        <v>0</v>
      </c>
      <c r="AB39" s="105">
        <f>$F39*AA39</f>
        <v>0</v>
      </c>
      <c r="AC39" s="105">
        <f>VLOOKUP(A39,Data!$A$2:$Z$179,21,FALSE)</f>
        <v>0</v>
      </c>
      <c r="AD39" s="105">
        <f t="shared" si="4"/>
        <v>0</v>
      </c>
      <c r="AE39" s="105">
        <f>J39+L39+N39+O39+Q39+S39+U39+W39+Y39+AA39+AC39</f>
        <v>27</v>
      </c>
      <c r="AF39" s="105">
        <f t="shared" si="16"/>
        <v>0</v>
      </c>
      <c r="AG39" s="105"/>
      <c r="AH39" s="106">
        <f>AE39-S39-W39</f>
        <v>27</v>
      </c>
      <c r="AI39" s="85">
        <f>AH39/AE39</f>
        <v>1</v>
      </c>
      <c r="AK39" s="106">
        <f t="shared" si="6"/>
        <v>0</v>
      </c>
      <c r="AL39" s="106">
        <f t="shared" si="7"/>
        <v>0</v>
      </c>
      <c r="AN39" s="85" t="s">
        <v>59</v>
      </c>
      <c r="AO39" s="85">
        <v>1</v>
      </c>
      <c r="AQ39" s="107"/>
      <c r="AR39" s="112" t="s">
        <v>78</v>
      </c>
      <c r="AS39" s="108">
        <v>16564415.755110003</v>
      </c>
    </row>
    <row r="40" spans="1:45" x14ac:dyDescent="0.2">
      <c r="C40" s="92"/>
      <c r="D40" s="92"/>
      <c r="F40" s="109"/>
      <c r="G40" s="109"/>
      <c r="H40" s="109"/>
      <c r="I40" s="109"/>
      <c r="J40" s="105"/>
      <c r="K40" s="105"/>
      <c r="L40" s="105"/>
      <c r="M40" s="105">
        <f t="shared" si="12"/>
        <v>0</v>
      </c>
      <c r="N40" s="105"/>
      <c r="O40" s="105"/>
      <c r="P40" s="105">
        <f t="shared" si="13"/>
        <v>0</v>
      </c>
      <c r="Q40" s="105"/>
      <c r="R40" s="105">
        <f t="shared" si="0"/>
        <v>0</v>
      </c>
      <c r="S40" s="105"/>
      <c r="T40" s="105">
        <f t="shared" si="14"/>
        <v>0</v>
      </c>
      <c r="U40" s="105"/>
      <c r="V40" s="91">
        <f t="shared" ref="V40:V88" si="19">U40*F40/1000</f>
        <v>0</v>
      </c>
      <c r="W40" s="105"/>
      <c r="X40" s="105">
        <f t="shared" si="15"/>
        <v>0</v>
      </c>
      <c r="Y40" s="105"/>
      <c r="Z40" s="105">
        <f t="shared" si="2"/>
        <v>0</v>
      </c>
      <c r="AA40" s="105"/>
      <c r="AB40" s="105">
        <f t="shared" si="18"/>
        <v>0</v>
      </c>
      <c r="AC40" s="105"/>
      <c r="AD40" s="105">
        <f t="shared" si="4"/>
        <v>0</v>
      </c>
      <c r="AE40" s="105"/>
      <c r="AF40" s="105">
        <f t="shared" si="16"/>
        <v>0</v>
      </c>
      <c r="AG40" s="105"/>
      <c r="AH40" s="106"/>
      <c r="AK40" s="106">
        <f t="shared" si="6"/>
        <v>0</v>
      </c>
      <c r="AL40" s="106">
        <f t="shared" si="7"/>
        <v>0</v>
      </c>
      <c r="AN40" s="85" t="s">
        <v>61</v>
      </c>
      <c r="AO40" s="85">
        <v>0.66551732630593796</v>
      </c>
      <c r="AQ40" s="107"/>
      <c r="AR40" s="85" t="s">
        <v>80</v>
      </c>
      <c r="AS40" s="108">
        <v>1590010.5305000001</v>
      </c>
    </row>
    <row r="41" spans="1:45" x14ac:dyDescent="0.2">
      <c r="A41" s="85" t="s">
        <v>27</v>
      </c>
      <c r="B41" s="101" t="s">
        <v>28</v>
      </c>
      <c r="C41" s="86" t="s">
        <v>535</v>
      </c>
      <c r="F41" s="102">
        <f>E41</f>
        <v>0</v>
      </c>
      <c r="G41" s="103"/>
      <c r="H41" s="103"/>
      <c r="I41" s="103"/>
      <c r="J41" s="105"/>
      <c r="K41" s="105"/>
      <c r="L41" s="105"/>
      <c r="M41" s="105">
        <f t="shared" si="12"/>
        <v>0</v>
      </c>
      <c r="N41" s="105"/>
      <c r="O41" s="105"/>
      <c r="P41" s="105">
        <f t="shared" si="13"/>
        <v>0</v>
      </c>
      <c r="Q41" s="105"/>
      <c r="R41" s="105">
        <f t="shared" si="0"/>
        <v>0</v>
      </c>
      <c r="S41" s="105"/>
      <c r="T41" s="105">
        <f t="shared" si="14"/>
        <v>0</v>
      </c>
      <c r="U41" s="105"/>
      <c r="V41" s="91">
        <f t="shared" si="19"/>
        <v>0</v>
      </c>
      <c r="W41" s="105"/>
      <c r="X41" s="105">
        <f t="shared" si="15"/>
        <v>0</v>
      </c>
      <c r="Y41" s="105"/>
      <c r="Z41" s="105">
        <f t="shared" si="2"/>
        <v>0</v>
      </c>
      <c r="AA41" s="105"/>
      <c r="AB41" s="105">
        <f t="shared" si="18"/>
        <v>0</v>
      </c>
      <c r="AC41" s="105"/>
      <c r="AD41" s="105">
        <f t="shared" si="4"/>
        <v>0</v>
      </c>
      <c r="AE41" s="105"/>
      <c r="AF41" s="105">
        <f t="shared" si="16"/>
        <v>0</v>
      </c>
      <c r="AG41" s="105"/>
      <c r="AH41" s="106"/>
      <c r="AK41" s="106">
        <f t="shared" si="6"/>
        <v>0</v>
      </c>
      <c r="AL41" s="106">
        <f t="shared" si="7"/>
        <v>0</v>
      </c>
      <c r="AN41" s="85" t="s">
        <v>62</v>
      </c>
      <c r="AO41" s="85">
        <v>0.5155426481660752</v>
      </c>
      <c r="AQ41" s="107"/>
      <c r="AR41" s="85" t="s">
        <v>89</v>
      </c>
      <c r="AS41" s="108">
        <v>5750012.6189999999</v>
      </c>
    </row>
    <row r="42" spans="1:45" x14ac:dyDescent="0.2">
      <c r="A42" s="85" t="s">
        <v>27</v>
      </c>
      <c r="C42" s="92" t="s">
        <v>536</v>
      </c>
      <c r="D42" s="92"/>
      <c r="F42" s="104">
        <f>SUM(F41)</f>
        <v>0</v>
      </c>
      <c r="G42" s="104">
        <f>F42</f>
        <v>0</v>
      </c>
      <c r="H42" s="105">
        <f>VLOOKUP(A42,Data!$A$2:$Z$179,24,FALSE)</f>
        <v>27</v>
      </c>
      <c r="I42" s="105">
        <f>VLOOKUP(A42,Data!$A$2:$Z$179,25,FALSE)</f>
        <v>4.1050000000000004</v>
      </c>
      <c r="J42" s="105">
        <f>VLOOKUP(A42,Data!$A$2:$Z$179,7,FALSE)</f>
        <v>22.895</v>
      </c>
      <c r="K42" s="105">
        <f>$F42*J42</f>
        <v>0</v>
      </c>
      <c r="L42" s="105">
        <f>VLOOKUP(A42,Data!$A$2:$Z$179,8,FALSE)</f>
        <v>0</v>
      </c>
      <c r="M42" s="105">
        <f>L42*F42</f>
        <v>0</v>
      </c>
      <c r="N42" s="105">
        <f>VLOOKUP(A42,Data!$A$2:$Z$179,9,FALSE)</f>
        <v>0</v>
      </c>
      <c r="O42" s="105">
        <f>VLOOKUP(A41,Data!$A$2:$Z$179,10,FALSE)</f>
        <v>0</v>
      </c>
      <c r="P42" s="105">
        <f>O42*F42</f>
        <v>0</v>
      </c>
      <c r="Q42" s="105">
        <f>VLOOKUP(A42,Data!$A$2:$Z$179,11,FALSE)</f>
        <v>0</v>
      </c>
      <c r="R42" s="105">
        <f>$F42*Q42</f>
        <v>0</v>
      </c>
      <c r="S42" s="105">
        <f>VLOOKUP(A42,Data!$A$2:$Z$179,12,FALSE)</f>
        <v>6.4249999999999998</v>
      </c>
      <c r="T42" s="105">
        <f>S42*F42</f>
        <v>0</v>
      </c>
      <c r="U42" s="105">
        <f>VLOOKUP(A42,Data!$A$2:$Z$179,13,FALSE)</f>
        <v>5.2992736212703312E-2</v>
      </c>
      <c r="V42" s="91">
        <f t="shared" si="19"/>
        <v>0</v>
      </c>
      <c r="W42" s="105">
        <f>VLOOKUP(A42,Data!$A$2:$Z$179,22,FALSE)</f>
        <v>0</v>
      </c>
      <c r="X42" s="105">
        <f>W42*F42</f>
        <v>0</v>
      </c>
      <c r="Y42" s="105">
        <f>VLOOKUP(A42,Data!$A$2:$Z$179,19,FALSE)</f>
        <v>0</v>
      </c>
      <c r="Z42" s="105">
        <f>$F42*Y42</f>
        <v>0</v>
      </c>
      <c r="AA42" s="105">
        <f>VLOOKUP(A42,Data!$A$2:$Z$179,20,FALSE)</f>
        <v>0</v>
      </c>
      <c r="AB42" s="105">
        <f>$F42*AA42</f>
        <v>0</v>
      </c>
      <c r="AC42" s="105">
        <f>VLOOKUP(A42,Data!$A$2:$Z$179,21,FALSE)</f>
        <v>0</v>
      </c>
      <c r="AD42" s="105">
        <f t="shared" si="4"/>
        <v>0</v>
      </c>
      <c r="AE42" s="105">
        <f>J42+L42+N42+O42+Q42+S42+U42+W42+Y42+AA42+AC42</f>
        <v>29.372992736212705</v>
      </c>
      <c r="AF42" s="105">
        <f t="shared" si="16"/>
        <v>0</v>
      </c>
      <c r="AG42" s="105"/>
      <c r="AH42" s="106">
        <f>AE42-S42-W42</f>
        <v>22.947992736212704</v>
      </c>
      <c r="AI42" s="85">
        <f>AH42/AE42</f>
        <v>0.78126164883161897</v>
      </c>
      <c r="AK42" s="106">
        <f t="shared" si="6"/>
        <v>6.4249999999999998</v>
      </c>
      <c r="AL42" s="106">
        <f t="shared" si="7"/>
        <v>6.4249999999999998</v>
      </c>
      <c r="AN42" s="85" t="s">
        <v>63</v>
      </c>
      <c r="AO42" s="85">
        <v>0.66362493409579426</v>
      </c>
      <c r="AQ42" s="107"/>
      <c r="AR42" s="85" t="s">
        <v>90</v>
      </c>
      <c r="AS42" s="108">
        <v>7745769.31458</v>
      </c>
    </row>
    <row r="43" spans="1:45" x14ac:dyDescent="0.2">
      <c r="C43" s="92"/>
      <c r="D43" s="92"/>
      <c r="F43" s="109"/>
      <c r="G43" s="109"/>
      <c r="H43" s="109"/>
      <c r="I43" s="109"/>
      <c r="J43" s="105"/>
      <c r="K43" s="105"/>
      <c r="L43" s="105"/>
      <c r="M43" s="105">
        <f t="shared" si="12"/>
        <v>0</v>
      </c>
      <c r="N43" s="105"/>
      <c r="O43" s="105"/>
      <c r="P43" s="105">
        <f t="shared" si="13"/>
        <v>0</v>
      </c>
      <c r="Q43" s="105"/>
      <c r="R43" s="105">
        <f t="shared" si="0"/>
        <v>0</v>
      </c>
      <c r="S43" s="105"/>
      <c r="T43" s="105">
        <f t="shared" si="14"/>
        <v>0</v>
      </c>
      <c r="U43" s="105"/>
      <c r="V43" s="91">
        <f t="shared" si="19"/>
        <v>0</v>
      </c>
      <c r="W43" s="105"/>
      <c r="X43" s="105">
        <f t="shared" si="15"/>
        <v>0</v>
      </c>
      <c r="Y43" s="105"/>
      <c r="Z43" s="105">
        <f t="shared" si="2"/>
        <v>0</v>
      </c>
      <c r="AA43" s="105"/>
      <c r="AB43" s="105">
        <f t="shared" ref="AB43:AB53" si="20">$F43*AA43</f>
        <v>0</v>
      </c>
      <c r="AC43" s="105"/>
      <c r="AD43" s="105">
        <f t="shared" si="4"/>
        <v>0</v>
      </c>
      <c r="AE43" s="105"/>
      <c r="AF43" s="105">
        <f t="shared" si="16"/>
        <v>0</v>
      </c>
      <c r="AG43" s="105"/>
      <c r="AH43" s="106"/>
      <c r="AK43" s="106">
        <f t="shared" si="6"/>
        <v>0</v>
      </c>
      <c r="AL43" s="106">
        <f t="shared" si="7"/>
        <v>0</v>
      </c>
      <c r="AN43" s="85" t="s">
        <v>65</v>
      </c>
      <c r="AO43" s="85">
        <v>0.84112149532710279</v>
      </c>
      <c r="AQ43" s="107"/>
      <c r="AR43" s="85" t="s">
        <v>91</v>
      </c>
      <c r="AS43" s="108">
        <v>753765.4</v>
      </c>
    </row>
    <row r="44" spans="1:45" x14ac:dyDescent="0.2">
      <c r="A44" s="85" t="s">
        <v>29</v>
      </c>
      <c r="B44" s="101" t="s">
        <v>28</v>
      </c>
      <c r="C44" s="86" t="s">
        <v>537</v>
      </c>
      <c r="F44" s="102">
        <f>E44</f>
        <v>0</v>
      </c>
      <c r="G44" s="103"/>
      <c r="H44" s="103"/>
      <c r="I44" s="103"/>
      <c r="J44" s="105"/>
      <c r="K44" s="105"/>
      <c r="L44" s="105"/>
      <c r="M44" s="105">
        <f t="shared" si="12"/>
        <v>0</v>
      </c>
      <c r="N44" s="105"/>
      <c r="O44" s="105"/>
      <c r="P44" s="105">
        <f t="shared" si="13"/>
        <v>0</v>
      </c>
      <c r="Q44" s="105"/>
      <c r="R44" s="105">
        <f t="shared" si="0"/>
        <v>0</v>
      </c>
      <c r="S44" s="105"/>
      <c r="T44" s="105">
        <f t="shared" si="14"/>
        <v>0</v>
      </c>
      <c r="U44" s="105"/>
      <c r="V44" s="91">
        <f t="shared" si="19"/>
        <v>0</v>
      </c>
      <c r="W44" s="105"/>
      <c r="X44" s="105">
        <f t="shared" si="15"/>
        <v>0</v>
      </c>
      <c r="Y44" s="105"/>
      <c r="Z44" s="105">
        <f t="shared" si="2"/>
        <v>0</v>
      </c>
      <c r="AA44" s="105"/>
      <c r="AB44" s="105">
        <f t="shared" si="20"/>
        <v>0</v>
      </c>
      <c r="AC44" s="105"/>
      <c r="AD44" s="105">
        <f t="shared" si="4"/>
        <v>0</v>
      </c>
      <c r="AE44" s="105"/>
      <c r="AF44" s="105">
        <f t="shared" si="16"/>
        <v>0</v>
      </c>
      <c r="AG44" s="105"/>
      <c r="AH44" s="106"/>
      <c r="AK44" s="106">
        <f t="shared" si="6"/>
        <v>0</v>
      </c>
      <c r="AL44" s="106">
        <f t="shared" si="7"/>
        <v>0</v>
      </c>
      <c r="AN44" s="85" t="s">
        <v>66</v>
      </c>
      <c r="AO44" s="85">
        <v>0.73277513027212404</v>
      </c>
      <c r="AQ44" s="107"/>
      <c r="AR44" s="85" t="s">
        <v>92</v>
      </c>
      <c r="AS44" s="108">
        <v>70409856.628759995</v>
      </c>
    </row>
    <row r="45" spans="1:45" x14ac:dyDescent="0.2">
      <c r="A45" s="85" t="s">
        <v>29</v>
      </c>
      <c r="C45" s="92" t="s">
        <v>538</v>
      </c>
      <c r="D45" s="92"/>
      <c r="F45" s="104">
        <f>SUM(F44)</f>
        <v>0</v>
      </c>
      <c r="G45" s="104">
        <f>F45</f>
        <v>0</v>
      </c>
      <c r="H45" s="105">
        <f>VLOOKUP(A45,Data!$A$2:$Z$179,24,FALSE)</f>
        <v>27</v>
      </c>
      <c r="I45" s="105">
        <f>VLOOKUP(A45,Data!$A$2:$Z$179,25,FALSE)</f>
        <v>5.0529999999999999</v>
      </c>
      <c r="J45" s="105">
        <f>VLOOKUP(A45,Data!$A$2:$Z$179,7,FALSE)</f>
        <v>21.946999999999999</v>
      </c>
      <c r="K45" s="105">
        <f>$F45*J45</f>
        <v>0</v>
      </c>
      <c r="L45" s="105">
        <f>VLOOKUP(A45,Data!$A$2:$Z$179,8,FALSE)</f>
        <v>0</v>
      </c>
      <c r="M45" s="105">
        <f>L45*F45</f>
        <v>0</v>
      </c>
      <c r="N45" s="105">
        <f>VLOOKUP(A45,Data!$A$2:$Z$179,9,FALSE)</f>
        <v>0</v>
      </c>
      <c r="O45" s="105">
        <f>VLOOKUP(A44,Data!$A$2:$Z$179,10,FALSE)</f>
        <v>0</v>
      </c>
      <c r="P45" s="105">
        <f>O45*F45</f>
        <v>0</v>
      </c>
      <c r="Q45" s="105">
        <f>VLOOKUP(A45,Data!$A$2:$Z$179,11,FALSE)</f>
        <v>0</v>
      </c>
      <c r="R45" s="105">
        <f>$F45*Q45</f>
        <v>0</v>
      </c>
      <c r="S45" s="105">
        <f>VLOOKUP(A45,Data!$A$2:$Z$179,12,FALSE)</f>
        <v>3.6890000000000001</v>
      </c>
      <c r="T45" s="105">
        <f>S45*F45</f>
        <v>0</v>
      </c>
      <c r="U45" s="105">
        <f>VLOOKUP(A45,Data!$A$2:$Z$179,13,FALSE)</f>
        <v>0.29410825257035839</v>
      </c>
      <c r="V45" s="91">
        <f t="shared" si="19"/>
        <v>0</v>
      </c>
      <c r="W45" s="105">
        <f>VLOOKUP(A45,Data!$A$2:$Z$179,22,FALSE)</f>
        <v>0</v>
      </c>
      <c r="X45" s="105">
        <f>W45*F45</f>
        <v>0</v>
      </c>
      <c r="Y45" s="105">
        <f>VLOOKUP(A45,Data!$A$2:$Z$179,19,FALSE)</f>
        <v>0</v>
      </c>
      <c r="Z45" s="105">
        <f>$F45*Y45</f>
        <v>0</v>
      </c>
      <c r="AA45" s="105">
        <f>VLOOKUP(A45,Data!$A$2:$Z$179,20,FALSE)</f>
        <v>0</v>
      </c>
      <c r="AB45" s="105">
        <f t="shared" si="20"/>
        <v>0</v>
      </c>
      <c r="AC45" s="105">
        <f>VLOOKUP(A45,Data!$A$2:$Z$179,21,FALSE)</f>
        <v>0</v>
      </c>
      <c r="AD45" s="105">
        <f t="shared" si="4"/>
        <v>0</v>
      </c>
      <c r="AE45" s="105">
        <f>J45+L45+N45+O45+Q45+S45+U45+W45+Y45+AA45+AC45</f>
        <v>25.930108252570356</v>
      </c>
      <c r="AF45" s="105">
        <f t="shared" si="16"/>
        <v>0</v>
      </c>
      <c r="AG45" s="105"/>
      <c r="AH45" s="106">
        <f>AE45-S45-W45</f>
        <v>22.241108252570356</v>
      </c>
      <c r="AI45" s="85">
        <f>AH45/AE45</f>
        <v>0.8577329502805171</v>
      </c>
      <c r="AK45" s="106">
        <f t="shared" si="6"/>
        <v>3.6890000000000001</v>
      </c>
      <c r="AL45" s="106">
        <f t="shared" si="7"/>
        <v>3.6890000000000001</v>
      </c>
      <c r="AN45" s="85" t="s">
        <v>68</v>
      </c>
      <c r="AO45" s="85">
        <v>0.79359689546446754</v>
      </c>
      <c r="AQ45" s="107"/>
      <c r="AR45" s="85" t="s">
        <v>93</v>
      </c>
      <c r="AS45" s="108">
        <v>6714405.2770699998</v>
      </c>
    </row>
    <row r="46" spans="1:45" x14ac:dyDescent="0.2">
      <c r="C46" s="92"/>
      <c r="D46" s="92"/>
      <c r="F46" s="109"/>
      <c r="G46" s="109"/>
      <c r="H46" s="109"/>
      <c r="I46" s="109"/>
      <c r="J46" s="105"/>
      <c r="K46" s="105"/>
      <c r="L46" s="105"/>
      <c r="M46" s="105">
        <f t="shared" si="12"/>
        <v>0</v>
      </c>
      <c r="N46" s="105"/>
      <c r="O46" s="105"/>
      <c r="P46" s="105">
        <f t="shared" si="13"/>
        <v>0</v>
      </c>
      <c r="Q46" s="105"/>
      <c r="R46" s="105">
        <f t="shared" si="0"/>
        <v>0</v>
      </c>
      <c r="S46" s="105"/>
      <c r="T46" s="105">
        <f t="shared" si="14"/>
        <v>0</v>
      </c>
      <c r="U46" s="105"/>
      <c r="V46" s="91">
        <f t="shared" si="19"/>
        <v>0</v>
      </c>
      <c r="W46" s="105"/>
      <c r="X46" s="105">
        <f t="shared" si="15"/>
        <v>0</v>
      </c>
      <c r="Y46" s="105"/>
      <c r="Z46" s="105">
        <f t="shared" si="2"/>
        <v>0</v>
      </c>
      <c r="AA46" s="105"/>
      <c r="AB46" s="105">
        <f t="shared" si="20"/>
        <v>0</v>
      </c>
      <c r="AC46" s="105"/>
      <c r="AD46" s="105">
        <f t="shared" si="4"/>
        <v>0</v>
      </c>
      <c r="AE46" s="105"/>
      <c r="AF46" s="105">
        <f t="shared" si="16"/>
        <v>0</v>
      </c>
      <c r="AG46" s="105"/>
      <c r="AH46" s="106"/>
      <c r="AK46" s="106">
        <f t="shared" si="6"/>
        <v>0</v>
      </c>
      <c r="AL46" s="106">
        <f t="shared" si="7"/>
        <v>0</v>
      </c>
      <c r="AN46" s="85" t="s">
        <v>70</v>
      </c>
      <c r="AO46" s="85">
        <v>0.80561157697342811</v>
      </c>
      <c r="AQ46" s="107"/>
      <c r="AR46" s="85" t="s">
        <v>94</v>
      </c>
      <c r="AS46" s="108">
        <v>3856514.7507000002</v>
      </c>
    </row>
    <row r="47" spans="1:45" x14ac:dyDescent="0.2">
      <c r="A47" s="112" t="s">
        <v>30</v>
      </c>
      <c r="B47" s="101" t="s">
        <v>28</v>
      </c>
      <c r="C47" s="86" t="s">
        <v>539</v>
      </c>
      <c r="F47" s="102">
        <f>E47</f>
        <v>0</v>
      </c>
      <c r="G47" s="103"/>
      <c r="H47" s="103"/>
      <c r="I47" s="103"/>
      <c r="J47" s="105"/>
      <c r="K47" s="105"/>
      <c r="L47" s="105"/>
      <c r="M47" s="105">
        <f t="shared" si="12"/>
        <v>0</v>
      </c>
      <c r="N47" s="105"/>
      <c r="O47" s="105"/>
      <c r="P47" s="105">
        <f t="shared" si="13"/>
        <v>0</v>
      </c>
      <c r="Q47" s="105"/>
      <c r="R47" s="105">
        <f t="shared" si="0"/>
        <v>0</v>
      </c>
      <c r="S47" s="105"/>
      <c r="T47" s="105">
        <f t="shared" si="14"/>
        <v>0</v>
      </c>
      <c r="U47" s="105"/>
      <c r="V47" s="91">
        <f t="shared" si="19"/>
        <v>0</v>
      </c>
      <c r="W47" s="105"/>
      <c r="X47" s="105">
        <f t="shared" si="15"/>
        <v>0</v>
      </c>
      <c r="Y47" s="105"/>
      <c r="Z47" s="105">
        <f t="shared" si="2"/>
        <v>0</v>
      </c>
      <c r="AA47" s="105"/>
      <c r="AB47" s="105">
        <f t="shared" si="20"/>
        <v>0</v>
      </c>
      <c r="AC47" s="105"/>
      <c r="AD47" s="105">
        <f t="shared" si="4"/>
        <v>0</v>
      </c>
      <c r="AE47" s="105"/>
      <c r="AF47" s="105">
        <f t="shared" si="16"/>
        <v>0</v>
      </c>
      <c r="AG47" s="105"/>
      <c r="AH47" s="106"/>
      <c r="AK47" s="106">
        <f t="shared" si="6"/>
        <v>0</v>
      </c>
      <c r="AL47" s="106">
        <f t="shared" si="7"/>
        <v>0</v>
      </c>
      <c r="AN47" s="85" t="s">
        <v>72</v>
      </c>
      <c r="AO47" s="85">
        <v>0.53990133488102154</v>
      </c>
      <c r="AQ47" s="107"/>
      <c r="AR47" s="85" t="s">
        <v>95</v>
      </c>
      <c r="AS47" s="108">
        <v>26747843.885430001</v>
      </c>
    </row>
    <row r="48" spans="1:45" x14ac:dyDescent="0.2">
      <c r="A48" s="112" t="s">
        <v>30</v>
      </c>
      <c r="C48" s="92" t="s">
        <v>540</v>
      </c>
      <c r="D48" s="92"/>
      <c r="F48" s="104">
        <f>SUM(F47)</f>
        <v>0</v>
      </c>
      <c r="G48" s="104">
        <f>F48</f>
        <v>0</v>
      </c>
      <c r="H48" s="105">
        <f>VLOOKUP(A48,Data!$A$2:$Z$179,24,FALSE)</f>
        <v>18.756</v>
      </c>
      <c r="I48" s="105">
        <f>VLOOKUP(A48,Data!$A$2:$Z$179,25,FALSE)</f>
        <v>0</v>
      </c>
      <c r="J48" s="105">
        <f>VLOOKUP(A48,Data!$A$2:$Z$179,7,FALSE)</f>
        <v>18.756</v>
      </c>
      <c r="K48" s="105">
        <f>$F48*J48</f>
        <v>0</v>
      </c>
      <c r="L48" s="105">
        <f>VLOOKUP(A48,Data!$A$2:$Z$179,8,FALSE)</f>
        <v>0</v>
      </c>
      <c r="M48" s="105">
        <f>L48*F48</f>
        <v>0</v>
      </c>
      <c r="N48" s="105">
        <f>VLOOKUP(A48,Data!$A$2:$Z$179,9,FALSE)</f>
        <v>0</v>
      </c>
      <c r="O48" s="105">
        <f>VLOOKUP(A47,Data!$A$2:$Z$179,10,FALSE)</f>
        <v>0.85199999999999998</v>
      </c>
      <c r="P48" s="105">
        <f>O48*F48</f>
        <v>0</v>
      </c>
      <c r="Q48" s="105">
        <f>VLOOKUP(A48,Data!$A$2:$Z$179,11,FALSE)</f>
        <v>5.0999999999999997E-2</v>
      </c>
      <c r="R48" s="105">
        <f>$F48*Q48</f>
        <v>0</v>
      </c>
      <c r="S48" s="105">
        <f>VLOOKUP(A48,Data!$A$2:$Z$179,12,FALSE)</f>
        <v>10.264000000000001</v>
      </c>
      <c r="T48" s="105">
        <f>S48*F48</f>
        <v>0</v>
      </c>
      <c r="U48" s="105">
        <f>VLOOKUP(A48,Data!$A$2:$Z$179,13,FALSE)</f>
        <v>0.37190681518034041</v>
      </c>
      <c r="V48" s="91">
        <f t="shared" si="19"/>
        <v>0</v>
      </c>
      <c r="W48" s="105">
        <f>VLOOKUP(A48,Data!$A$2:$Z$179,22,FALSE)</f>
        <v>0</v>
      </c>
      <c r="X48" s="105">
        <f>W48*F48</f>
        <v>0</v>
      </c>
      <c r="Y48" s="105">
        <f>VLOOKUP(A48,Data!$A$2:$Z$179,19,FALSE)</f>
        <v>0</v>
      </c>
      <c r="Z48" s="105">
        <f>$F48*Y48</f>
        <v>0</v>
      </c>
      <c r="AA48" s="105">
        <f>VLOOKUP(A48,Data!$A$2:$Z$179,20,FALSE)</f>
        <v>0</v>
      </c>
      <c r="AB48" s="105">
        <f t="shared" si="20"/>
        <v>0</v>
      </c>
      <c r="AC48" s="105">
        <f>VLOOKUP(A48,Data!$A$2:$Z$179,21,FALSE)</f>
        <v>0</v>
      </c>
      <c r="AD48" s="105">
        <f t="shared" si="4"/>
        <v>0</v>
      </c>
      <c r="AE48" s="105">
        <f>J48+L48+N48+O48+Q48+S48+U48+W48+Y48+AA48+AC48</f>
        <v>30.294906815180344</v>
      </c>
      <c r="AF48" s="105">
        <f t="shared" si="16"/>
        <v>0</v>
      </c>
      <c r="AG48" s="105"/>
      <c r="AH48" s="106">
        <f>AE48-S48-W48</f>
        <v>20.030906815180344</v>
      </c>
      <c r="AI48" s="85">
        <f>AH48/AE48</f>
        <v>0.66119717539923717</v>
      </c>
      <c r="AK48" s="106">
        <f t="shared" si="6"/>
        <v>11.167000000000002</v>
      </c>
      <c r="AL48" s="106">
        <f t="shared" si="7"/>
        <v>11.167000000000002</v>
      </c>
      <c r="AN48" s="85" t="s">
        <v>74</v>
      </c>
      <c r="AO48" s="85">
        <v>0.74239099322583713</v>
      </c>
      <c r="AQ48" s="107"/>
      <c r="AR48" s="112" t="s">
        <v>97</v>
      </c>
      <c r="AS48" s="108">
        <v>188129.80049999998</v>
      </c>
    </row>
    <row r="49" spans="1:45" x14ac:dyDescent="0.2">
      <c r="C49" s="92"/>
      <c r="D49" s="92"/>
      <c r="F49" s="109"/>
      <c r="G49" s="109"/>
      <c r="H49" s="109"/>
      <c r="I49" s="109"/>
      <c r="J49" s="105"/>
      <c r="K49" s="105"/>
      <c r="L49" s="105"/>
      <c r="M49" s="105">
        <f t="shared" si="12"/>
        <v>0</v>
      </c>
      <c r="N49" s="105"/>
      <c r="O49" s="105"/>
      <c r="P49" s="105">
        <f t="shared" si="13"/>
        <v>0</v>
      </c>
      <c r="Q49" s="105"/>
      <c r="R49" s="105">
        <f t="shared" si="0"/>
        <v>0</v>
      </c>
      <c r="S49" s="105"/>
      <c r="T49" s="105">
        <f t="shared" si="14"/>
        <v>0</v>
      </c>
      <c r="U49" s="105"/>
      <c r="V49" s="91">
        <f t="shared" si="19"/>
        <v>0</v>
      </c>
      <c r="W49" s="105"/>
      <c r="X49" s="105">
        <f t="shared" si="15"/>
        <v>0</v>
      </c>
      <c r="Y49" s="105"/>
      <c r="Z49" s="105">
        <f t="shared" si="2"/>
        <v>0</v>
      </c>
      <c r="AA49" s="105"/>
      <c r="AB49" s="105">
        <f t="shared" si="20"/>
        <v>0</v>
      </c>
      <c r="AC49" s="105"/>
      <c r="AD49" s="105">
        <f t="shared" si="4"/>
        <v>0</v>
      </c>
      <c r="AE49" s="105"/>
      <c r="AF49" s="105">
        <f t="shared" si="16"/>
        <v>0</v>
      </c>
      <c r="AG49" s="105"/>
      <c r="AH49" s="106"/>
      <c r="AK49" s="106">
        <f t="shared" si="6"/>
        <v>0</v>
      </c>
      <c r="AL49" s="106">
        <f t="shared" si="7"/>
        <v>0</v>
      </c>
      <c r="AN49" s="85" t="s">
        <v>76</v>
      </c>
      <c r="AO49" s="85">
        <v>0.65796491947892088</v>
      </c>
      <c r="AQ49" s="107"/>
      <c r="AR49" s="85" t="s">
        <v>99</v>
      </c>
      <c r="AS49" s="108">
        <v>4000206.1546900002</v>
      </c>
    </row>
    <row r="50" spans="1:45" x14ac:dyDescent="0.2">
      <c r="A50" s="85" t="s">
        <v>31</v>
      </c>
      <c r="B50" s="101" t="s">
        <v>28</v>
      </c>
      <c r="C50" s="86" t="s">
        <v>541</v>
      </c>
      <c r="F50" s="102">
        <f>E50</f>
        <v>0</v>
      </c>
      <c r="G50" s="103"/>
      <c r="H50" s="103"/>
      <c r="I50" s="103"/>
      <c r="J50" s="105"/>
      <c r="K50" s="105"/>
      <c r="L50" s="105"/>
      <c r="M50" s="105">
        <f t="shared" si="12"/>
        <v>0</v>
      </c>
      <c r="N50" s="105"/>
      <c r="O50" s="105"/>
      <c r="P50" s="105">
        <f t="shared" si="13"/>
        <v>0</v>
      </c>
      <c r="Q50" s="105"/>
      <c r="R50" s="105">
        <f t="shared" si="0"/>
        <v>0</v>
      </c>
      <c r="S50" s="105"/>
      <c r="T50" s="105">
        <f t="shared" si="14"/>
        <v>0</v>
      </c>
      <c r="U50" s="105"/>
      <c r="V50" s="91">
        <f t="shared" si="19"/>
        <v>0</v>
      </c>
      <c r="W50" s="105"/>
      <c r="X50" s="105">
        <f t="shared" si="15"/>
        <v>0</v>
      </c>
      <c r="Y50" s="105"/>
      <c r="Z50" s="105">
        <f t="shared" si="2"/>
        <v>0</v>
      </c>
      <c r="AA50" s="105"/>
      <c r="AB50" s="105">
        <f t="shared" si="20"/>
        <v>0</v>
      </c>
      <c r="AC50" s="105"/>
      <c r="AD50" s="105">
        <f t="shared" si="4"/>
        <v>0</v>
      </c>
      <c r="AE50" s="105"/>
      <c r="AF50" s="105">
        <f t="shared" si="16"/>
        <v>0</v>
      </c>
      <c r="AG50" s="105"/>
      <c r="AH50" s="106"/>
      <c r="AK50" s="106">
        <f t="shared" si="6"/>
        <v>0</v>
      </c>
      <c r="AL50" s="106">
        <f t="shared" si="7"/>
        <v>0</v>
      </c>
      <c r="AN50" s="85" t="s">
        <v>78</v>
      </c>
      <c r="AO50" s="85">
        <v>0.51079800899165051</v>
      </c>
      <c r="AQ50" s="107"/>
      <c r="AR50" s="85" t="s">
        <v>100</v>
      </c>
      <c r="AS50" s="108">
        <v>16334630.314999999</v>
      </c>
    </row>
    <row r="51" spans="1:45" x14ac:dyDescent="0.2">
      <c r="A51" s="85" t="s">
        <v>31</v>
      </c>
      <c r="C51" s="92" t="s">
        <v>542</v>
      </c>
      <c r="D51" s="92"/>
      <c r="F51" s="104">
        <f>SUM(F50)</f>
        <v>0</v>
      </c>
      <c r="G51" s="104">
        <f>F51</f>
        <v>0</v>
      </c>
      <c r="H51" s="105">
        <f>VLOOKUP(A51,Data!$A$2:$Z$179,24,FALSE)</f>
        <v>27</v>
      </c>
      <c r="I51" s="105">
        <f>VLOOKUP(A51,Data!$A$2:$Z$179,25,FALSE)</f>
        <v>0.64700000000000002</v>
      </c>
      <c r="J51" s="105">
        <f>VLOOKUP(A51,Data!$A$2:$Z$179,7,FALSE)</f>
        <v>26.353000000000002</v>
      </c>
      <c r="K51" s="105">
        <f>$F51*J51</f>
        <v>0</v>
      </c>
      <c r="L51" s="105">
        <f>VLOOKUP(A51,Data!$A$2:$Z$179,8,FALSE)</f>
        <v>0</v>
      </c>
      <c r="M51" s="105">
        <f>L51*F51</f>
        <v>0</v>
      </c>
      <c r="N51" s="105">
        <f>VLOOKUP(A51,Data!$A$2:$Z$179,9,FALSE)</f>
        <v>0</v>
      </c>
      <c r="O51" s="105">
        <f>VLOOKUP(A50,Data!$A$2:$Z$179,10,FALSE)</f>
        <v>1.1139999999999999</v>
      </c>
      <c r="P51" s="105">
        <f>O51*F51</f>
        <v>0</v>
      </c>
      <c r="Q51" s="105">
        <f>VLOOKUP(A51,Data!$A$2:$Z$179,11,FALSE)</f>
        <v>0</v>
      </c>
      <c r="R51" s="105">
        <f>$F51*Q51</f>
        <v>0</v>
      </c>
      <c r="S51" s="105">
        <f>VLOOKUP(A51,Data!$A$2:$Z$179,12,FALSE)</f>
        <v>12.744999999999999</v>
      </c>
      <c r="T51" s="105">
        <f>S51*F51</f>
        <v>0</v>
      </c>
      <c r="U51" s="105">
        <f>VLOOKUP(A51,Data!$A$2:$Z$179,13,FALSE)</f>
        <v>0.67636847125313149</v>
      </c>
      <c r="V51" s="91">
        <f t="shared" si="19"/>
        <v>0</v>
      </c>
      <c r="W51" s="105">
        <f>VLOOKUP(A51,Data!$A$2:$Z$179,22,FALSE)</f>
        <v>0</v>
      </c>
      <c r="X51" s="105">
        <f>W51*F51</f>
        <v>0</v>
      </c>
      <c r="Y51" s="105">
        <f>VLOOKUP(A51,Data!$A$2:$Z$179,19,FALSE)</f>
        <v>0</v>
      </c>
      <c r="Z51" s="105">
        <f>$F51*Y51</f>
        <v>0</v>
      </c>
      <c r="AA51" s="105">
        <f>VLOOKUP(A51,Data!$A$2:$Z$179,20,FALSE)</f>
        <v>0</v>
      </c>
      <c r="AB51" s="105">
        <f t="shared" si="20"/>
        <v>0</v>
      </c>
      <c r="AC51" s="105">
        <f>VLOOKUP(A51,Data!$A$2:$Z$179,21,FALSE)</f>
        <v>0</v>
      </c>
      <c r="AD51" s="105">
        <f t="shared" si="4"/>
        <v>0</v>
      </c>
      <c r="AE51" s="105">
        <f>J51+L51+N51+O51+Q51+S51+U51+W51+Y51+AA51+AC51</f>
        <v>40.888368471253138</v>
      </c>
      <c r="AF51" s="105">
        <f t="shared" si="16"/>
        <v>0</v>
      </c>
      <c r="AG51" s="105"/>
      <c r="AH51" s="106">
        <f>AE51-S51-W51</f>
        <v>28.14336847125314</v>
      </c>
      <c r="AI51" s="85">
        <f>AH51/AE51</f>
        <v>0.68829766321049324</v>
      </c>
      <c r="AK51" s="106">
        <f t="shared" si="6"/>
        <v>13.858999999999998</v>
      </c>
      <c r="AL51" s="106">
        <f t="shared" si="7"/>
        <v>13.858999999999998</v>
      </c>
      <c r="AN51" s="85" t="s">
        <v>80</v>
      </c>
      <c r="AO51" s="85">
        <v>0.77717991972543765</v>
      </c>
      <c r="AQ51" s="107"/>
      <c r="AR51" s="110" t="s">
        <v>102</v>
      </c>
      <c r="AS51" s="108">
        <v>40570.249335</v>
      </c>
    </row>
    <row r="52" spans="1:45" x14ac:dyDescent="0.2">
      <c r="C52" s="92"/>
      <c r="D52" s="92"/>
      <c r="F52" s="109"/>
      <c r="G52" s="109"/>
      <c r="H52" s="109"/>
      <c r="I52" s="109"/>
      <c r="J52" s="105"/>
      <c r="K52" s="105"/>
      <c r="L52" s="105"/>
      <c r="M52" s="105">
        <f t="shared" ref="M52:M88" si="21">L52*F52</f>
        <v>0</v>
      </c>
      <c r="N52" s="105"/>
      <c r="O52" s="105"/>
      <c r="P52" s="105">
        <f t="shared" ref="P52:P88" si="22">O52*F52</f>
        <v>0</v>
      </c>
      <c r="Q52" s="105"/>
      <c r="R52" s="105">
        <f t="shared" si="0"/>
        <v>0</v>
      </c>
      <c r="S52" s="105"/>
      <c r="T52" s="105">
        <f t="shared" ref="T52:T88" si="23">S52*F52</f>
        <v>0</v>
      </c>
      <c r="U52" s="105"/>
      <c r="V52" s="91">
        <f t="shared" si="19"/>
        <v>0</v>
      </c>
      <c r="W52" s="105"/>
      <c r="X52" s="105">
        <f t="shared" ref="X52:X88" si="24">W52*F52</f>
        <v>0</v>
      </c>
      <c r="Y52" s="105"/>
      <c r="Z52" s="105">
        <f t="shared" si="2"/>
        <v>0</v>
      </c>
      <c r="AA52" s="105"/>
      <c r="AB52" s="105">
        <f t="shared" si="20"/>
        <v>0</v>
      </c>
      <c r="AC52" s="105"/>
      <c r="AD52" s="105">
        <f t="shared" si="4"/>
        <v>0</v>
      </c>
      <c r="AE52" s="105"/>
      <c r="AF52" s="105">
        <f t="shared" si="16"/>
        <v>0</v>
      </c>
      <c r="AG52" s="105"/>
      <c r="AH52" s="106"/>
      <c r="AK52" s="106">
        <f t="shared" si="6"/>
        <v>0</v>
      </c>
      <c r="AL52" s="106">
        <f t="shared" si="7"/>
        <v>0</v>
      </c>
      <c r="AN52" s="85" t="s">
        <v>82</v>
      </c>
      <c r="AO52" s="85">
        <v>1</v>
      </c>
      <c r="AQ52" s="107"/>
      <c r="AR52" s="85" t="s">
        <v>103</v>
      </c>
      <c r="AS52" s="108">
        <v>1384935.0196140001</v>
      </c>
    </row>
    <row r="53" spans="1:45" x14ac:dyDescent="0.2">
      <c r="A53" s="85" t="s">
        <v>32</v>
      </c>
      <c r="B53" s="101" t="s">
        <v>28</v>
      </c>
      <c r="C53" s="86" t="s">
        <v>543</v>
      </c>
      <c r="F53" s="102">
        <f>E53</f>
        <v>0</v>
      </c>
      <c r="G53" s="102"/>
      <c r="H53" s="102"/>
      <c r="I53" s="102"/>
      <c r="J53" s="105"/>
      <c r="K53" s="105"/>
      <c r="L53" s="105"/>
      <c r="M53" s="105">
        <f t="shared" si="21"/>
        <v>0</v>
      </c>
      <c r="N53" s="105"/>
      <c r="O53" s="105"/>
      <c r="P53" s="105">
        <f t="shared" si="22"/>
        <v>0</v>
      </c>
      <c r="Q53" s="105"/>
      <c r="R53" s="105">
        <f t="shared" si="0"/>
        <v>0</v>
      </c>
      <c r="S53" s="105"/>
      <c r="T53" s="105">
        <f t="shared" si="23"/>
        <v>0</v>
      </c>
      <c r="U53" s="105"/>
      <c r="V53" s="91">
        <f t="shared" si="19"/>
        <v>0</v>
      </c>
      <c r="W53" s="105"/>
      <c r="X53" s="105">
        <f t="shared" si="24"/>
        <v>0</v>
      </c>
      <c r="Y53" s="105"/>
      <c r="Z53" s="105">
        <f t="shared" si="2"/>
        <v>0</v>
      </c>
      <c r="AA53" s="105"/>
      <c r="AB53" s="105">
        <f t="shared" si="20"/>
        <v>0</v>
      </c>
      <c r="AC53" s="105"/>
      <c r="AD53" s="105">
        <f t="shared" si="4"/>
        <v>0</v>
      </c>
      <c r="AE53" s="105"/>
      <c r="AF53" s="105">
        <f t="shared" si="16"/>
        <v>0</v>
      </c>
      <c r="AG53" s="105"/>
      <c r="AH53" s="106"/>
      <c r="AK53" s="106">
        <f t="shared" si="6"/>
        <v>0</v>
      </c>
      <c r="AL53" s="106">
        <f t="shared" si="7"/>
        <v>0</v>
      </c>
      <c r="AN53" s="85" t="s">
        <v>84</v>
      </c>
      <c r="AO53" s="85">
        <v>0.66867422556233469</v>
      </c>
      <c r="AQ53" s="107"/>
      <c r="AR53" s="112" t="s">
        <v>105</v>
      </c>
      <c r="AS53" s="108">
        <v>352781.28469999996</v>
      </c>
    </row>
    <row r="54" spans="1:45" x14ac:dyDescent="0.2">
      <c r="A54" s="85" t="s">
        <v>32</v>
      </c>
      <c r="B54" s="101" t="s">
        <v>16</v>
      </c>
      <c r="C54" s="86" t="s">
        <v>543</v>
      </c>
      <c r="F54" s="102">
        <f>E54</f>
        <v>0</v>
      </c>
      <c r="G54" s="102"/>
      <c r="H54" s="102"/>
      <c r="I54" s="102"/>
      <c r="J54" s="105"/>
      <c r="K54" s="105"/>
      <c r="L54" s="105"/>
      <c r="M54" s="105">
        <f t="shared" si="21"/>
        <v>0</v>
      </c>
      <c r="N54" s="105"/>
      <c r="O54" s="105"/>
      <c r="P54" s="105">
        <f t="shared" si="22"/>
        <v>0</v>
      </c>
      <c r="Q54" s="105"/>
      <c r="R54" s="105">
        <f t="shared" si="0"/>
        <v>0</v>
      </c>
      <c r="S54" s="105"/>
      <c r="T54" s="105">
        <f t="shared" si="23"/>
        <v>0</v>
      </c>
      <c r="U54" s="105"/>
      <c r="V54" s="91">
        <f t="shared" si="19"/>
        <v>0</v>
      </c>
      <c r="W54" s="105"/>
      <c r="X54" s="105">
        <f t="shared" si="24"/>
        <v>0</v>
      </c>
      <c r="Y54" s="105"/>
      <c r="Z54" s="105">
        <f t="shared" si="2"/>
        <v>0</v>
      </c>
      <c r="AA54" s="105"/>
      <c r="AB54" s="105">
        <f t="shared" ref="AB54:AB69" si="25">$F53*AA54</f>
        <v>0</v>
      </c>
      <c r="AC54" s="105"/>
      <c r="AD54" s="105">
        <f t="shared" si="4"/>
        <v>0</v>
      </c>
      <c r="AE54" s="105"/>
      <c r="AF54" s="105">
        <f t="shared" si="16"/>
        <v>0</v>
      </c>
      <c r="AG54" s="105"/>
      <c r="AH54" s="106"/>
      <c r="AK54" s="106">
        <f t="shared" si="6"/>
        <v>0</v>
      </c>
      <c r="AL54" s="106">
        <f t="shared" si="7"/>
        <v>0</v>
      </c>
      <c r="AN54" s="85" t="s">
        <v>85</v>
      </c>
      <c r="AO54" s="85">
        <v>0.68772912084249826</v>
      </c>
      <c r="AQ54" s="107"/>
      <c r="AR54" s="85" t="s">
        <v>107</v>
      </c>
      <c r="AS54" s="108">
        <v>119062.87</v>
      </c>
    </row>
    <row r="55" spans="1:45" x14ac:dyDescent="0.2">
      <c r="A55" s="85" t="s">
        <v>32</v>
      </c>
      <c r="B55" s="101"/>
      <c r="C55" s="92" t="s">
        <v>544</v>
      </c>
      <c r="D55" s="92"/>
      <c r="F55" s="104">
        <f>SUM(F53:F54)</f>
        <v>0</v>
      </c>
      <c r="G55" s="104">
        <f>F55</f>
        <v>0</v>
      </c>
      <c r="H55" s="105">
        <f>VLOOKUP(A55,Data!$A$2:$Z$179,24,FALSE)</f>
        <v>27</v>
      </c>
      <c r="I55" s="105">
        <f>VLOOKUP(A55,Data!$A$2:$Z$179,25,FALSE)</f>
        <v>0</v>
      </c>
      <c r="J55" s="105">
        <f>VLOOKUP(A55,Data!$A$2:$Z$179,7,FALSE)</f>
        <v>27</v>
      </c>
      <c r="K55" s="105">
        <f>$F55*J55</f>
        <v>0</v>
      </c>
      <c r="L55" s="105">
        <f>VLOOKUP(A55,Data!$A$2:$Z$179,8,FALSE)</f>
        <v>0</v>
      </c>
      <c r="M55" s="105">
        <f>L55*F55</f>
        <v>0</v>
      </c>
      <c r="N55" s="105">
        <f>VLOOKUP(A55,Data!$A$2:$Z$179,9,FALSE)</f>
        <v>0</v>
      </c>
      <c r="O55" s="105">
        <f>VLOOKUP(A54,Data!$A$2:$Z$179,10,FALSE)</f>
        <v>0.121</v>
      </c>
      <c r="P55" s="105">
        <f>O55*F55</f>
        <v>0</v>
      </c>
      <c r="Q55" s="105">
        <f>VLOOKUP(A55,Data!$A$2:$Z$179,11,FALSE)</f>
        <v>0</v>
      </c>
      <c r="R55" s="105">
        <f>$F55*Q55</f>
        <v>0</v>
      </c>
      <c r="S55" s="105">
        <f>VLOOKUP(A55,Data!$A$2:$Z$179,12,FALSE)</f>
        <v>0</v>
      </c>
      <c r="T55" s="105">
        <f>S55*F55</f>
        <v>0</v>
      </c>
      <c r="U55" s="105">
        <f>VLOOKUP(A55,Data!$A$2:$Z$179,13,FALSE)</f>
        <v>0</v>
      </c>
      <c r="V55" s="91">
        <f t="shared" si="19"/>
        <v>0</v>
      </c>
      <c r="W55" s="105">
        <f>VLOOKUP(A55,Data!$A$2:$Z$179,22,FALSE)</f>
        <v>0</v>
      </c>
      <c r="X55" s="105">
        <f>W55*F55</f>
        <v>0</v>
      </c>
      <c r="Y55" s="105">
        <f>VLOOKUP(A55,Data!$A$2:$Z$179,19,FALSE)</f>
        <v>0</v>
      </c>
      <c r="Z55" s="105">
        <f>$F55*Y55</f>
        <v>0</v>
      </c>
      <c r="AA55" s="105">
        <f>VLOOKUP(A55,Data!$A$2:$Z$179,20,FALSE)</f>
        <v>0</v>
      </c>
      <c r="AB55" s="105">
        <f>$F55*AA55</f>
        <v>0</v>
      </c>
      <c r="AC55" s="105">
        <f>VLOOKUP(A55,Data!$A$2:$Z$179,21,FALSE)</f>
        <v>0</v>
      </c>
      <c r="AD55" s="105">
        <f t="shared" si="4"/>
        <v>0</v>
      </c>
      <c r="AE55" s="105">
        <f>J55+L55+N55+O55+Q55+S55+U55+W55+Y55+AA55+AC55</f>
        <v>27.120999999999999</v>
      </c>
      <c r="AF55" s="105">
        <f t="shared" si="16"/>
        <v>0</v>
      </c>
      <c r="AG55" s="105"/>
      <c r="AH55" s="106">
        <f>AE55-S55-W55</f>
        <v>27.120999999999999</v>
      </c>
      <c r="AI55" s="85">
        <f>AH55/AE55</f>
        <v>1</v>
      </c>
      <c r="AK55" s="106">
        <f t="shared" si="6"/>
        <v>0.121</v>
      </c>
      <c r="AL55" s="106">
        <f t="shared" si="7"/>
        <v>0.121</v>
      </c>
      <c r="AN55" s="85" t="s">
        <v>86</v>
      </c>
      <c r="AO55" s="85">
        <v>1</v>
      </c>
      <c r="AQ55" s="107"/>
      <c r="AR55" s="85" t="s">
        <v>108</v>
      </c>
      <c r="AS55" s="108">
        <v>8800243.114494998</v>
      </c>
    </row>
    <row r="56" spans="1:45" x14ac:dyDescent="0.2">
      <c r="B56" s="101"/>
      <c r="C56" s="92"/>
      <c r="D56" s="92"/>
      <c r="F56" s="109"/>
      <c r="G56" s="109"/>
      <c r="H56" s="109"/>
      <c r="I56" s="109"/>
      <c r="J56" s="105"/>
      <c r="K56" s="105"/>
      <c r="L56" s="105"/>
      <c r="M56" s="105">
        <f t="shared" si="21"/>
        <v>0</v>
      </c>
      <c r="N56" s="105"/>
      <c r="O56" s="105"/>
      <c r="P56" s="105">
        <f t="shared" si="22"/>
        <v>0</v>
      </c>
      <c r="Q56" s="105"/>
      <c r="R56" s="105">
        <f t="shared" si="0"/>
        <v>0</v>
      </c>
      <c r="S56" s="105"/>
      <c r="T56" s="105">
        <f t="shared" si="23"/>
        <v>0</v>
      </c>
      <c r="U56" s="105"/>
      <c r="V56" s="91">
        <f t="shared" si="19"/>
        <v>0</v>
      </c>
      <c r="W56" s="105"/>
      <c r="X56" s="105">
        <f t="shared" si="24"/>
        <v>0</v>
      </c>
      <c r="Y56" s="105"/>
      <c r="Z56" s="105">
        <f t="shared" si="2"/>
        <v>0</v>
      </c>
      <c r="AA56" s="105"/>
      <c r="AB56" s="105">
        <f t="shared" si="25"/>
        <v>0</v>
      </c>
      <c r="AC56" s="105"/>
      <c r="AD56" s="105">
        <f t="shared" si="4"/>
        <v>0</v>
      </c>
      <c r="AE56" s="105"/>
      <c r="AF56" s="105">
        <f t="shared" si="16"/>
        <v>0</v>
      </c>
      <c r="AG56" s="105"/>
      <c r="AH56" s="106"/>
      <c r="AK56" s="106">
        <f t="shared" si="6"/>
        <v>0</v>
      </c>
      <c r="AL56" s="106">
        <f t="shared" si="7"/>
        <v>0</v>
      </c>
      <c r="AN56" s="85" t="s">
        <v>87</v>
      </c>
      <c r="AO56" s="85">
        <v>1</v>
      </c>
      <c r="AQ56" s="107"/>
      <c r="AR56" s="85" t="s">
        <v>110</v>
      </c>
      <c r="AS56" s="108">
        <v>9200004.8366800006</v>
      </c>
    </row>
    <row r="57" spans="1:45" x14ac:dyDescent="0.2">
      <c r="A57" s="85" t="s">
        <v>33</v>
      </c>
      <c r="B57" s="101" t="s">
        <v>28</v>
      </c>
      <c r="C57" s="86" t="s">
        <v>545</v>
      </c>
      <c r="F57" s="102">
        <f>E57</f>
        <v>0</v>
      </c>
      <c r="G57" s="102"/>
      <c r="H57" s="102"/>
      <c r="I57" s="102"/>
      <c r="J57" s="105"/>
      <c r="K57" s="105"/>
      <c r="L57" s="105"/>
      <c r="M57" s="105">
        <f t="shared" si="21"/>
        <v>0</v>
      </c>
      <c r="N57" s="105"/>
      <c r="O57" s="105"/>
      <c r="P57" s="105">
        <f t="shared" si="22"/>
        <v>0</v>
      </c>
      <c r="Q57" s="105"/>
      <c r="R57" s="105">
        <f t="shared" si="0"/>
        <v>0</v>
      </c>
      <c r="S57" s="105"/>
      <c r="T57" s="105">
        <f t="shared" si="23"/>
        <v>0</v>
      </c>
      <c r="U57" s="105"/>
      <c r="V57" s="91">
        <f t="shared" si="19"/>
        <v>0</v>
      </c>
      <c r="W57" s="105"/>
      <c r="X57" s="105">
        <f t="shared" si="24"/>
        <v>0</v>
      </c>
      <c r="Y57" s="105"/>
      <c r="Z57" s="105">
        <f t="shared" si="2"/>
        <v>0</v>
      </c>
      <c r="AA57" s="105"/>
      <c r="AB57" s="105">
        <f t="shared" si="25"/>
        <v>0</v>
      </c>
      <c r="AC57" s="105"/>
      <c r="AD57" s="105">
        <f t="shared" si="4"/>
        <v>0</v>
      </c>
      <c r="AE57" s="105"/>
      <c r="AF57" s="105">
        <f t="shared" si="16"/>
        <v>0</v>
      </c>
      <c r="AG57" s="105"/>
      <c r="AH57" s="106"/>
      <c r="AK57" s="106">
        <f t="shared" si="6"/>
        <v>0</v>
      </c>
      <c r="AL57" s="106">
        <f t="shared" si="7"/>
        <v>0</v>
      </c>
      <c r="AN57" s="85" t="s">
        <v>89</v>
      </c>
      <c r="AO57" s="85">
        <v>0.50350262697022774</v>
      </c>
      <c r="AQ57" s="107"/>
      <c r="AR57" s="85" t="s">
        <v>111</v>
      </c>
      <c r="AS57" s="108">
        <v>2166917.8157100002</v>
      </c>
    </row>
    <row r="58" spans="1:45" x14ac:dyDescent="0.2">
      <c r="A58" s="85" t="s">
        <v>33</v>
      </c>
      <c r="B58" s="101" t="s">
        <v>16</v>
      </c>
      <c r="C58" s="86" t="s">
        <v>545</v>
      </c>
      <c r="F58" s="102">
        <f>E58</f>
        <v>0</v>
      </c>
      <c r="G58" s="102"/>
      <c r="H58" s="102"/>
      <c r="I58" s="102"/>
      <c r="J58" s="105"/>
      <c r="K58" s="105"/>
      <c r="L58" s="105"/>
      <c r="M58" s="105">
        <f t="shared" si="21"/>
        <v>0</v>
      </c>
      <c r="N58" s="105"/>
      <c r="O58" s="105"/>
      <c r="P58" s="105">
        <f t="shared" si="22"/>
        <v>0</v>
      </c>
      <c r="Q58" s="105"/>
      <c r="R58" s="105">
        <f t="shared" si="0"/>
        <v>0</v>
      </c>
      <c r="S58" s="105"/>
      <c r="T58" s="105">
        <f t="shared" si="23"/>
        <v>0</v>
      </c>
      <c r="U58" s="105"/>
      <c r="V58" s="91">
        <f t="shared" si="19"/>
        <v>0</v>
      </c>
      <c r="W58" s="105"/>
      <c r="X58" s="105">
        <f t="shared" si="24"/>
        <v>0</v>
      </c>
      <c r="Y58" s="105"/>
      <c r="Z58" s="105">
        <f t="shared" si="2"/>
        <v>0</v>
      </c>
      <c r="AA58" s="105"/>
      <c r="AB58" s="105">
        <f t="shared" si="25"/>
        <v>0</v>
      </c>
      <c r="AC58" s="105"/>
      <c r="AD58" s="105">
        <f t="shared" si="4"/>
        <v>0</v>
      </c>
      <c r="AE58" s="105"/>
      <c r="AF58" s="105">
        <f t="shared" si="16"/>
        <v>0</v>
      </c>
      <c r="AG58" s="105"/>
      <c r="AH58" s="106"/>
      <c r="AK58" s="106">
        <f t="shared" si="6"/>
        <v>0</v>
      </c>
      <c r="AL58" s="106">
        <f t="shared" si="7"/>
        <v>0</v>
      </c>
      <c r="AN58" s="85" t="s">
        <v>90</v>
      </c>
      <c r="AO58" s="85">
        <v>0.35893672537508148</v>
      </c>
      <c r="AQ58" s="107"/>
      <c r="AR58" s="85" t="s">
        <v>112</v>
      </c>
      <c r="AS58" s="108">
        <v>980340.9362946999</v>
      </c>
    </row>
    <row r="59" spans="1:45" x14ac:dyDescent="0.2">
      <c r="A59" s="85" t="s">
        <v>33</v>
      </c>
      <c r="B59" s="101"/>
      <c r="C59" s="92" t="s">
        <v>546</v>
      </c>
      <c r="D59" s="92"/>
      <c r="F59" s="104">
        <f>SUM(F57:F58)</f>
        <v>0</v>
      </c>
      <c r="G59" s="104">
        <f>F59</f>
        <v>0</v>
      </c>
      <c r="H59" s="105">
        <f>VLOOKUP(A59,Data!$A$2:$Z$179,24,FALSE)</f>
        <v>27</v>
      </c>
      <c r="I59" s="105">
        <f>VLOOKUP(A59,Data!$A$2:$Z$179,25,FALSE)</f>
        <v>0</v>
      </c>
      <c r="J59" s="105">
        <f>VLOOKUP(A59,Data!$A$2:$Z$179,7,FALSE)</f>
        <v>27</v>
      </c>
      <c r="K59" s="105">
        <f>$F59*J59</f>
        <v>0</v>
      </c>
      <c r="L59" s="105">
        <f>VLOOKUP(A59,Data!$A$2:$Z$179,8,FALSE)</f>
        <v>0</v>
      </c>
      <c r="M59" s="105">
        <f>L59*F59</f>
        <v>0</v>
      </c>
      <c r="N59" s="105">
        <f>VLOOKUP(A59,Data!$A$2:$Z$179,9,FALSE)</f>
        <v>0</v>
      </c>
      <c r="O59" s="105">
        <f>VLOOKUP(A58,Data!$A$2:$Z$179,10,FALSE)</f>
        <v>0</v>
      </c>
      <c r="P59" s="105">
        <f>O59*F59</f>
        <v>0</v>
      </c>
      <c r="Q59" s="105">
        <f>VLOOKUP(A59,Data!$A$2:$Z$179,11,FALSE)</f>
        <v>0</v>
      </c>
      <c r="R59" s="105">
        <f>$F59*Q59</f>
        <v>0</v>
      </c>
      <c r="S59" s="105">
        <f>VLOOKUP(A59,Data!$A$2:$Z$179,12,FALSE)</f>
        <v>10.040000000000001</v>
      </c>
      <c r="T59" s="105">
        <f>S59*F59</f>
        <v>0</v>
      </c>
      <c r="U59" s="105">
        <f>VLOOKUP(A59,Data!$A$2:$Z$179,13,FALSE)</f>
        <v>1.2209284808383962</v>
      </c>
      <c r="V59" s="91">
        <f t="shared" si="19"/>
        <v>0</v>
      </c>
      <c r="W59" s="105">
        <f>VLOOKUP(A59,Data!$A$2:$Z$179,22,FALSE)</f>
        <v>0</v>
      </c>
      <c r="X59" s="105">
        <f>W59*F59</f>
        <v>0</v>
      </c>
      <c r="Y59" s="105">
        <f>VLOOKUP(A59,Data!$A$2:$Z$179,19,FALSE)</f>
        <v>0</v>
      </c>
      <c r="Z59" s="105">
        <f>$F59*Y59</f>
        <v>0</v>
      </c>
      <c r="AA59" s="105">
        <f>VLOOKUP(A59,Data!$A$2:$Z$179,20,FALSE)</f>
        <v>0</v>
      </c>
      <c r="AB59" s="105">
        <f>$F59*AA59</f>
        <v>0</v>
      </c>
      <c r="AC59" s="105">
        <f>VLOOKUP(A59,Data!$A$2:$Z$179,21,FALSE)</f>
        <v>0</v>
      </c>
      <c r="AD59" s="105">
        <f t="shared" si="4"/>
        <v>0</v>
      </c>
      <c r="AE59" s="105">
        <f>J59+L59+N59+O59+Q59+S59+U59+W59+Y59+AA59+AC59</f>
        <v>38.260928480838395</v>
      </c>
      <c r="AF59" s="105">
        <f t="shared" si="16"/>
        <v>0</v>
      </c>
      <c r="AG59" s="105"/>
      <c r="AH59" s="106">
        <f>AE59-S59-W59</f>
        <v>28.220928480838396</v>
      </c>
      <c r="AI59" s="85">
        <f>AH59/AE59</f>
        <v>0.73759131315832627</v>
      </c>
      <c r="AK59" s="106">
        <f t="shared" si="6"/>
        <v>10.040000000000001</v>
      </c>
      <c r="AL59" s="106">
        <f t="shared" si="7"/>
        <v>10.040000000000001</v>
      </c>
      <c r="AN59" s="85" t="s">
        <v>91</v>
      </c>
      <c r="AO59" s="85">
        <v>0.79782459261655414</v>
      </c>
      <c r="AQ59" s="107"/>
      <c r="AR59" s="85" t="s">
        <v>114</v>
      </c>
      <c r="AS59" s="108">
        <v>549993.42230000009</v>
      </c>
    </row>
    <row r="60" spans="1:45" x14ac:dyDescent="0.2">
      <c r="B60" s="101"/>
      <c r="C60" s="92"/>
      <c r="D60" s="92"/>
      <c r="F60" s="109"/>
      <c r="G60" s="109"/>
      <c r="H60" s="109"/>
      <c r="I60" s="109"/>
      <c r="J60" s="105"/>
      <c r="K60" s="105"/>
      <c r="L60" s="105"/>
      <c r="M60" s="105">
        <f t="shared" si="21"/>
        <v>0</v>
      </c>
      <c r="N60" s="105"/>
      <c r="O60" s="105"/>
      <c r="P60" s="105">
        <f t="shared" si="22"/>
        <v>0</v>
      </c>
      <c r="Q60" s="105"/>
      <c r="R60" s="105">
        <f t="shared" si="0"/>
        <v>0</v>
      </c>
      <c r="S60" s="105"/>
      <c r="T60" s="105">
        <f t="shared" si="23"/>
        <v>0</v>
      </c>
      <c r="U60" s="105"/>
      <c r="V60" s="91">
        <f t="shared" si="19"/>
        <v>0</v>
      </c>
      <c r="W60" s="105"/>
      <c r="X60" s="105">
        <f t="shared" si="24"/>
        <v>0</v>
      </c>
      <c r="Y60" s="105"/>
      <c r="Z60" s="105">
        <f t="shared" si="2"/>
        <v>0</v>
      </c>
      <c r="AA60" s="105"/>
      <c r="AB60" s="105">
        <f t="shared" si="25"/>
        <v>0</v>
      </c>
      <c r="AC60" s="105"/>
      <c r="AD60" s="105">
        <f t="shared" si="4"/>
        <v>0</v>
      </c>
      <c r="AE60" s="105"/>
      <c r="AF60" s="105">
        <f t="shared" si="16"/>
        <v>0</v>
      </c>
      <c r="AG60" s="105"/>
      <c r="AH60" s="106"/>
      <c r="AK60" s="106">
        <f t="shared" si="6"/>
        <v>0</v>
      </c>
      <c r="AL60" s="106">
        <f t="shared" si="7"/>
        <v>0</v>
      </c>
      <c r="AN60" s="85" t="s">
        <v>92</v>
      </c>
      <c r="AO60" s="85">
        <v>0.43597020895636107</v>
      </c>
      <c r="AQ60" s="107"/>
      <c r="AR60" s="85" t="s">
        <v>116</v>
      </c>
      <c r="AS60" s="108">
        <v>2114191.82815</v>
      </c>
    </row>
    <row r="61" spans="1:45" x14ac:dyDescent="0.2">
      <c r="A61" s="85" t="s">
        <v>34</v>
      </c>
      <c r="B61" s="101" t="s">
        <v>28</v>
      </c>
      <c r="C61" s="86" t="s">
        <v>547</v>
      </c>
      <c r="F61" s="102">
        <f>E61</f>
        <v>0</v>
      </c>
      <c r="G61" s="102"/>
      <c r="H61" s="102"/>
      <c r="I61" s="102"/>
      <c r="J61" s="105"/>
      <c r="K61" s="105"/>
      <c r="L61" s="105"/>
      <c r="M61" s="105">
        <f t="shared" si="21"/>
        <v>0</v>
      </c>
      <c r="N61" s="105"/>
      <c r="O61" s="105"/>
      <c r="P61" s="105">
        <f t="shared" si="22"/>
        <v>0</v>
      </c>
      <c r="Q61" s="105"/>
      <c r="R61" s="105">
        <f t="shared" si="0"/>
        <v>0</v>
      </c>
      <c r="S61" s="105"/>
      <c r="T61" s="105">
        <f t="shared" si="23"/>
        <v>0</v>
      </c>
      <c r="U61" s="105"/>
      <c r="V61" s="91">
        <f t="shared" si="19"/>
        <v>0</v>
      </c>
      <c r="W61" s="105"/>
      <c r="X61" s="105">
        <f t="shared" si="24"/>
        <v>0</v>
      </c>
      <c r="Y61" s="105"/>
      <c r="Z61" s="105">
        <f t="shared" si="2"/>
        <v>0</v>
      </c>
      <c r="AA61" s="105"/>
      <c r="AB61" s="105">
        <f t="shared" si="25"/>
        <v>0</v>
      </c>
      <c r="AC61" s="105"/>
      <c r="AD61" s="105">
        <f t="shared" si="4"/>
        <v>0</v>
      </c>
      <c r="AE61" s="105"/>
      <c r="AF61" s="105">
        <f t="shared" si="16"/>
        <v>0</v>
      </c>
      <c r="AG61" s="105"/>
      <c r="AH61" s="106"/>
      <c r="AK61" s="106">
        <f t="shared" si="6"/>
        <v>0</v>
      </c>
      <c r="AL61" s="106">
        <f t="shared" si="7"/>
        <v>0</v>
      </c>
      <c r="AN61" s="85" t="s">
        <v>93</v>
      </c>
      <c r="AO61" s="85">
        <v>0.49394545454545458</v>
      </c>
      <c r="AQ61" s="107"/>
      <c r="AR61" s="85" t="s">
        <v>117</v>
      </c>
      <c r="AS61" s="108">
        <v>1299888.0563400001</v>
      </c>
    </row>
    <row r="62" spans="1:45" x14ac:dyDescent="0.2">
      <c r="A62" s="85" t="s">
        <v>34</v>
      </c>
      <c r="B62" s="101" t="s">
        <v>16</v>
      </c>
      <c r="C62" s="86" t="s">
        <v>547</v>
      </c>
      <c r="F62" s="102">
        <f>E62</f>
        <v>0</v>
      </c>
      <c r="G62" s="102"/>
      <c r="H62" s="102"/>
      <c r="I62" s="102"/>
      <c r="J62" s="105"/>
      <c r="K62" s="105"/>
      <c r="L62" s="105"/>
      <c r="M62" s="105">
        <f t="shared" si="21"/>
        <v>0</v>
      </c>
      <c r="N62" s="105"/>
      <c r="O62" s="105"/>
      <c r="P62" s="105">
        <f t="shared" si="22"/>
        <v>0</v>
      </c>
      <c r="Q62" s="105"/>
      <c r="R62" s="105">
        <f t="shared" si="0"/>
        <v>0</v>
      </c>
      <c r="S62" s="105"/>
      <c r="T62" s="105">
        <f t="shared" si="23"/>
        <v>0</v>
      </c>
      <c r="U62" s="105"/>
      <c r="V62" s="91">
        <f t="shared" si="19"/>
        <v>0</v>
      </c>
      <c r="W62" s="105"/>
      <c r="X62" s="105">
        <f t="shared" si="24"/>
        <v>0</v>
      </c>
      <c r="Y62" s="105"/>
      <c r="Z62" s="105">
        <f t="shared" si="2"/>
        <v>0</v>
      </c>
      <c r="AA62" s="105"/>
      <c r="AB62" s="105">
        <f t="shared" si="25"/>
        <v>0</v>
      </c>
      <c r="AC62" s="105"/>
      <c r="AD62" s="105">
        <f t="shared" si="4"/>
        <v>0</v>
      </c>
      <c r="AE62" s="105"/>
      <c r="AF62" s="105">
        <f t="shared" si="16"/>
        <v>0</v>
      </c>
      <c r="AG62" s="105"/>
      <c r="AH62" s="106"/>
      <c r="AK62" s="106">
        <f t="shared" si="6"/>
        <v>0</v>
      </c>
      <c r="AL62" s="106">
        <f t="shared" si="7"/>
        <v>0</v>
      </c>
      <c r="AN62" s="85" t="s">
        <v>94</v>
      </c>
      <c r="AO62" s="85">
        <v>0.44571153846153844</v>
      </c>
      <c r="AQ62" s="107"/>
      <c r="AR62" s="85" t="s">
        <v>121</v>
      </c>
      <c r="AS62" s="108">
        <v>321978.97439000005</v>
      </c>
    </row>
    <row r="63" spans="1:45" x14ac:dyDescent="0.2">
      <c r="A63" s="85" t="s">
        <v>34</v>
      </c>
      <c r="B63" s="101"/>
      <c r="C63" s="92" t="s">
        <v>548</v>
      </c>
      <c r="D63" s="92"/>
      <c r="F63" s="104">
        <f>SUM(F61:F62)</f>
        <v>0</v>
      </c>
      <c r="G63" s="104">
        <f>F63</f>
        <v>0</v>
      </c>
      <c r="H63" s="105">
        <f>VLOOKUP(A63,Data!$A$2:$Z$179,24,FALSE)</f>
        <v>27</v>
      </c>
      <c r="I63" s="105">
        <f>VLOOKUP(A63,Data!$A$2:$Z$179,25,FALSE)</f>
        <v>2.0910000000000002</v>
      </c>
      <c r="J63" s="105">
        <f>VLOOKUP(A63,Data!$A$2:$Z$179,7,FALSE)</f>
        <v>24.908999999999999</v>
      </c>
      <c r="K63" s="105">
        <f>$F63*J63</f>
        <v>0</v>
      </c>
      <c r="L63" s="105">
        <f>VLOOKUP(A63,Data!$A$2:$Z$179,8,FALSE)</f>
        <v>0</v>
      </c>
      <c r="M63" s="105">
        <f>L63*F63</f>
        <v>0</v>
      </c>
      <c r="N63" s="105">
        <f>VLOOKUP(A63,Data!$A$2:$Z$179,9,FALSE)</f>
        <v>0</v>
      </c>
      <c r="O63" s="105">
        <f>VLOOKUP(A62,Data!$A$2:$Z$179,10,FALSE)</f>
        <v>0</v>
      </c>
      <c r="P63" s="105">
        <f>O63*F63</f>
        <v>0</v>
      </c>
      <c r="Q63" s="105">
        <f>VLOOKUP(A63,Data!$A$2:$Z$179,11,FALSE)</f>
        <v>0</v>
      </c>
      <c r="R63" s="105">
        <f>$F63*Q63</f>
        <v>0</v>
      </c>
      <c r="S63" s="105">
        <f>VLOOKUP(A63,Data!$A$2:$Z$179,12,FALSE)</f>
        <v>0</v>
      </c>
      <c r="T63" s="105">
        <f>S63*F63</f>
        <v>0</v>
      </c>
      <c r="U63" s="105">
        <f>VLOOKUP(A63,Data!$A$2:$Z$179,13,FALSE)</f>
        <v>7.9656551822855758E-3</v>
      </c>
      <c r="V63" s="91">
        <f t="shared" si="19"/>
        <v>0</v>
      </c>
      <c r="W63" s="105">
        <f>VLOOKUP(A63,Data!$A$2:$Z$179,22,FALSE)</f>
        <v>0</v>
      </c>
      <c r="X63" s="105">
        <f>W63*F63</f>
        <v>0</v>
      </c>
      <c r="Y63" s="105">
        <f>VLOOKUP(A63,Data!$A$2:$Z$179,19,FALSE)</f>
        <v>0</v>
      </c>
      <c r="Z63" s="105">
        <f>$F63*Y63</f>
        <v>0</v>
      </c>
      <c r="AA63" s="105">
        <f>VLOOKUP(A63,Data!$A$2:$Z$179,20,FALSE)</f>
        <v>0</v>
      </c>
      <c r="AB63" s="105">
        <f>$F63*AA63</f>
        <v>0</v>
      </c>
      <c r="AC63" s="105">
        <f>VLOOKUP(A63,Data!$A$2:$Z$179,21,FALSE)</f>
        <v>0</v>
      </c>
      <c r="AD63" s="105">
        <f t="shared" si="4"/>
        <v>0</v>
      </c>
      <c r="AE63" s="105">
        <f>J63+L63+N63+O63+Q63+S63+U63+W63+Y63+AA63+AC63</f>
        <v>24.916965655182285</v>
      </c>
      <c r="AF63" s="105">
        <f t="shared" si="16"/>
        <v>0</v>
      </c>
      <c r="AG63" s="105"/>
      <c r="AH63" s="106">
        <f>AE63-S63-W63</f>
        <v>24.916965655182285</v>
      </c>
      <c r="AI63" s="85">
        <f>AH63/AE63</f>
        <v>1</v>
      </c>
      <c r="AK63" s="106">
        <f t="shared" si="6"/>
        <v>0</v>
      </c>
      <c r="AL63" s="106">
        <f t="shared" si="7"/>
        <v>0</v>
      </c>
      <c r="AN63" s="85" t="s">
        <v>95</v>
      </c>
      <c r="AO63" s="85">
        <v>0.45097648465524109</v>
      </c>
      <c r="AQ63" s="107"/>
      <c r="AR63" s="110" t="s">
        <v>126</v>
      </c>
      <c r="AS63" s="108">
        <v>146297390.94924799</v>
      </c>
    </row>
    <row r="64" spans="1:45" x14ac:dyDescent="0.2">
      <c r="B64" s="101"/>
      <c r="C64" s="92"/>
      <c r="D64" s="92"/>
      <c r="F64" s="109"/>
      <c r="G64" s="109"/>
      <c r="H64" s="109"/>
      <c r="I64" s="109"/>
      <c r="J64" s="105"/>
      <c r="K64" s="105"/>
      <c r="L64" s="105"/>
      <c r="M64" s="105">
        <f t="shared" si="21"/>
        <v>0</v>
      </c>
      <c r="N64" s="105"/>
      <c r="O64" s="105"/>
      <c r="P64" s="105">
        <f t="shared" si="22"/>
        <v>0</v>
      </c>
      <c r="Q64" s="105"/>
      <c r="R64" s="105">
        <f t="shared" si="0"/>
        <v>0</v>
      </c>
      <c r="S64" s="105"/>
      <c r="T64" s="105">
        <f t="shared" si="23"/>
        <v>0</v>
      </c>
      <c r="U64" s="105"/>
      <c r="V64" s="91">
        <f t="shared" si="19"/>
        <v>0</v>
      </c>
      <c r="W64" s="105"/>
      <c r="X64" s="105">
        <f t="shared" si="24"/>
        <v>0</v>
      </c>
      <c r="Y64" s="105"/>
      <c r="Z64" s="105">
        <f t="shared" si="2"/>
        <v>0</v>
      </c>
      <c r="AA64" s="105"/>
      <c r="AB64" s="105">
        <f t="shared" si="25"/>
        <v>0</v>
      </c>
      <c r="AC64" s="105"/>
      <c r="AD64" s="105">
        <f t="shared" si="4"/>
        <v>0</v>
      </c>
      <c r="AE64" s="105"/>
      <c r="AF64" s="105">
        <f t="shared" si="16"/>
        <v>0</v>
      </c>
      <c r="AG64" s="105"/>
      <c r="AH64" s="106"/>
      <c r="AK64" s="106">
        <f t="shared" si="6"/>
        <v>0</v>
      </c>
      <c r="AL64" s="106">
        <f t="shared" si="7"/>
        <v>0</v>
      </c>
      <c r="AN64" s="85" t="s">
        <v>96</v>
      </c>
      <c r="AO64" s="85">
        <v>0.72981005646969821</v>
      </c>
      <c r="AQ64" s="107"/>
      <c r="AR64" s="85" t="s">
        <v>129</v>
      </c>
      <c r="AS64" s="108">
        <v>64534.698549999994</v>
      </c>
    </row>
    <row r="65" spans="1:45" x14ac:dyDescent="0.2">
      <c r="A65" s="112" t="s">
        <v>35</v>
      </c>
      <c r="B65" s="101" t="s">
        <v>36</v>
      </c>
      <c r="C65" s="86" t="s">
        <v>549</v>
      </c>
      <c r="F65" s="102">
        <f>E65</f>
        <v>0</v>
      </c>
      <c r="G65" s="102"/>
      <c r="H65" s="102"/>
      <c r="I65" s="102"/>
      <c r="J65" s="105"/>
      <c r="K65" s="105"/>
      <c r="L65" s="105"/>
      <c r="M65" s="105">
        <f t="shared" si="21"/>
        <v>0</v>
      </c>
      <c r="N65" s="105"/>
      <c r="O65" s="105"/>
      <c r="P65" s="105">
        <f t="shared" si="22"/>
        <v>0</v>
      </c>
      <c r="Q65" s="105"/>
      <c r="R65" s="105">
        <f t="shared" si="0"/>
        <v>0</v>
      </c>
      <c r="S65" s="105"/>
      <c r="T65" s="105">
        <f t="shared" si="23"/>
        <v>0</v>
      </c>
      <c r="U65" s="105"/>
      <c r="V65" s="91">
        <f t="shared" si="19"/>
        <v>0</v>
      </c>
      <c r="W65" s="105"/>
      <c r="X65" s="105">
        <f t="shared" si="24"/>
        <v>0</v>
      </c>
      <c r="Y65" s="105"/>
      <c r="Z65" s="105">
        <f t="shared" si="2"/>
        <v>0</v>
      </c>
      <c r="AA65" s="105"/>
      <c r="AB65" s="105">
        <f t="shared" si="25"/>
        <v>0</v>
      </c>
      <c r="AC65" s="105"/>
      <c r="AD65" s="105">
        <f t="shared" si="4"/>
        <v>0</v>
      </c>
      <c r="AE65" s="105"/>
      <c r="AF65" s="105">
        <f t="shared" si="16"/>
        <v>0</v>
      </c>
      <c r="AG65" s="105"/>
      <c r="AH65" s="106"/>
      <c r="AK65" s="106">
        <f t="shared" si="6"/>
        <v>0</v>
      </c>
      <c r="AL65" s="106">
        <f t="shared" si="7"/>
        <v>0</v>
      </c>
      <c r="AN65" s="85" t="s">
        <v>97</v>
      </c>
      <c r="AO65" s="85">
        <v>0.70337063901014141</v>
      </c>
      <c r="AQ65" s="107"/>
      <c r="AR65" s="112" t="s">
        <v>131</v>
      </c>
      <c r="AS65" s="108">
        <v>139354.58386799999</v>
      </c>
    </row>
    <row r="66" spans="1:45" x14ac:dyDescent="0.2">
      <c r="A66" s="112" t="s">
        <v>35</v>
      </c>
      <c r="B66" s="101" t="s">
        <v>120</v>
      </c>
      <c r="C66" s="86" t="s">
        <v>549</v>
      </c>
      <c r="F66" s="102">
        <f>E66</f>
        <v>0</v>
      </c>
      <c r="G66" s="102"/>
      <c r="H66" s="102"/>
      <c r="I66" s="102"/>
      <c r="J66" s="105"/>
      <c r="K66" s="105"/>
      <c r="L66" s="105"/>
      <c r="M66" s="105">
        <f t="shared" si="21"/>
        <v>0</v>
      </c>
      <c r="N66" s="105"/>
      <c r="O66" s="105"/>
      <c r="P66" s="105">
        <f t="shared" si="22"/>
        <v>0</v>
      </c>
      <c r="Q66" s="105"/>
      <c r="R66" s="105">
        <f t="shared" si="0"/>
        <v>0</v>
      </c>
      <c r="S66" s="105"/>
      <c r="T66" s="105">
        <f t="shared" si="23"/>
        <v>0</v>
      </c>
      <c r="U66" s="105"/>
      <c r="V66" s="91">
        <f t="shared" si="19"/>
        <v>0</v>
      </c>
      <c r="W66" s="105"/>
      <c r="X66" s="105">
        <f t="shared" si="24"/>
        <v>0</v>
      </c>
      <c r="Y66" s="105"/>
      <c r="Z66" s="105">
        <f t="shared" si="2"/>
        <v>0</v>
      </c>
      <c r="AA66" s="105"/>
      <c r="AB66" s="105">
        <f t="shared" si="25"/>
        <v>0</v>
      </c>
      <c r="AC66" s="105"/>
      <c r="AD66" s="105">
        <f t="shared" si="4"/>
        <v>0</v>
      </c>
      <c r="AE66" s="105"/>
      <c r="AF66" s="105">
        <f t="shared" si="16"/>
        <v>0</v>
      </c>
      <c r="AG66" s="105"/>
      <c r="AH66" s="106"/>
      <c r="AK66" s="106">
        <f t="shared" si="6"/>
        <v>0</v>
      </c>
      <c r="AL66" s="106">
        <f t="shared" si="7"/>
        <v>0</v>
      </c>
      <c r="AN66" s="85" t="s">
        <v>98</v>
      </c>
      <c r="AO66" s="85">
        <v>0.3284459119144888</v>
      </c>
      <c r="AQ66" s="107"/>
      <c r="AR66" s="85" t="s">
        <v>132</v>
      </c>
      <c r="AS66" s="108">
        <v>172308.03750000001</v>
      </c>
    </row>
    <row r="67" spans="1:45" x14ac:dyDescent="0.2">
      <c r="A67" s="112" t="s">
        <v>35</v>
      </c>
      <c r="B67" s="101"/>
      <c r="C67" s="92" t="s">
        <v>550</v>
      </c>
      <c r="D67" s="92"/>
      <c r="F67" s="104">
        <f>SUM(F65:F66)</f>
        <v>0</v>
      </c>
      <c r="G67" s="104">
        <f>F67</f>
        <v>0</v>
      </c>
      <c r="H67" s="105">
        <f>VLOOKUP(A67,Data!$A$2:$Z$179,24,FALSE)</f>
        <v>27</v>
      </c>
      <c r="I67" s="105">
        <f>VLOOKUP(A67,Data!$A$2:$Z$179,25,FALSE)</f>
        <v>4.9859999999999998</v>
      </c>
      <c r="J67" s="105">
        <f>VLOOKUP(A67,Data!$A$2:$Z$179,7,FALSE)</f>
        <v>22.013999999999999</v>
      </c>
      <c r="K67" s="105">
        <f>$F67*J67</f>
        <v>0</v>
      </c>
      <c r="L67" s="105">
        <f>VLOOKUP(A67,Data!$A$2:$Z$179,8,FALSE)</f>
        <v>0</v>
      </c>
      <c r="M67" s="105">
        <f>L67*F67</f>
        <v>0</v>
      </c>
      <c r="N67" s="105">
        <f>VLOOKUP(A67,Data!$A$2:$Z$179,9,FALSE)</f>
        <v>0</v>
      </c>
      <c r="O67" s="105">
        <f>VLOOKUP(A66,Data!$A$2:$Z$179,10,FALSE)</f>
        <v>0</v>
      </c>
      <c r="P67" s="105">
        <f>O67*F67</f>
        <v>0</v>
      </c>
      <c r="Q67" s="105">
        <f>VLOOKUP(A67,Data!$A$2:$Z$179,11,FALSE)</f>
        <v>0</v>
      </c>
      <c r="R67" s="105">
        <f>$F67*Q67</f>
        <v>0</v>
      </c>
      <c r="S67" s="105">
        <f>VLOOKUP(A67,Data!$A$2:$Z$179,12,FALSE)</f>
        <v>0</v>
      </c>
      <c r="T67" s="105">
        <f>S67*F67</f>
        <v>0</v>
      </c>
      <c r="U67" s="105">
        <f>VLOOKUP(A67,Data!$A$2:$Z$179,13,FALSE)</f>
        <v>5.715816051354386E-2</v>
      </c>
      <c r="V67" s="91">
        <f t="shared" si="19"/>
        <v>0</v>
      </c>
      <c r="W67" s="105">
        <f>VLOOKUP(A67,Data!$A$2:$Z$179,22,FALSE)</f>
        <v>0</v>
      </c>
      <c r="X67" s="105">
        <f>W67*F67</f>
        <v>0</v>
      </c>
      <c r="Y67" s="105">
        <f>VLOOKUP(A67,Data!$A$2:$Z$179,19,FALSE)</f>
        <v>0</v>
      </c>
      <c r="Z67" s="105">
        <f>$F67*Y67</f>
        <v>0</v>
      </c>
      <c r="AA67" s="105">
        <f>VLOOKUP(A67,Data!$A$2:$Z$179,20,FALSE)</f>
        <v>0</v>
      </c>
      <c r="AB67" s="105">
        <f>$F67*AA67</f>
        <v>0</v>
      </c>
      <c r="AC67" s="105">
        <f>VLOOKUP(A67,Data!$A$2:$Z$179,21,FALSE)</f>
        <v>0</v>
      </c>
      <c r="AD67" s="105">
        <f t="shared" si="4"/>
        <v>0</v>
      </c>
      <c r="AE67" s="105">
        <f>J67+L67+N67+O67+Q67+S67+U67+W67+Y67+AA67+AC67</f>
        <v>22.071158160513544</v>
      </c>
      <c r="AF67" s="105">
        <f t="shared" si="16"/>
        <v>0</v>
      </c>
      <c r="AG67" s="105"/>
      <c r="AH67" s="106">
        <f>AE67-S67-W67</f>
        <v>22.071158160513544</v>
      </c>
      <c r="AI67" s="85">
        <f>AH67/AE67</f>
        <v>1</v>
      </c>
      <c r="AK67" s="106">
        <f t="shared" si="6"/>
        <v>0</v>
      </c>
      <c r="AL67" s="106">
        <f t="shared" si="7"/>
        <v>0</v>
      </c>
      <c r="AN67" s="85" t="s">
        <v>99</v>
      </c>
      <c r="AO67" s="85">
        <v>0.51971960314438648</v>
      </c>
      <c r="AQ67" s="107"/>
      <c r="AR67" s="85" t="s">
        <v>134</v>
      </c>
      <c r="AS67" s="108">
        <v>358043.54157499998</v>
      </c>
    </row>
    <row r="68" spans="1:45" x14ac:dyDescent="0.2">
      <c r="B68" s="101"/>
      <c r="C68" s="92"/>
      <c r="D68" s="92"/>
      <c r="F68" s="109"/>
      <c r="G68" s="109"/>
      <c r="H68" s="109"/>
      <c r="I68" s="109"/>
      <c r="J68" s="105"/>
      <c r="K68" s="105"/>
      <c r="L68" s="105"/>
      <c r="M68" s="105">
        <f t="shared" si="21"/>
        <v>0</v>
      </c>
      <c r="N68" s="105"/>
      <c r="O68" s="105"/>
      <c r="P68" s="105">
        <f t="shared" si="22"/>
        <v>0</v>
      </c>
      <c r="Q68" s="105"/>
      <c r="R68" s="105">
        <f t="shared" si="0"/>
        <v>0</v>
      </c>
      <c r="S68" s="105"/>
      <c r="T68" s="105">
        <f t="shared" si="23"/>
        <v>0</v>
      </c>
      <c r="U68" s="105"/>
      <c r="V68" s="91">
        <f t="shared" si="19"/>
        <v>0</v>
      </c>
      <c r="W68" s="105"/>
      <c r="X68" s="105">
        <f t="shared" si="24"/>
        <v>0</v>
      </c>
      <c r="Y68" s="105"/>
      <c r="Z68" s="105">
        <f t="shared" si="2"/>
        <v>0</v>
      </c>
      <c r="AA68" s="105"/>
      <c r="AB68" s="105">
        <f t="shared" si="25"/>
        <v>0</v>
      </c>
      <c r="AC68" s="105"/>
      <c r="AD68" s="105">
        <f t="shared" si="4"/>
        <v>0</v>
      </c>
      <c r="AE68" s="105"/>
      <c r="AF68" s="105">
        <f t="shared" si="16"/>
        <v>0</v>
      </c>
      <c r="AG68" s="105"/>
      <c r="AH68" s="106"/>
      <c r="AK68" s="106">
        <f t="shared" si="6"/>
        <v>0</v>
      </c>
      <c r="AL68" s="106">
        <f t="shared" si="7"/>
        <v>0</v>
      </c>
      <c r="AN68" s="85" t="s">
        <v>100</v>
      </c>
      <c r="AO68" s="85">
        <v>0.56284365835777128</v>
      </c>
      <c r="AQ68" s="107"/>
      <c r="AR68" s="112" t="s">
        <v>135</v>
      </c>
      <c r="AS68" s="108">
        <v>667742.108136</v>
      </c>
    </row>
    <row r="69" spans="1:45" x14ac:dyDescent="0.2">
      <c r="A69" s="85" t="s">
        <v>37</v>
      </c>
      <c r="B69" s="101" t="s">
        <v>38</v>
      </c>
      <c r="C69" s="86" t="s">
        <v>551</v>
      </c>
      <c r="F69" s="102">
        <f>E69</f>
        <v>0</v>
      </c>
      <c r="G69" s="103"/>
      <c r="H69" s="103"/>
      <c r="I69" s="103"/>
      <c r="J69" s="105"/>
      <c r="K69" s="105"/>
      <c r="L69" s="105"/>
      <c r="M69" s="105">
        <f t="shared" si="21"/>
        <v>0</v>
      </c>
      <c r="N69" s="105"/>
      <c r="O69" s="105"/>
      <c r="P69" s="105">
        <f t="shared" si="22"/>
        <v>0</v>
      </c>
      <c r="Q69" s="105"/>
      <c r="R69" s="105">
        <f t="shared" si="0"/>
        <v>0</v>
      </c>
      <c r="S69" s="105"/>
      <c r="T69" s="105">
        <f t="shared" si="23"/>
        <v>0</v>
      </c>
      <c r="U69" s="105"/>
      <c r="V69" s="91">
        <f t="shared" si="19"/>
        <v>0</v>
      </c>
      <c r="W69" s="105"/>
      <c r="X69" s="105">
        <f t="shared" si="24"/>
        <v>0</v>
      </c>
      <c r="Y69" s="105"/>
      <c r="Z69" s="105">
        <f t="shared" si="2"/>
        <v>0</v>
      </c>
      <c r="AA69" s="105"/>
      <c r="AB69" s="105">
        <f t="shared" si="25"/>
        <v>0</v>
      </c>
      <c r="AC69" s="105"/>
      <c r="AD69" s="105">
        <f t="shared" si="4"/>
        <v>0</v>
      </c>
      <c r="AE69" s="105"/>
      <c r="AF69" s="105">
        <v>0</v>
      </c>
      <c r="AG69" s="105"/>
      <c r="AH69" s="106"/>
      <c r="AK69" s="106">
        <f t="shared" si="6"/>
        <v>0</v>
      </c>
      <c r="AL69" s="106">
        <f t="shared" si="7"/>
        <v>0</v>
      </c>
      <c r="AN69" s="85" t="s">
        <v>101</v>
      </c>
      <c r="AO69" s="85">
        <v>0.73972715318869164</v>
      </c>
      <c r="AQ69" s="107"/>
      <c r="AR69" s="85" t="s">
        <v>137</v>
      </c>
      <c r="AS69" s="108">
        <v>11649354.989279998</v>
      </c>
    </row>
    <row r="70" spans="1:45" x14ac:dyDescent="0.2">
      <c r="A70" s="85" t="s">
        <v>37</v>
      </c>
      <c r="B70" s="101"/>
      <c r="C70" s="92" t="s">
        <v>552</v>
      </c>
      <c r="D70" s="92"/>
      <c r="F70" s="104">
        <f>SUM(F69)</f>
        <v>0</v>
      </c>
      <c r="G70" s="104">
        <f>F70</f>
        <v>0</v>
      </c>
      <c r="H70" s="105">
        <f>VLOOKUP(A70,Data!$A$2:$Z$179,24,FALSE)</f>
        <v>27</v>
      </c>
      <c r="I70" s="105">
        <f>VLOOKUP(A70,Data!$A$2:$Z$179,25,FALSE)</f>
        <v>6.6989999999999998</v>
      </c>
      <c r="J70" s="105">
        <f>VLOOKUP(A70,Data!$A$2:$Z$179,7,FALSE)</f>
        <v>20.300999999999998</v>
      </c>
      <c r="K70" s="105">
        <f>$F70*J70</f>
        <v>0</v>
      </c>
      <c r="L70" s="105">
        <f>VLOOKUP(A70,Data!$A$2:$Z$179,8,FALSE)</f>
        <v>0</v>
      </c>
      <c r="M70" s="105">
        <f>L70*F70</f>
        <v>0</v>
      </c>
      <c r="N70" s="105">
        <f>VLOOKUP(A70,Data!$A$2:$Z$179,9,FALSE)</f>
        <v>0</v>
      </c>
      <c r="O70" s="105">
        <f>VLOOKUP(A69,Data!$A$2:$Z$179,10,FALSE)</f>
        <v>0</v>
      </c>
      <c r="P70" s="105">
        <f>O70*F70</f>
        <v>0</v>
      </c>
      <c r="Q70" s="105">
        <f>VLOOKUP(A70,Data!$A$2:$Z$179,11,FALSE)</f>
        <v>0</v>
      </c>
      <c r="R70" s="105">
        <f>$F70*Q70</f>
        <v>0</v>
      </c>
      <c r="S70" s="105">
        <f>VLOOKUP(A70,Data!$A$2:$Z$179,12,FALSE)</f>
        <v>0</v>
      </c>
      <c r="T70" s="105">
        <f>S70*F70</f>
        <v>0</v>
      </c>
      <c r="U70" s="105">
        <f>VLOOKUP(A70,Data!$A$2:$Z$179,13,FALSE)</f>
        <v>2.3482583940341356E-4</v>
      </c>
      <c r="V70" s="91">
        <f t="shared" si="19"/>
        <v>0</v>
      </c>
      <c r="W70" s="105">
        <f>VLOOKUP(A70,Data!$A$2:$Z$179,22,FALSE)</f>
        <v>0</v>
      </c>
      <c r="X70" s="105">
        <f>W70*F70</f>
        <v>0</v>
      </c>
      <c r="Y70" s="105">
        <f>VLOOKUP(A70,Data!$A$2:$Z$179,19,FALSE)</f>
        <v>0</v>
      </c>
      <c r="Z70" s="105">
        <f>$F70*Y70</f>
        <v>0</v>
      </c>
      <c r="AA70" s="105">
        <f>VLOOKUP(A70,Data!$A$2:$Z$179,20,FALSE)</f>
        <v>0</v>
      </c>
      <c r="AB70" s="105">
        <f>$F70*AA70</f>
        <v>0</v>
      </c>
      <c r="AC70" s="105">
        <f>VLOOKUP(A70,Data!$A$2:$Z$179,21,FALSE)</f>
        <v>0</v>
      </c>
      <c r="AD70" s="105">
        <f t="shared" si="4"/>
        <v>0</v>
      </c>
      <c r="AE70" s="105">
        <f>J70+L70+N70+O70+Q70+S70+U70+W70+Y70+AA70+AC70</f>
        <v>20.301234825839401</v>
      </c>
      <c r="AF70" s="105">
        <f t="shared" si="16"/>
        <v>0</v>
      </c>
      <c r="AG70" s="105"/>
      <c r="AH70" s="106">
        <f>AE70-S70-W70</f>
        <v>20.301234825839401</v>
      </c>
      <c r="AI70" s="85">
        <f>AH70/AE70</f>
        <v>1</v>
      </c>
      <c r="AK70" s="106">
        <f t="shared" si="6"/>
        <v>0</v>
      </c>
      <c r="AL70" s="106">
        <f t="shared" si="7"/>
        <v>0</v>
      </c>
      <c r="AN70" s="85" t="s">
        <v>102</v>
      </c>
      <c r="AO70" s="85">
        <v>0.80850457637380246</v>
      </c>
      <c r="AQ70" s="107"/>
      <c r="AR70" s="112" t="s">
        <v>139</v>
      </c>
      <c r="AS70" s="108">
        <v>1934864.1668159999</v>
      </c>
    </row>
    <row r="71" spans="1:45" x14ac:dyDescent="0.2">
      <c r="B71" s="101"/>
      <c r="C71" s="92"/>
      <c r="D71" s="92"/>
      <c r="G71" s="109"/>
      <c r="H71" s="109"/>
      <c r="I71" s="109"/>
      <c r="J71" s="105"/>
      <c r="K71" s="105"/>
      <c r="L71" s="105"/>
      <c r="M71" s="105">
        <f t="shared" si="21"/>
        <v>0</v>
      </c>
      <c r="N71" s="105"/>
      <c r="O71" s="105"/>
      <c r="P71" s="105">
        <f t="shared" si="22"/>
        <v>0</v>
      </c>
      <c r="Q71" s="105"/>
      <c r="R71" s="105">
        <f t="shared" si="0"/>
        <v>0</v>
      </c>
      <c r="S71" s="105"/>
      <c r="T71" s="105">
        <f t="shared" si="23"/>
        <v>0</v>
      </c>
      <c r="U71" s="105"/>
      <c r="V71" s="91">
        <f t="shared" si="19"/>
        <v>0</v>
      </c>
      <c r="W71" s="105"/>
      <c r="X71" s="105">
        <f t="shared" si="24"/>
        <v>0</v>
      </c>
      <c r="Y71" s="105"/>
      <c r="Z71" s="105">
        <f t="shared" si="2"/>
        <v>0</v>
      </c>
      <c r="AA71" s="105"/>
      <c r="AB71" s="105">
        <f>$F69*AA71</f>
        <v>0</v>
      </c>
      <c r="AC71" s="105"/>
      <c r="AD71" s="105">
        <f t="shared" si="4"/>
        <v>0</v>
      </c>
      <c r="AE71" s="105"/>
      <c r="AF71" s="105">
        <f>$F69*AE71</f>
        <v>0</v>
      </c>
      <c r="AG71" s="105"/>
      <c r="AH71" s="106"/>
      <c r="AK71" s="106">
        <f t="shared" si="6"/>
        <v>0</v>
      </c>
      <c r="AL71" s="106">
        <f t="shared" si="7"/>
        <v>0</v>
      </c>
      <c r="AN71" s="85" t="s">
        <v>103</v>
      </c>
      <c r="AO71" s="85">
        <v>0.65763666375376251</v>
      </c>
      <c r="AQ71" s="107"/>
      <c r="AR71" s="85" t="s">
        <v>140</v>
      </c>
      <c r="AS71" s="108">
        <v>1099911.15234</v>
      </c>
    </row>
    <row r="72" spans="1:45" x14ac:dyDescent="0.2">
      <c r="A72" s="85" t="s">
        <v>39</v>
      </c>
      <c r="B72" s="101" t="s">
        <v>38</v>
      </c>
      <c r="C72" s="86" t="s">
        <v>553</v>
      </c>
      <c r="F72" s="102">
        <f>E72</f>
        <v>0</v>
      </c>
      <c r="G72" s="103"/>
      <c r="H72" s="103"/>
      <c r="I72" s="103"/>
      <c r="J72" s="105"/>
      <c r="K72" s="105"/>
      <c r="L72" s="105"/>
      <c r="M72" s="105">
        <f t="shared" si="21"/>
        <v>0</v>
      </c>
      <c r="N72" s="105"/>
      <c r="O72" s="105"/>
      <c r="P72" s="105">
        <f t="shared" si="22"/>
        <v>0</v>
      </c>
      <c r="Q72" s="105"/>
      <c r="R72" s="105">
        <f t="shared" ref="R72:R88" si="26">$F72*Q72</f>
        <v>0</v>
      </c>
      <c r="S72" s="105"/>
      <c r="T72" s="105">
        <f t="shared" si="23"/>
        <v>0</v>
      </c>
      <c r="U72" s="105"/>
      <c r="V72" s="91">
        <f t="shared" si="19"/>
        <v>0</v>
      </c>
      <c r="W72" s="105"/>
      <c r="X72" s="105">
        <f t="shared" si="24"/>
        <v>0</v>
      </c>
      <c r="Y72" s="105"/>
      <c r="Z72" s="105">
        <f t="shared" ref="Z72:Z88" si="27">$F72*Y72</f>
        <v>0</v>
      </c>
      <c r="AA72" s="105"/>
      <c r="AB72" s="105">
        <f t="shared" ref="AB72:AB87" si="28">$F70*AA72</f>
        <v>0</v>
      </c>
      <c r="AC72" s="105"/>
      <c r="AD72" s="105">
        <f t="shared" ref="AD72:AD87" si="29">$F72*AC72</f>
        <v>0</v>
      </c>
      <c r="AE72" s="105"/>
      <c r="AF72" s="105">
        <v>0</v>
      </c>
      <c r="AG72" s="105"/>
      <c r="AH72" s="106"/>
      <c r="AK72" s="106">
        <f t="shared" ref="AK72:AK135" si="30">O72+Q72+S72</f>
        <v>0</v>
      </c>
      <c r="AL72" s="106">
        <f t="shared" ref="AL72:AL135" si="31">O72+Q72+S72</f>
        <v>0</v>
      </c>
      <c r="AN72" s="85" t="s">
        <v>105</v>
      </c>
      <c r="AO72" s="85">
        <v>0.54324306162220282</v>
      </c>
      <c r="AQ72" s="107"/>
      <c r="AR72" s="85" t="s">
        <v>141</v>
      </c>
      <c r="AS72" s="108">
        <v>43010599.300949</v>
      </c>
    </row>
    <row r="73" spans="1:45" x14ac:dyDescent="0.2">
      <c r="A73" s="85" t="s">
        <v>39</v>
      </c>
      <c r="B73" s="101"/>
      <c r="C73" s="92" t="s">
        <v>554</v>
      </c>
      <c r="D73" s="92"/>
      <c r="F73" s="104">
        <f>SUM(F72)</f>
        <v>0</v>
      </c>
      <c r="G73" s="104">
        <f>F73</f>
        <v>0</v>
      </c>
      <c r="H73" s="105">
        <f>VLOOKUP(A73,Data!$A$2:$Z$179,24,FALSE)</f>
        <v>26.992000000000001</v>
      </c>
      <c r="I73" s="105">
        <f>VLOOKUP(A73,Data!$A$2:$Z$179,25,FALSE)</f>
        <v>7.1910000000000007</v>
      </c>
      <c r="J73" s="105">
        <f>VLOOKUP(A73,Data!$A$2:$Z$179,7,FALSE)</f>
        <v>19.800999999999998</v>
      </c>
      <c r="K73" s="105">
        <f>$F73*J73</f>
        <v>0</v>
      </c>
      <c r="L73" s="105">
        <f>VLOOKUP(A73,Data!$A$2:$Z$179,8,FALSE)</f>
        <v>0</v>
      </c>
      <c r="M73" s="105">
        <f>L73*F73</f>
        <v>0</v>
      </c>
      <c r="N73" s="105">
        <f>VLOOKUP(A73,Data!$A$2:$Z$179,9,FALSE)</f>
        <v>0</v>
      </c>
      <c r="O73" s="105">
        <f>VLOOKUP(A72,Data!$A$2:$Z$179,10,FALSE)</f>
        <v>0</v>
      </c>
      <c r="P73" s="105">
        <f>O73*F73</f>
        <v>0</v>
      </c>
      <c r="Q73" s="105">
        <f>VLOOKUP(A73,Data!$A$2:$Z$179,11,FALSE)</f>
        <v>0</v>
      </c>
      <c r="R73" s="105">
        <f t="shared" si="26"/>
        <v>0</v>
      </c>
      <c r="S73" s="105">
        <f>VLOOKUP(A73,Data!$A$2:$Z$179,12,FALSE)</f>
        <v>3.6080000000000001</v>
      </c>
      <c r="T73" s="105">
        <f>S73*F73</f>
        <v>0</v>
      </c>
      <c r="U73" s="105">
        <f>VLOOKUP(A73,Data!$A$2:$Z$179,13,FALSE)</f>
        <v>5.7724080913575939E-4</v>
      </c>
      <c r="V73" s="91">
        <f t="shared" si="19"/>
        <v>0</v>
      </c>
      <c r="W73" s="105">
        <f>VLOOKUP(A73,Data!$A$2:$Z$179,22,FALSE)</f>
        <v>0</v>
      </c>
      <c r="X73" s="105">
        <f>W73*F73</f>
        <v>0</v>
      </c>
      <c r="Y73" s="105">
        <f>VLOOKUP(A73,Data!$A$2:$Z$179,19,FALSE)</f>
        <v>0</v>
      </c>
      <c r="Z73" s="105">
        <f t="shared" si="27"/>
        <v>0</v>
      </c>
      <c r="AA73" s="105">
        <f>VLOOKUP(A73,Data!$A$2:$Z$179,20,FALSE)</f>
        <v>0</v>
      </c>
      <c r="AB73" s="105">
        <f>$F73*AA73</f>
        <v>0</v>
      </c>
      <c r="AC73" s="105">
        <f>VLOOKUP(A73,Data!$A$2:$Z$179,21,FALSE)</f>
        <v>0</v>
      </c>
      <c r="AD73" s="105">
        <f t="shared" si="29"/>
        <v>0</v>
      </c>
      <c r="AE73" s="105">
        <f>J73+L73+N73+O73+Q73+S73+U73+W73+Y73+AA73+AC73</f>
        <v>23.409577240809135</v>
      </c>
      <c r="AF73" s="105">
        <f>$F73*AE73</f>
        <v>0</v>
      </c>
      <c r="AG73" s="105"/>
      <c r="AH73" s="106">
        <f>AE73-S73-W73</f>
        <v>19.801577240809134</v>
      </c>
      <c r="AI73" s="85">
        <f>AH73/AE73</f>
        <v>0.84587504665781432</v>
      </c>
      <c r="AK73" s="106">
        <f t="shared" si="30"/>
        <v>3.6080000000000001</v>
      </c>
      <c r="AL73" s="106">
        <f t="shared" si="31"/>
        <v>3.6080000000000001</v>
      </c>
      <c r="AN73" s="85" t="s">
        <v>107</v>
      </c>
      <c r="AO73" s="85">
        <v>0.91581074254925077</v>
      </c>
      <c r="AQ73" s="107"/>
      <c r="AR73" s="85" t="s">
        <v>143</v>
      </c>
      <c r="AS73" s="108">
        <v>29867085.549444001</v>
      </c>
    </row>
    <row r="74" spans="1:45" x14ac:dyDescent="0.2">
      <c r="B74" s="101"/>
      <c r="C74" s="92"/>
      <c r="D74" s="92"/>
      <c r="G74" s="109"/>
      <c r="H74" s="109"/>
      <c r="I74" s="109"/>
      <c r="J74" s="105"/>
      <c r="K74" s="105"/>
      <c r="L74" s="105"/>
      <c r="M74" s="105">
        <f t="shared" si="21"/>
        <v>0</v>
      </c>
      <c r="N74" s="105"/>
      <c r="O74" s="105"/>
      <c r="P74" s="105">
        <f t="shared" si="22"/>
        <v>0</v>
      </c>
      <c r="Q74" s="105"/>
      <c r="R74" s="105">
        <f t="shared" si="26"/>
        <v>0</v>
      </c>
      <c r="S74" s="105"/>
      <c r="T74" s="105">
        <f t="shared" si="23"/>
        <v>0</v>
      </c>
      <c r="U74" s="105"/>
      <c r="V74" s="91">
        <f t="shared" si="19"/>
        <v>0</v>
      </c>
      <c r="W74" s="105"/>
      <c r="X74" s="105">
        <f t="shared" si="24"/>
        <v>0</v>
      </c>
      <c r="Y74" s="105"/>
      <c r="Z74" s="105">
        <f t="shared" si="27"/>
        <v>0</v>
      </c>
      <c r="AA74" s="105"/>
      <c r="AB74" s="105">
        <f t="shared" si="28"/>
        <v>0</v>
      </c>
      <c r="AC74" s="105"/>
      <c r="AD74" s="105">
        <f t="shared" si="29"/>
        <v>0</v>
      </c>
      <c r="AE74" s="105"/>
      <c r="AF74" s="105">
        <f>$F72*AE74</f>
        <v>0</v>
      </c>
      <c r="AG74" s="105"/>
      <c r="AH74" s="106"/>
      <c r="AK74" s="106">
        <f t="shared" si="30"/>
        <v>0</v>
      </c>
      <c r="AL74" s="106">
        <f t="shared" si="31"/>
        <v>0</v>
      </c>
      <c r="AN74" s="85" t="s">
        <v>108</v>
      </c>
      <c r="AO74" s="85">
        <v>0.49577637494890786</v>
      </c>
      <c r="AQ74" s="107"/>
      <c r="AR74" s="112" t="s">
        <v>144</v>
      </c>
      <c r="AS74" s="108">
        <v>2955717.193732</v>
      </c>
    </row>
    <row r="75" spans="1:45" x14ac:dyDescent="0.2">
      <c r="A75" s="85" t="s">
        <v>40</v>
      </c>
      <c r="B75" s="101" t="s">
        <v>38</v>
      </c>
      <c r="C75" s="86" t="s">
        <v>555</v>
      </c>
      <c r="F75" s="102">
        <f>E75</f>
        <v>0</v>
      </c>
      <c r="G75" s="103"/>
      <c r="H75" s="103"/>
      <c r="I75" s="103"/>
      <c r="J75" s="105"/>
      <c r="K75" s="105"/>
      <c r="L75" s="105"/>
      <c r="M75" s="105">
        <f t="shared" si="21"/>
        <v>0</v>
      </c>
      <c r="N75" s="105"/>
      <c r="O75" s="105"/>
      <c r="P75" s="105">
        <f t="shared" si="22"/>
        <v>0</v>
      </c>
      <c r="Q75" s="105"/>
      <c r="R75" s="105">
        <f t="shared" si="26"/>
        <v>0</v>
      </c>
      <c r="S75" s="105"/>
      <c r="T75" s="105">
        <f t="shared" si="23"/>
        <v>0</v>
      </c>
      <c r="U75" s="105"/>
      <c r="V75" s="91">
        <f t="shared" si="19"/>
        <v>0</v>
      </c>
      <c r="W75" s="105"/>
      <c r="X75" s="105">
        <f t="shared" si="24"/>
        <v>0</v>
      </c>
      <c r="Y75" s="105"/>
      <c r="Z75" s="105">
        <f t="shared" si="27"/>
        <v>0</v>
      </c>
      <c r="AA75" s="105"/>
      <c r="AB75" s="105">
        <f t="shared" si="28"/>
        <v>0</v>
      </c>
      <c r="AC75" s="105"/>
      <c r="AD75" s="105">
        <f t="shared" si="29"/>
        <v>0</v>
      </c>
      <c r="AE75" s="105"/>
      <c r="AF75" s="105">
        <f>$F73*AE75</f>
        <v>0</v>
      </c>
      <c r="AG75" s="105"/>
      <c r="AH75" s="106"/>
      <c r="AK75" s="106">
        <f t="shared" si="30"/>
        <v>0</v>
      </c>
      <c r="AL75" s="106">
        <f t="shared" si="31"/>
        <v>0</v>
      </c>
      <c r="AN75" s="85" t="s">
        <v>110</v>
      </c>
      <c r="AO75" s="85">
        <v>0.20494286703601106</v>
      </c>
      <c r="AQ75" s="107"/>
      <c r="AR75" s="85" t="s">
        <v>146</v>
      </c>
      <c r="AS75" s="108">
        <v>428415.15822000004</v>
      </c>
    </row>
    <row r="76" spans="1:45" x14ac:dyDescent="0.2">
      <c r="A76" s="85" t="s">
        <v>40</v>
      </c>
      <c r="B76" s="101"/>
      <c r="C76" s="92" t="s">
        <v>556</v>
      </c>
      <c r="D76" s="92"/>
      <c r="F76" s="104">
        <f>SUM(F75)</f>
        <v>0</v>
      </c>
      <c r="G76" s="104">
        <f>F76</f>
        <v>0</v>
      </c>
      <c r="H76" s="105">
        <f>VLOOKUP(A76,Data!$A$2:$Z$179,24,FALSE)</f>
        <v>27</v>
      </c>
      <c r="I76" s="105">
        <f>VLOOKUP(A76,Data!$A$2:$Z$179,25,FALSE)</f>
        <v>0</v>
      </c>
      <c r="J76" s="105">
        <f>VLOOKUP(A76,Data!$A$2:$Z$179,7,FALSE)</f>
        <v>27</v>
      </c>
      <c r="K76" s="105">
        <f>$F76*J76</f>
        <v>0</v>
      </c>
      <c r="L76" s="105">
        <f>VLOOKUP(A76,Data!$A$2:$Z$179,8,FALSE)</f>
        <v>0</v>
      </c>
      <c r="M76" s="105">
        <f>L76*F76</f>
        <v>0</v>
      </c>
      <c r="N76" s="105">
        <f>VLOOKUP(A76,Data!$A$2:$Z$179,9,FALSE)</f>
        <v>0</v>
      </c>
      <c r="O76" s="105">
        <f>VLOOKUP(A75,Data!$A$2:$Z$179,10,FALSE)</f>
        <v>0</v>
      </c>
      <c r="P76" s="105">
        <f>O76*F76</f>
        <v>0</v>
      </c>
      <c r="Q76" s="105">
        <f>VLOOKUP(A76,Data!$A$2:$Z$179,11,FALSE)</f>
        <v>0</v>
      </c>
      <c r="R76" s="105">
        <f t="shared" si="26"/>
        <v>0</v>
      </c>
      <c r="S76" s="105">
        <f>VLOOKUP(A76,Data!$A$2:$Z$179,12,FALSE)</f>
        <v>0</v>
      </c>
      <c r="T76" s="105">
        <f>S76*F76</f>
        <v>0</v>
      </c>
      <c r="U76" s="105">
        <f>VLOOKUP(A76,Data!$A$2:$Z$179,13,FALSE)</f>
        <v>3.322408907763489E-2</v>
      </c>
      <c r="V76" s="91">
        <f t="shared" si="19"/>
        <v>0</v>
      </c>
      <c r="W76" s="105">
        <f>VLOOKUP(A76,Data!$A$2:$Z$179,22,FALSE)</f>
        <v>0</v>
      </c>
      <c r="X76" s="105">
        <f>W76*F76</f>
        <v>0</v>
      </c>
      <c r="Y76" s="105">
        <f>VLOOKUP(A76,Data!$A$2:$Z$179,19,FALSE)</f>
        <v>0</v>
      </c>
      <c r="Z76" s="105">
        <f t="shared" si="27"/>
        <v>0</v>
      </c>
      <c r="AA76" s="105">
        <f>VLOOKUP(A76,Data!$A$2:$Z$179,20,FALSE)</f>
        <v>0</v>
      </c>
      <c r="AB76" s="105">
        <f>$F76*AA76</f>
        <v>0</v>
      </c>
      <c r="AC76" s="105">
        <f>VLOOKUP(A76,Data!$A$2:$Z$179,21,FALSE)</f>
        <v>0</v>
      </c>
      <c r="AD76" s="105">
        <f t="shared" si="29"/>
        <v>0</v>
      </c>
      <c r="AE76" s="105">
        <f>J76+L76+N76+O76+Q76+S76+U76+W76+Y76+AA76+AC76</f>
        <v>27.033224089077635</v>
      </c>
      <c r="AF76" s="105">
        <f>$F76*AE76</f>
        <v>0</v>
      </c>
      <c r="AG76" s="105"/>
      <c r="AH76" s="106">
        <f>AE76-S76-W76</f>
        <v>27.033224089077635</v>
      </c>
      <c r="AI76" s="85">
        <f>AH76/AE76</f>
        <v>1</v>
      </c>
      <c r="AK76" s="106">
        <f t="shared" si="30"/>
        <v>0</v>
      </c>
      <c r="AL76" s="106">
        <f t="shared" si="31"/>
        <v>0</v>
      </c>
      <c r="AN76" s="85" t="s">
        <v>111</v>
      </c>
      <c r="AO76" s="85">
        <v>0.15028708772866867</v>
      </c>
      <c r="AQ76" s="107"/>
      <c r="AR76" s="85" t="s">
        <v>148</v>
      </c>
      <c r="AS76" s="108">
        <v>29620.393650000002</v>
      </c>
    </row>
    <row r="77" spans="1:45" x14ac:dyDescent="0.2">
      <c r="B77" s="101"/>
      <c r="C77" s="92"/>
      <c r="D77" s="92"/>
      <c r="G77" s="109"/>
      <c r="H77" s="109"/>
      <c r="I77" s="109"/>
      <c r="J77" s="105"/>
      <c r="K77" s="105"/>
      <c r="L77" s="105"/>
      <c r="M77" s="105">
        <f t="shared" si="21"/>
        <v>0</v>
      </c>
      <c r="N77" s="105"/>
      <c r="O77" s="105"/>
      <c r="P77" s="105">
        <f t="shared" si="22"/>
        <v>0</v>
      </c>
      <c r="Q77" s="105"/>
      <c r="R77" s="105">
        <f t="shared" si="26"/>
        <v>0</v>
      </c>
      <c r="S77" s="105"/>
      <c r="T77" s="105">
        <f t="shared" si="23"/>
        <v>0</v>
      </c>
      <c r="U77" s="105"/>
      <c r="V77" s="91">
        <f t="shared" si="19"/>
        <v>0</v>
      </c>
      <c r="W77" s="105"/>
      <c r="X77" s="105">
        <f t="shared" si="24"/>
        <v>0</v>
      </c>
      <c r="Y77" s="105"/>
      <c r="Z77" s="105">
        <f t="shared" si="27"/>
        <v>0</v>
      </c>
      <c r="AA77" s="105"/>
      <c r="AB77" s="105">
        <f t="shared" si="28"/>
        <v>0</v>
      </c>
      <c r="AC77" s="105"/>
      <c r="AD77" s="105">
        <f t="shared" si="29"/>
        <v>0</v>
      </c>
      <c r="AE77" s="105"/>
      <c r="AF77" s="105">
        <f>$F75*AE77</f>
        <v>0</v>
      </c>
      <c r="AG77" s="105"/>
      <c r="AH77" s="106"/>
      <c r="AK77" s="106">
        <f t="shared" si="30"/>
        <v>0</v>
      </c>
      <c r="AL77" s="106">
        <f t="shared" si="31"/>
        <v>0</v>
      </c>
      <c r="AN77" s="85" t="s">
        <v>112</v>
      </c>
      <c r="AO77" s="85">
        <v>0.5940775681341719</v>
      </c>
      <c r="AQ77" s="107"/>
      <c r="AR77" s="85" t="s">
        <v>149</v>
      </c>
      <c r="AS77" s="108">
        <v>205006.97486999998</v>
      </c>
    </row>
    <row r="78" spans="1:45" x14ac:dyDescent="0.2">
      <c r="A78" s="85" t="s">
        <v>41</v>
      </c>
      <c r="B78" s="101" t="s">
        <v>38</v>
      </c>
      <c r="C78" s="86" t="s">
        <v>557</v>
      </c>
      <c r="F78" s="102">
        <f>E78</f>
        <v>0</v>
      </c>
      <c r="G78" s="103"/>
      <c r="H78" s="103"/>
      <c r="I78" s="103"/>
      <c r="J78" s="105"/>
      <c r="K78" s="105"/>
      <c r="L78" s="105"/>
      <c r="M78" s="105">
        <f t="shared" si="21"/>
        <v>0</v>
      </c>
      <c r="N78" s="105"/>
      <c r="O78" s="105"/>
      <c r="P78" s="105">
        <f t="shared" si="22"/>
        <v>0</v>
      </c>
      <c r="Q78" s="105"/>
      <c r="R78" s="105">
        <f t="shared" si="26"/>
        <v>0</v>
      </c>
      <c r="S78" s="105"/>
      <c r="T78" s="105">
        <f t="shared" si="23"/>
        <v>0</v>
      </c>
      <c r="U78" s="105"/>
      <c r="V78" s="91">
        <f t="shared" si="19"/>
        <v>0</v>
      </c>
      <c r="W78" s="105"/>
      <c r="X78" s="105">
        <f t="shared" si="24"/>
        <v>0</v>
      </c>
      <c r="Y78" s="105"/>
      <c r="Z78" s="105">
        <f t="shared" si="27"/>
        <v>0</v>
      </c>
      <c r="AA78" s="105"/>
      <c r="AB78" s="105">
        <f t="shared" si="28"/>
        <v>0</v>
      </c>
      <c r="AC78" s="105"/>
      <c r="AD78" s="105">
        <f t="shared" si="29"/>
        <v>0</v>
      </c>
      <c r="AE78" s="105"/>
      <c r="AF78" s="105">
        <f>$F76*AE78</f>
        <v>0</v>
      </c>
      <c r="AG78" s="105"/>
      <c r="AH78" s="106"/>
      <c r="AK78" s="106">
        <f t="shared" si="30"/>
        <v>0</v>
      </c>
      <c r="AL78" s="106">
        <f t="shared" si="31"/>
        <v>0</v>
      </c>
      <c r="AN78" s="85" t="s">
        <v>114</v>
      </c>
      <c r="AO78" s="85">
        <v>0.54843576306177533</v>
      </c>
      <c r="AQ78" s="107"/>
      <c r="AR78" s="85" t="s">
        <v>150</v>
      </c>
      <c r="AS78" s="108">
        <v>199992.89506000001</v>
      </c>
    </row>
    <row r="79" spans="1:45" x14ac:dyDescent="0.2">
      <c r="A79" s="85" t="s">
        <v>41</v>
      </c>
      <c r="B79" s="101"/>
      <c r="C79" s="92" t="s">
        <v>558</v>
      </c>
      <c r="D79" s="92"/>
      <c r="F79" s="104">
        <f>SUM(F78)</f>
        <v>0</v>
      </c>
      <c r="G79" s="104">
        <f>F79</f>
        <v>0</v>
      </c>
      <c r="H79" s="105">
        <f>VLOOKUP(A79,Data!$A$2:$Z$179,24,FALSE)</f>
        <v>27</v>
      </c>
      <c r="I79" s="105">
        <f>VLOOKUP(A79,Data!$A$2:$Z$179,25,FALSE)</f>
        <v>0</v>
      </c>
      <c r="J79" s="105">
        <f>VLOOKUP(A79,Data!$A$2:$Z$179,7,FALSE)</f>
        <v>27</v>
      </c>
      <c r="K79" s="105">
        <f>$F79*J79</f>
        <v>0</v>
      </c>
      <c r="L79" s="105">
        <f>VLOOKUP(A79,Data!$A$2:$Z$179,8,FALSE)</f>
        <v>0</v>
      </c>
      <c r="M79" s="105">
        <f>L79*F79</f>
        <v>0</v>
      </c>
      <c r="N79" s="105">
        <f>VLOOKUP(A79,Data!$A$2:$Z$179,9,FALSE)</f>
        <v>0</v>
      </c>
      <c r="O79" s="105">
        <f>VLOOKUP(A78,Data!$A$2:$Z$179,10,FALSE)</f>
        <v>0</v>
      </c>
      <c r="P79" s="105">
        <f>O79*F79</f>
        <v>0</v>
      </c>
      <c r="Q79" s="105">
        <f>VLOOKUP(A79,Data!$A$2:$Z$179,11,FALSE)</f>
        <v>0</v>
      </c>
      <c r="R79" s="105">
        <f t="shared" si="26"/>
        <v>0</v>
      </c>
      <c r="S79" s="105">
        <f>VLOOKUP(A79,Data!$A$2:$Z$179,12,FALSE)</f>
        <v>0</v>
      </c>
      <c r="T79" s="105">
        <f>S79*F79</f>
        <v>0</v>
      </c>
      <c r="U79" s="105">
        <f>VLOOKUP(A79,Data!$A$2:$Z$179,13,FALSE)</f>
        <v>0</v>
      </c>
      <c r="V79" s="91">
        <f t="shared" si="19"/>
        <v>0</v>
      </c>
      <c r="W79" s="105">
        <f>VLOOKUP(A79,Data!$A$2:$Z$179,22,FALSE)</f>
        <v>0</v>
      </c>
      <c r="X79" s="105">
        <f>W79*F79</f>
        <v>0</v>
      </c>
      <c r="Y79" s="105">
        <f>VLOOKUP(A79,Data!$A$2:$Z$179,19,FALSE)</f>
        <v>0</v>
      </c>
      <c r="Z79" s="105">
        <f t="shared" si="27"/>
        <v>0</v>
      </c>
      <c r="AA79" s="105">
        <f>VLOOKUP(A79,Data!$A$2:$Z$179,20,FALSE)</f>
        <v>0</v>
      </c>
      <c r="AB79" s="105">
        <f>$F79*AA79</f>
        <v>0</v>
      </c>
      <c r="AC79" s="105">
        <f>VLOOKUP(A79,Data!$A$2:$Z$179,21,FALSE)</f>
        <v>0</v>
      </c>
      <c r="AD79" s="105">
        <f t="shared" si="29"/>
        <v>0</v>
      </c>
      <c r="AE79" s="105">
        <f>J79+L79+N79+O79+Q79+S79+U79+W79+Y79+AA79+AC79</f>
        <v>27</v>
      </c>
      <c r="AF79" s="105">
        <f>$F79*AE79</f>
        <v>0</v>
      </c>
      <c r="AG79" s="105"/>
      <c r="AH79" s="106">
        <f>AE79-S79-W79</f>
        <v>27</v>
      </c>
      <c r="AI79" s="85">
        <f>AH79/AE79</f>
        <v>1</v>
      </c>
      <c r="AK79" s="106">
        <f t="shared" si="30"/>
        <v>0</v>
      </c>
      <c r="AL79" s="106">
        <f t="shared" si="31"/>
        <v>0</v>
      </c>
      <c r="AN79" s="85" t="s">
        <v>116</v>
      </c>
      <c r="AO79" s="85">
        <v>0.60918854415274448</v>
      </c>
      <c r="AQ79" s="107"/>
      <c r="AR79" s="112" t="s">
        <v>151</v>
      </c>
      <c r="AS79" s="108">
        <v>497945.98586399999</v>
      </c>
    </row>
    <row r="80" spans="1:45" x14ac:dyDescent="0.2">
      <c r="B80" s="101"/>
      <c r="C80" s="92"/>
      <c r="D80" s="92"/>
      <c r="G80" s="109"/>
      <c r="H80" s="109"/>
      <c r="I80" s="109"/>
      <c r="J80" s="105"/>
      <c r="K80" s="105"/>
      <c r="L80" s="105"/>
      <c r="M80" s="105">
        <f t="shared" si="21"/>
        <v>0</v>
      </c>
      <c r="N80" s="105"/>
      <c r="O80" s="105"/>
      <c r="P80" s="105">
        <f t="shared" si="22"/>
        <v>0</v>
      </c>
      <c r="Q80" s="105"/>
      <c r="R80" s="105">
        <f t="shared" si="26"/>
        <v>0</v>
      </c>
      <c r="S80" s="105"/>
      <c r="T80" s="105">
        <f t="shared" si="23"/>
        <v>0</v>
      </c>
      <c r="U80" s="105"/>
      <c r="V80" s="91">
        <f t="shared" si="19"/>
        <v>0</v>
      </c>
      <c r="W80" s="105"/>
      <c r="X80" s="105">
        <f t="shared" si="24"/>
        <v>0</v>
      </c>
      <c r="Y80" s="105"/>
      <c r="Z80" s="105">
        <f t="shared" si="27"/>
        <v>0</v>
      </c>
      <c r="AA80" s="105"/>
      <c r="AB80" s="105">
        <f t="shared" si="28"/>
        <v>0</v>
      </c>
      <c r="AC80" s="105"/>
      <c r="AD80" s="105">
        <f t="shared" si="29"/>
        <v>0</v>
      </c>
      <c r="AE80" s="105"/>
      <c r="AF80" s="105">
        <f>$F78*AE80</f>
        <v>0</v>
      </c>
      <c r="AG80" s="105"/>
      <c r="AH80" s="106"/>
      <c r="AK80" s="106">
        <f t="shared" si="30"/>
        <v>0</v>
      </c>
      <c r="AL80" s="106">
        <f t="shared" si="31"/>
        <v>0</v>
      </c>
      <c r="AN80" s="85" t="s">
        <v>117</v>
      </c>
      <c r="AO80" s="85">
        <v>0.50538151066692294</v>
      </c>
      <c r="AQ80" s="107"/>
      <c r="AR80" s="85" t="s">
        <v>153</v>
      </c>
      <c r="AS80" s="108">
        <v>536865.92550599994</v>
      </c>
    </row>
    <row r="81" spans="1:45" x14ac:dyDescent="0.2">
      <c r="A81" s="85" t="s">
        <v>42</v>
      </c>
      <c r="B81" s="101" t="s">
        <v>38</v>
      </c>
      <c r="C81" s="86" t="s">
        <v>559</v>
      </c>
      <c r="F81" s="102">
        <f>E81</f>
        <v>0</v>
      </c>
      <c r="G81" s="103"/>
      <c r="H81" s="103"/>
      <c r="I81" s="103"/>
      <c r="J81" s="105"/>
      <c r="K81" s="105"/>
      <c r="L81" s="105"/>
      <c r="M81" s="105">
        <f t="shared" si="21"/>
        <v>0</v>
      </c>
      <c r="N81" s="105"/>
      <c r="O81" s="105"/>
      <c r="P81" s="105">
        <f t="shared" si="22"/>
        <v>0</v>
      </c>
      <c r="Q81" s="105"/>
      <c r="R81" s="105">
        <f t="shared" si="26"/>
        <v>0</v>
      </c>
      <c r="S81" s="105"/>
      <c r="T81" s="105">
        <f t="shared" si="23"/>
        <v>0</v>
      </c>
      <c r="U81" s="105"/>
      <c r="V81" s="91">
        <f t="shared" si="19"/>
        <v>0</v>
      </c>
      <c r="W81" s="105"/>
      <c r="X81" s="105">
        <f t="shared" si="24"/>
        <v>0</v>
      </c>
      <c r="Y81" s="105"/>
      <c r="Z81" s="105">
        <f t="shared" si="27"/>
        <v>0</v>
      </c>
      <c r="AA81" s="105"/>
      <c r="AB81" s="105">
        <f t="shared" si="28"/>
        <v>0</v>
      </c>
      <c r="AC81" s="105"/>
      <c r="AD81" s="105">
        <f t="shared" si="29"/>
        <v>0</v>
      </c>
      <c r="AE81" s="105"/>
      <c r="AF81" s="105">
        <f>$F79*AE81</f>
        <v>0</v>
      </c>
      <c r="AG81" s="105"/>
      <c r="AH81" s="106"/>
      <c r="AK81" s="106">
        <f t="shared" si="30"/>
        <v>0</v>
      </c>
      <c r="AL81" s="106">
        <f t="shared" si="31"/>
        <v>0</v>
      </c>
      <c r="AN81" s="85" t="s">
        <v>119</v>
      </c>
      <c r="AO81" s="85">
        <v>0.9123337363966143</v>
      </c>
      <c r="AQ81" s="107"/>
      <c r="AR81" s="85" t="s">
        <v>155</v>
      </c>
      <c r="AS81" s="108">
        <v>500008.73316</v>
      </c>
    </row>
    <row r="82" spans="1:45" x14ac:dyDescent="0.2">
      <c r="A82" s="85" t="s">
        <v>42</v>
      </c>
      <c r="B82" s="101"/>
      <c r="C82" s="92" t="s">
        <v>560</v>
      </c>
      <c r="D82" s="92"/>
      <c r="F82" s="104">
        <f>SUM(F81)</f>
        <v>0</v>
      </c>
      <c r="G82" s="104">
        <f>F82</f>
        <v>0</v>
      </c>
      <c r="H82" s="105">
        <f>VLOOKUP(A82,Data!$A$2:$Z$179,24,FALSE)</f>
        <v>18.3</v>
      </c>
      <c r="I82" s="105">
        <f>VLOOKUP(A82,Data!$A$2:$Z$179,25,FALSE)</f>
        <v>6.5439999999999996</v>
      </c>
      <c r="J82" s="105">
        <f>VLOOKUP(A82,Data!$A$2:$Z$179,7,FALSE)</f>
        <v>11.756</v>
      </c>
      <c r="K82" s="105">
        <f>$F82*J82</f>
        <v>0</v>
      </c>
      <c r="L82" s="105">
        <f>VLOOKUP(A82,Data!$A$2:$Z$179,8,FALSE)</f>
        <v>0</v>
      </c>
      <c r="M82" s="105">
        <f t="shared" si="21"/>
        <v>0</v>
      </c>
      <c r="N82" s="105">
        <f>VLOOKUP(A82,Data!$A$2:$Z$179,9,FALSE)</f>
        <v>0</v>
      </c>
      <c r="O82" s="105">
        <f>VLOOKUP(A81,Data!$A$2:$Z$179,10,FALSE)</f>
        <v>0.26400000000000001</v>
      </c>
      <c r="P82" s="105">
        <f t="shared" si="22"/>
        <v>0</v>
      </c>
      <c r="Q82" s="105">
        <f>VLOOKUP(A82,Data!$A$2:$Z$179,11,FALSE)</f>
        <v>0</v>
      </c>
      <c r="R82" s="105">
        <f t="shared" si="26"/>
        <v>0</v>
      </c>
      <c r="S82" s="105">
        <f>VLOOKUP(A82,Data!$A$2:$Z$179,12,FALSE)</f>
        <v>8.5340000000000007</v>
      </c>
      <c r="T82" s="105">
        <f t="shared" si="23"/>
        <v>0</v>
      </c>
      <c r="U82" s="105">
        <f>VLOOKUP(A82,Data!$A$2:$Z$179,13,FALSE)</f>
        <v>0</v>
      </c>
      <c r="V82" s="91">
        <f t="shared" si="19"/>
        <v>0</v>
      </c>
      <c r="W82" s="105">
        <f>VLOOKUP(A82,Data!$A$2:$Z$179,22,FALSE)</f>
        <v>0</v>
      </c>
      <c r="X82" s="105">
        <f t="shared" si="24"/>
        <v>0</v>
      </c>
      <c r="Y82" s="105">
        <f>VLOOKUP(A82,Data!$A$2:$Z$179,19,FALSE)</f>
        <v>0</v>
      </c>
      <c r="Z82" s="105">
        <f t="shared" si="27"/>
        <v>0</v>
      </c>
      <c r="AA82" s="105">
        <f>VLOOKUP(A82,Data!$A$2:$Z$179,20,FALSE)</f>
        <v>0</v>
      </c>
      <c r="AB82" s="105">
        <f>$F82*AA82</f>
        <v>0</v>
      </c>
      <c r="AC82" s="105">
        <f>VLOOKUP(A82,Data!$A$2:$Z$179,21,FALSE)</f>
        <v>0</v>
      </c>
      <c r="AD82" s="105">
        <f t="shared" si="29"/>
        <v>0</v>
      </c>
      <c r="AE82" s="105">
        <f>J82+L82+N82+O82+Q82+S82+U82+W82+Y82+AA82+AC82</f>
        <v>20.554000000000002</v>
      </c>
      <c r="AF82" s="105">
        <f>$F82*AE82</f>
        <v>0</v>
      </c>
      <c r="AG82" s="105"/>
      <c r="AH82" s="106">
        <f>AE82-S82-W82</f>
        <v>12.020000000000001</v>
      </c>
      <c r="AI82" s="85">
        <f>AH82/AE82</f>
        <v>0.58480101196847334</v>
      </c>
      <c r="AK82" s="106">
        <f t="shared" si="30"/>
        <v>8.798</v>
      </c>
      <c r="AL82" s="106">
        <f t="shared" si="31"/>
        <v>8.798</v>
      </c>
      <c r="AN82" s="85" t="s">
        <v>121</v>
      </c>
      <c r="AO82" s="85">
        <v>0.73679899365181523</v>
      </c>
      <c r="AQ82" s="107"/>
      <c r="AR82" s="85" t="s">
        <v>157</v>
      </c>
      <c r="AS82" s="108">
        <v>18609.152879999998</v>
      </c>
    </row>
    <row r="83" spans="1:45" x14ac:dyDescent="0.2">
      <c r="B83" s="101"/>
      <c r="C83" s="92"/>
      <c r="D83" s="92"/>
      <c r="G83" s="109"/>
      <c r="H83" s="109"/>
      <c r="I83" s="109"/>
      <c r="J83" s="105"/>
      <c r="K83" s="105"/>
      <c r="L83" s="105"/>
      <c r="M83" s="105">
        <f t="shared" si="21"/>
        <v>0</v>
      </c>
      <c r="N83" s="105"/>
      <c r="O83" s="105"/>
      <c r="P83" s="105">
        <f t="shared" si="22"/>
        <v>0</v>
      </c>
      <c r="Q83" s="105"/>
      <c r="R83" s="105">
        <f t="shared" si="26"/>
        <v>0</v>
      </c>
      <c r="S83" s="105"/>
      <c r="T83" s="105">
        <f t="shared" si="23"/>
        <v>0</v>
      </c>
      <c r="U83" s="105"/>
      <c r="V83" s="91">
        <f t="shared" si="19"/>
        <v>0</v>
      </c>
      <c r="W83" s="105"/>
      <c r="X83" s="105">
        <f t="shared" si="24"/>
        <v>0</v>
      </c>
      <c r="Y83" s="105"/>
      <c r="Z83" s="105">
        <f t="shared" si="27"/>
        <v>0</v>
      </c>
      <c r="AA83" s="105"/>
      <c r="AB83" s="105">
        <f t="shared" si="28"/>
        <v>0</v>
      </c>
      <c r="AC83" s="105"/>
      <c r="AD83" s="105">
        <f t="shared" si="29"/>
        <v>0</v>
      </c>
      <c r="AE83" s="105"/>
      <c r="AF83" s="105">
        <f>$F81*AE83</f>
        <v>0</v>
      </c>
      <c r="AG83" s="105"/>
      <c r="AH83" s="106"/>
      <c r="AK83" s="106">
        <f t="shared" si="30"/>
        <v>0</v>
      </c>
      <c r="AL83" s="106">
        <f t="shared" si="31"/>
        <v>0</v>
      </c>
      <c r="AN83" s="85" t="s">
        <v>123</v>
      </c>
      <c r="AO83" s="85">
        <v>0.91122607346094164</v>
      </c>
      <c r="AQ83" s="107"/>
      <c r="AR83" s="85" t="s">
        <v>159</v>
      </c>
      <c r="AS83" s="108">
        <v>481583.22437999997</v>
      </c>
    </row>
    <row r="84" spans="1:45" x14ac:dyDescent="0.2">
      <c r="A84" s="85" t="s">
        <v>43</v>
      </c>
      <c r="B84" s="101" t="s">
        <v>44</v>
      </c>
      <c r="C84" s="86" t="s">
        <v>561</v>
      </c>
      <c r="F84" s="102">
        <f>E84</f>
        <v>0</v>
      </c>
      <c r="G84" s="103"/>
      <c r="H84" s="103"/>
      <c r="I84" s="103"/>
      <c r="J84" s="105"/>
      <c r="K84" s="105"/>
      <c r="L84" s="105"/>
      <c r="M84" s="105">
        <f t="shared" si="21"/>
        <v>0</v>
      </c>
      <c r="N84" s="105"/>
      <c r="O84" s="105"/>
      <c r="P84" s="105">
        <f t="shared" si="22"/>
        <v>0</v>
      </c>
      <c r="Q84" s="105"/>
      <c r="R84" s="105">
        <f t="shared" si="26"/>
        <v>0</v>
      </c>
      <c r="S84" s="105"/>
      <c r="T84" s="105">
        <f t="shared" si="23"/>
        <v>0</v>
      </c>
      <c r="U84" s="105"/>
      <c r="V84" s="91">
        <f t="shared" si="19"/>
        <v>0</v>
      </c>
      <c r="W84" s="105"/>
      <c r="X84" s="105">
        <f t="shared" si="24"/>
        <v>0</v>
      </c>
      <c r="Y84" s="105"/>
      <c r="Z84" s="105">
        <f t="shared" si="27"/>
        <v>0</v>
      </c>
      <c r="AA84" s="105"/>
      <c r="AB84" s="105">
        <f t="shared" si="28"/>
        <v>0</v>
      </c>
      <c r="AC84" s="105"/>
      <c r="AD84" s="105">
        <f t="shared" si="29"/>
        <v>0</v>
      </c>
      <c r="AE84" s="105"/>
      <c r="AF84" s="105">
        <f>$F82*AE84</f>
        <v>0</v>
      </c>
      <c r="AG84" s="105"/>
      <c r="AH84" s="106"/>
      <c r="AK84" s="106">
        <f t="shared" si="30"/>
        <v>0</v>
      </c>
      <c r="AL84" s="106">
        <f t="shared" si="31"/>
        <v>0</v>
      </c>
      <c r="AN84" s="85" t="s">
        <v>124</v>
      </c>
      <c r="AO84" s="85">
        <v>1</v>
      </c>
      <c r="AQ84" s="107"/>
      <c r="AR84" s="112" t="s">
        <v>160</v>
      </c>
      <c r="AS84" s="108">
        <v>5358.0834000000004</v>
      </c>
    </row>
    <row r="85" spans="1:45" x14ac:dyDescent="0.2">
      <c r="A85" s="85" t="s">
        <v>43</v>
      </c>
      <c r="B85" s="101"/>
      <c r="C85" s="92" t="s">
        <v>562</v>
      </c>
      <c r="D85" s="92"/>
      <c r="F85" s="104">
        <f>SUM(F84)</f>
        <v>0</v>
      </c>
      <c r="G85" s="104">
        <f>F85</f>
        <v>0</v>
      </c>
      <c r="H85" s="105">
        <f>VLOOKUP(A85,Data!$A$2:$Z$179,24,FALSE)</f>
        <v>27</v>
      </c>
      <c r="I85" s="105">
        <f>VLOOKUP(A85,Data!$A$2:$Z$179,25,FALSE)</f>
        <v>6.5019999999999998</v>
      </c>
      <c r="J85" s="105">
        <f>VLOOKUP(A85,Data!$A$2:$Z$179,7,FALSE)</f>
        <v>20.498000000000001</v>
      </c>
      <c r="K85" s="105">
        <f>$F85*J85</f>
        <v>0</v>
      </c>
      <c r="L85" s="105">
        <f>VLOOKUP(A85,Data!$A$2:$Z$179,8,FALSE)</f>
        <v>0</v>
      </c>
      <c r="M85" s="105">
        <f t="shared" si="21"/>
        <v>0</v>
      </c>
      <c r="N85" s="105">
        <f>VLOOKUP(A85,Data!$A$2:$Z$179,9,FALSE)</f>
        <v>0</v>
      </c>
      <c r="O85" s="105">
        <f>VLOOKUP(A84,Data!$A$2:$Z$179,10,FALSE)</f>
        <v>0</v>
      </c>
      <c r="P85" s="105">
        <f t="shared" si="22"/>
        <v>0</v>
      </c>
      <c r="Q85" s="105">
        <f>VLOOKUP(A85,Data!$A$2:$Z$179,11,FALSE)</f>
        <v>0</v>
      </c>
      <c r="R85" s="105">
        <f t="shared" si="26"/>
        <v>0</v>
      </c>
      <c r="S85" s="105">
        <f>VLOOKUP(A85,Data!$A$2:$Z$179,12,FALSE)</f>
        <v>0</v>
      </c>
      <c r="T85" s="105">
        <f t="shared" si="23"/>
        <v>0</v>
      </c>
      <c r="U85" s="105">
        <f>VLOOKUP(A85,Data!$A$2:$Z$179,13,FALSE)</f>
        <v>2.3979786859293327E-3</v>
      </c>
      <c r="V85" s="91">
        <f t="shared" si="19"/>
        <v>0</v>
      </c>
      <c r="W85" s="105">
        <f>VLOOKUP(A85,Data!$A$2:$Z$179,22,FALSE)</f>
        <v>0</v>
      </c>
      <c r="X85" s="105">
        <f t="shared" si="24"/>
        <v>0</v>
      </c>
      <c r="Y85" s="105">
        <f>VLOOKUP(A85,Data!$A$2:$Z$179,19,FALSE)</f>
        <v>0</v>
      </c>
      <c r="Z85" s="105">
        <f t="shared" si="27"/>
        <v>0</v>
      </c>
      <c r="AA85" s="105">
        <f>VLOOKUP(A85,Data!$A$2:$Z$179,20,FALSE)</f>
        <v>0</v>
      </c>
      <c r="AB85" s="105">
        <f>$F85*AA85</f>
        <v>0</v>
      </c>
      <c r="AC85" s="105">
        <f>VLOOKUP(A85,Data!$A$2:$Z$179,21,FALSE)</f>
        <v>0</v>
      </c>
      <c r="AD85" s="105">
        <f t="shared" si="29"/>
        <v>0</v>
      </c>
      <c r="AE85" s="105">
        <f>J85+L85+N85+O85+Q85+S85+U85+W85+Y85+AA85+AC85</f>
        <v>20.500397978685932</v>
      </c>
      <c r="AF85" s="105">
        <f>$F85*AE85</f>
        <v>0</v>
      </c>
      <c r="AG85" s="105"/>
      <c r="AH85" s="106">
        <f>AE85-S85-W85</f>
        <v>20.500397978685932</v>
      </c>
      <c r="AI85" s="85">
        <f>AH85/AE85</f>
        <v>1</v>
      </c>
      <c r="AK85" s="106">
        <f t="shared" si="30"/>
        <v>0</v>
      </c>
      <c r="AL85" s="106">
        <f t="shared" si="31"/>
        <v>0</v>
      </c>
      <c r="AN85" s="85" t="s">
        <v>126</v>
      </c>
      <c r="AO85" s="85">
        <v>0.61325155091188943</v>
      </c>
      <c r="AQ85" s="107"/>
      <c r="AR85" s="85" t="s">
        <v>162</v>
      </c>
      <c r="AS85" s="108">
        <v>349935.45479999995</v>
      </c>
    </row>
    <row r="86" spans="1:45" x14ac:dyDescent="0.2">
      <c r="B86" s="101"/>
      <c r="C86" s="92"/>
      <c r="D86" s="92"/>
      <c r="G86" s="109"/>
      <c r="H86" s="109"/>
      <c r="I86" s="109"/>
      <c r="J86" s="105"/>
      <c r="K86" s="105"/>
      <c r="L86" s="105"/>
      <c r="M86" s="105">
        <f t="shared" si="21"/>
        <v>0</v>
      </c>
      <c r="N86" s="105"/>
      <c r="O86" s="105"/>
      <c r="P86" s="105">
        <f t="shared" si="22"/>
        <v>0</v>
      </c>
      <c r="Q86" s="105"/>
      <c r="R86" s="105">
        <f t="shared" si="26"/>
        <v>0</v>
      </c>
      <c r="S86" s="105"/>
      <c r="T86" s="105">
        <f t="shared" si="23"/>
        <v>0</v>
      </c>
      <c r="U86" s="105"/>
      <c r="V86" s="91">
        <f t="shared" si="19"/>
        <v>0</v>
      </c>
      <c r="W86" s="105"/>
      <c r="X86" s="105">
        <f t="shared" si="24"/>
        <v>0</v>
      </c>
      <c r="Y86" s="105"/>
      <c r="Z86" s="105">
        <f t="shared" si="27"/>
        <v>0</v>
      </c>
      <c r="AA86" s="105"/>
      <c r="AB86" s="105">
        <f t="shared" si="28"/>
        <v>0</v>
      </c>
      <c r="AC86" s="105"/>
      <c r="AD86" s="105">
        <f t="shared" si="29"/>
        <v>0</v>
      </c>
      <c r="AE86" s="105"/>
      <c r="AF86" s="105">
        <f>$F84*AE86</f>
        <v>0</v>
      </c>
      <c r="AG86" s="105"/>
      <c r="AH86" s="106"/>
      <c r="AK86" s="106">
        <f t="shared" si="30"/>
        <v>0</v>
      </c>
      <c r="AL86" s="106">
        <f t="shared" si="31"/>
        <v>0</v>
      </c>
      <c r="AN86" s="85" t="s">
        <v>128</v>
      </c>
      <c r="AO86" s="85">
        <v>1</v>
      </c>
      <c r="AQ86" s="107"/>
      <c r="AR86" s="85" t="s">
        <v>163</v>
      </c>
      <c r="AS86" s="108">
        <v>15340029.422526</v>
      </c>
    </row>
    <row r="87" spans="1:45" x14ac:dyDescent="0.2">
      <c r="A87" s="85" t="s">
        <v>46</v>
      </c>
      <c r="B87" s="101" t="s">
        <v>44</v>
      </c>
      <c r="C87" s="86" t="s">
        <v>563</v>
      </c>
      <c r="F87" s="102">
        <f>E87</f>
        <v>0</v>
      </c>
      <c r="G87" s="103"/>
      <c r="H87" s="103"/>
      <c r="I87" s="103"/>
      <c r="J87" s="105"/>
      <c r="K87" s="105"/>
      <c r="L87" s="105"/>
      <c r="M87" s="105">
        <f t="shared" si="21"/>
        <v>0</v>
      </c>
      <c r="N87" s="105"/>
      <c r="O87" s="105"/>
      <c r="P87" s="105">
        <f t="shared" si="22"/>
        <v>0</v>
      </c>
      <c r="Q87" s="105"/>
      <c r="R87" s="105">
        <f t="shared" si="26"/>
        <v>0</v>
      </c>
      <c r="S87" s="105"/>
      <c r="T87" s="105">
        <f t="shared" si="23"/>
        <v>0</v>
      </c>
      <c r="U87" s="105"/>
      <c r="V87" s="91">
        <f t="shared" si="19"/>
        <v>0</v>
      </c>
      <c r="W87" s="105"/>
      <c r="X87" s="105">
        <f t="shared" si="24"/>
        <v>0</v>
      </c>
      <c r="Y87" s="105"/>
      <c r="Z87" s="105">
        <f t="shared" si="27"/>
        <v>0</v>
      </c>
      <c r="AA87" s="105"/>
      <c r="AB87" s="105">
        <f t="shared" si="28"/>
        <v>0</v>
      </c>
      <c r="AC87" s="105"/>
      <c r="AD87" s="105">
        <f t="shared" si="29"/>
        <v>0</v>
      </c>
      <c r="AE87" s="105"/>
      <c r="AF87" s="105">
        <f>$F85*AE87</f>
        <v>0</v>
      </c>
      <c r="AG87" s="105"/>
      <c r="AH87" s="106"/>
      <c r="AK87" s="106">
        <f t="shared" si="30"/>
        <v>0</v>
      </c>
      <c r="AL87" s="106">
        <f t="shared" si="31"/>
        <v>0</v>
      </c>
      <c r="AN87" s="85" t="s">
        <v>129</v>
      </c>
      <c r="AO87" s="85">
        <v>1</v>
      </c>
      <c r="AQ87" s="107"/>
      <c r="AR87" s="85" t="s">
        <v>164</v>
      </c>
      <c r="AS87" s="108">
        <v>70017.086879999988</v>
      </c>
    </row>
    <row r="88" spans="1:45" x14ac:dyDescent="0.2">
      <c r="A88" s="85" t="s">
        <v>46</v>
      </c>
      <c r="B88" s="101"/>
      <c r="C88" s="92" t="s">
        <v>564</v>
      </c>
      <c r="D88" s="92"/>
      <c r="F88" s="104">
        <f>SUM(F87)</f>
        <v>0</v>
      </c>
      <c r="G88" s="104">
        <f>F88</f>
        <v>0</v>
      </c>
      <c r="H88" s="105">
        <f>VLOOKUP(A88,Data!$A$2:$Z$179,24,FALSE)</f>
        <v>23.59</v>
      </c>
      <c r="I88" s="105">
        <f>VLOOKUP(A88,Data!$A$2:$Z$179,25,FALSE)</f>
        <v>3.6749999999999998</v>
      </c>
      <c r="J88" s="105">
        <f>VLOOKUP(A88,Data!$A$2:$Z$179,7,FALSE)</f>
        <v>19.914999999999999</v>
      </c>
      <c r="K88" s="105">
        <f>$F88*J88</f>
        <v>0</v>
      </c>
      <c r="L88" s="105">
        <f>VLOOKUP(A88,Data!$A$2:$Z$179,8,FALSE)</f>
        <v>0</v>
      </c>
      <c r="M88" s="105">
        <f t="shared" si="21"/>
        <v>0</v>
      </c>
      <c r="N88" s="105">
        <f>VLOOKUP(A88,Data!$A$2:$Z$179,9,FALSE)</f>
        <v>0</v>
      </c>
      <c r="O88" s="105">
        <f>VLOOKUP(A87,Data!$A$2:$Z$179,10,FALSE)</f>
        <v>4.665</v>
      </c>
      <c r="P88" s="105">
        <f t="shared" si="22"/>
        <v>0</v>
      </c>
      <c r="Q88" s="105">
        <f>VLOOKUP(A88,Data!$A$2:$Z$179,11,FALSE)</f>
        <v>0</v>
      </c>
      <c r="R88" s="105">
        <f t="shared" si="26"/>
        <v>0</v>
      </c>
      <c r="S88" s="105">
        <f>VLOOKUP(A88,Data!$A$2:$Z$179,12,FALSE)</f>
        <v>0</v>
      </c>
      <c r="T88" s="105">
        <f t="shared" si="23"/>
        <v>0</v>
      </c>
      <c r="U88" s="105">
        <f>VLOOKUP(A88,Data!$A$2:$Z$179,13,FALSE)</f>
        <v>0</v>
      </c>
      <c r="V88" s="91">
        <f t="shared" si="19"/>
        <v>0</v>
      </c>
      <c r="W88" s="105">
        <f>VLOOKUP(A88,Data!$A$2:$Z$179,22,FALSE)</f>
        <v>0</v>
      </c>
      <c r="X88" s="105">
        <f t="shared" si="24"/>
        <v>0</v>
      </c>
      <c r="Y88" s="105">
        <f>VLOOKUP(A88,Data!$A$2:$Z$179,19,FALSE)</f>
        <v>0</v>
      </c>
      <c r="Z88" s="105">
        <f t="shared" si="27"/>
        <v>0</v>
      </c>
      <c r="AA88" s="105">
        <f>VLOOKUP(A88,Data!$A$2:$Z$179,20,FALSE)</f>
        <v>0</v>
      </c>
      <c r="AB88" s="105">
        <f>$F88*AA88</f>
        <v>0</v>
      </c>
      <c r="AC88" s="105">
        <f>VLOOKUP(A88,Data!$A$2:$Z$179,21,FALSE)</f>
        <v>0</v>
      </c>
      <c r="AD88" s="105">
        <f>$F88*AC88</f>
        <v>0</v>
      </c>
      <c r="AE88" s="105">
        <f>J88+L88+N88+O88+Q88+S88+U88+W88+Y88+AA88+AC88</f>
        <v>24.58</v>
      </c>
      <c r="AF88" s="105">
        <f>$F88*AE88</f>
        <v>0</v>
      </c>
      <c r="AG88" s="105"/>
      <c r="AH88" s="106">
        <f>AE88-S88-W88</f>
        <v>24.58</v>
      </c>
      <c r="AI88" s="85">
        <f>AH88/AE88</f>
        <v>1</v>
      </c>
      <c r="AK88" s="106">
        <f t="shared" si="30"/>
        <v>4.665</v>
      </c>
      <c r="AL88" s="106">
        <f t="shared" si="31"/>
        <v>4.665</v>
      </c>
      <c r="AN88" s="85" t="s">
        <v>130</v>
      </c>
      <c r="AO88" s="85">
        <v>1</v>
      </c>
      <c r="AQ88" s="107"/>
      <c r="AR88" s="112" t="s">
        <v>166</v>
      </c>
      <c r="AS88" s="108">
        <v>2177625.7843200001</v>
      </c>
    </row>
    <row r="89" spans="1:45" x14ac:dyDescent="0.2">
      <c r="B89" s="101"/>
      <c r="C89" s="92"/>
      <c r="D89" s="92"/>
      <c r="G89" s="109"/>
      <c r="H89" s="109"/>
      <c r="I89" s="109"/>
      <c r="J89" s="105"/>
      <c r="K89" s="105"/>
      <c r="L89" s="105"/>
      <c r="M89" s="105">
        <f>L89*F87</f>
        <v>0</v>
      </c>
      <c r="N89" s="105"/>
      <c r="O89" s="105"/>
      <c r="P89" s="105">
        <f>O89*F87</f>
        <v>0</v>
      </c>
      <c r="Q89" s="105"/>
      <c r="R89" s="105">
        <f>$F87*Q89</f>
        <v>0</v>
      </c>
      <c r="S89" s="105"/>
      <c r="T89" s="105">
        <f>S89*F87</f>
        <v>0</v>
      </c>
      <c r="U89" s="105"/>
      <c r="V89" s="91">
        <f>U89*F87/1000</f>
        <v>0</v>
      </c>
      <c r="W89" s="105"/>
      <c r="X89" s="105">
        <f>W89*F87</f>
        <v>0</v>
      </c>
      <c r="Y89" s="105"/>
      <c r="Z89" s="105">
        <f>$F87*Y89</f>
        <v>0</v>
      </c>
      <c r="AA89" s="105"/>
      <c r="AB89" s="105">
        <f>$F87*AA89</f>
        <v>0</v>
      </c>
      <c r="AC89" s="105"/>
      <c r="AD89" s="105">
        <f>$F87*AC89</f>
        <v>0</v>
      </c>
      <c r="AE89" s="105"/>
      <c r="AF89" s="105">
        <f>$F87*AE89</f>
        <v>0</v>
      </c>
      <c r="AG89" s="105"/>
      <c r="AH89" s="106"/>
      <c r="AK89" s="106">
        <f t="shared" si="30"/>
        <v>0</v>
      </c>
      <c r="AL89" s="106">
        <f t="shared" si="31"/>
        <v>0</v>
      </c>
      <c r="AN89" s="85" t="s">
        <v>131</v>
      </c>
      <c r="AO89" s="85">
        <v>0.80607428079446608</v>
      </c>
      <c r="AQ89" s="107"/>
      <c r="AR89" s="85" t="s">
        <v>170</v>
      </c>
      <c r="AS89" s="108">
        <v>390008.76786000002</v>
      </c>
    </row>
    <row r="90" spans="1:45" x14ac:dyDescent="0.2">
      <c r="A90" s="112" t="s">
        <v>47</v>
      </c>
      <c r="B90" s="101" t="s">
        <v>48</v>
      </c>
      <c r="C90" s="86" t="s">
        <v>565</v>
      </c>
      <c r="F90" s="102">
        <f>E90</f>
        <v>0</v>
      </c>
      <c r="G90" s="102"/>
      <c r="H90" s="102"/>
      <c r="I90" s="102"/>
      <c r="J90" s="105"/>
      <c r="K90" s="105"/>
      <c r="L90" s="105"/>
      <c r="M90" s="105">
        <f>L90*F90</f>
        <v>0</v>
      </c>
      <c r="N90" s="105"/>
      <c r="O90" s="105"/>
      <c r="P90" s="105">
        <f>O90*F88</f>
        <v>0</v>
      </c>
      <c r="Q90" s="105"/>
      <c r="R90" s="105">
        <f>$F90*Q90</f>
        <v>0</v>
      </c>
      <c r="S90" s="105"/>
      <c r="T90" s="105">
        <f>S90*F90</f>
        <v>0</v>
      </c>
      <c r="U90" s="105"/>
      <c r="V90" s="91">
        <f t="shared" ref="V90:V142" si="32">U90*F90/1000</f>
        <v>0</v>
      </c>
      <c r="W90" s="105"/>
      <c r="X90" s="105">
        <f>W90*F90</f>
        <v>0</v>
      </c>
      <c r="Y90" s="105"/>
      <c r="Z90" s="105">
        <f t="shared" ref="Z90:Z142" si="33">$F90*Y90</f>
        <v>0</v>
      </c>
      <c r="AA90" s="105"/>
      <c r="AB90" s="105">
        <f>$F90*AA90</f>
        <v>0</v>
      </c>
      <c r="AC90" s="105"/>
      <c r="AD90" s="105">
        <f>$F90*AC90</f>
        <v>0</v>
      </c>
      <c r="AE90" s="105"/>
      <c r="AF90" s="105">
        <f>$F90*AE90</f>
        <v>0</v>
      </c>
      <c r="AG90" s="105"/>
      <c r="AH90" s="106"/>
      <c r="AK90" s="106">
        <f t="shared" si="30"/>
        <v>0</v>
      </c>
      <c r="AL90" s="106">
        <f t="shared" si="31"/>
        <v>0</v>
      </c>
      <c r="AN90" s="85" t="s">
        <v>132</v>
      </c>
      <c r="AO90" s="85">
        <v>0.7832369942196532</v>
      </c>
      <c r="AQ90" s="107"/>
      <c r="AR90" s="85" t="s">
        <v>171</v>
      </c>
      <c r="AS90" s="108">
        <v>333814.81004000001</v>
      </c>
    </row>
    <row r="91" spans="1:45" x14ac:dyDescent="0.2">
      <c r="A91" s="112" t="s">
        <v>47</v>
      </c>
      <c r="B91" s="101" t="s">
        <v>519</v>
      </c>
      <c r="C91" s="86" t="s">
        <v>565</v>
      </c>
      <c r="F91" s="102">
        <f>E91</f>
        <v>0</v>
      </c>
      <c r="G91" s="102"/>
      <c r="H91" s="102"/>
      <c r="I91" s="102"/>
      <c r="J91" s="105"/>
      <c r="K91" s="105"/>
      <c r="L91" s="105"/>
      <c r="M91" s="105"/>
      <c r="N91" s="105"/>
      <c r="O91" s="105"/>
      <c r="P91" s="105">
        <f>O90*F90</f>
        <v>0</v>
      </c>
      <c r="Q91" s="105"/>
      <c r="R91" s="105"/>
      <c r="S91" s="105"/>
      <c r="T91" s="105"/>
      <c r="U91" s="105"/>
      <c r="V91" s="91">
        <f t="shared" si="32"/>
        <v>0</v>
      </c>
      <c r="W91" s="105"/>
      <c r="X91" s="105"/>
      <c r="Y91" s="105"/>
      <c r="Z91" s="105">
        <f t="shared" si="33"/>
        <v>0</v>
      </c>
      <c r="AA91" s="105"/>
      <c r="AB91" s="105">
        <f>$F91*AA91</f>
        <v>0</v>
      </c>
      <c r="AC91" s="105"/>
      <c r="AD91" s="105"/>
      <c r="AE91" s="105"/>
      <c r="AF91" s="105"/>
      <c r="AG91" s="105"/>
      <c r="AH91" s="106"/>
      <c r="AK91" s="106">
        <f t="shared" si="30"/>
        <v>0</v>
      </c>
      <c r="AL91" s="106">
        <f t="shared" si="31"/>
        <v>0</v>
      </c>
      <c r="AN91" s="85" t="s">
        <v>133</v>
      </c>
      <c r="AO91" s="85">
        <v>1</v>
      </c>
      <c r="AQ91" s="107"/>
      <c r="AR91" s="85" t="s">
        <v>174</v>
      </c>
      <c r="AS91" s="108">
        <v>248017.69836800001</v>
      </c>
    </row>
    <row r="92" spans="1:45" x14ac:dyDescent="0.2">
      <c r="A92" s="112" t="s">
        <v>47</v>
      </c>
      <c r="B92" s="101" t="s">
        <v>142</v>
      </c>
      <c r="C92" s="86" t="s">
        <v>565</v>
      </c>
      <c r="F92" s="102">
        <f>E92</f>
        <v>0</v>
      </c>
      <c r="G92" s="102"/>
      <c r="H92" s="102"/>
      <c r="I92" s="102"/>
      <c r="J92" s="105"/>
      <c r="K92" s="105"/>
      <c r="L92" s="105"/>
      <c r="M92" s="105">
        <f t="shared" ref="M92:M122" si="34">L92*F92</f>
        <v>0</v>
      </c>
      <c r="N92" s="105"/>
      <c r="O92" s="105"/>
      <c r="P92" s="105">
        <f t="shared" ref="P92:P122" si="35">O92*F92</f>
        <v>0</v>
      </c>
      <c r="Q92" s="105"/>
      <c r="R92" s="105">
        <f t="shared" ref="R92:R142" si="36">$F92*Q92</f>
        <v>0</v>
      </c>
      <c r="S92" s="105"/>
      <c r="T92" s="105">
        <f t="shared" ref="T92:T122" si="37">S92*F92</f>
        <v>0</v>
      </c>
      <c r="U92" s="105"/>
      <c r="V92" s="91">
        <f t="shared" si="32"/>
        <v>0</v>
      </c>
      <c r="W92" s="105"/>
      <c r="X92" s="105">
        <f t="shared" ref="X92:X122" si="38">W92*F92</f>
        <v>0</v>
      </c>
      <c r="Y92" s="105"/>
      <c r="Z92" s="105">
        <f t="shared" si="33"/>
        <v>0</v>
      </c>
      <c r="AA92" s="105"/>
      <c r="AB92" s="105">
        <f>$F92*AA92</f>
        <v>0</v>
      </c>
      <c r="AC92" s="105"/>
      <c r="AD92" s="105">
        <f t="shared" ref="AD92:AD142" si="39">$F92*AC92</f>
        <v>0</v>
      </c>
      <c r="AE92" s="105"/>
      <c r="AF92" s="105">
        <f t="shared" ref="AF92:AF142" si="40">$F92*AE92</f>
        <v>0</v>
      </c>
      <c r="AG92" s="105"/>
      <c r="AH92" s="106"/>
      <c r="AK92" s="106">
        <f t="shared" si="30"/>
        <v>0</v>
      </c>
      <c r="AL92" s="106">
        <f t="shared" si="31"/>
        <v>0</v>
      </c>
      <c r="AN92" s="85" t="s">
        <v>134</v>
      </c>
      <c r="AO92" s="85">
        <v>0.8733196381590802</v>
      </c>
      <c r="AQ92" s="107"/>
      <c r="AR92" s="85" t="s">
        <v>175</v>
      </c>
      <c r="AS92" s="108">
        <v>2398197.2845349996</v>
      </c>
    </row>
    <row r="93" spans="1:45" x14ac:dyDescent="0.2">
      <c r="A93" s="112" t="s">
        <v>47</v>
      </c>
      <c r="B93" s="101" t="s">
        <v>241</v>
      </c>
      <c r="C93" s="86" t="s">
        <v>565</v>
      </c>
      <c r="F93" s="102">
        <f>E93</f>
        <v>0</v>
      </c>
      <c r="G93" s="102"/>
      <c r="H93" s="102"/>
      <c r="I93" s="102"/>
      <c r="J93" s="105"/>
      <c r="K93" s="105"/>
      <c r="L93" s="105"/>
      <c r="M93" s="105">
        <f t="shared" si="34"/>
        <v>0</v>
      </c>
      <c r="N93" s="105"/>
      <c r="O93" s="105"/>
      <c r="P93" s="105">
        <f t="shared" si="35"/>
        <v>0</v>
      </c>
      <c r="Q93" s="105"/>
      <c r="R93" s="105">
        <f t="shared" si="36"/>
        <v>0</v>
      </c>
      <c r="S93" s="105"/>
      <c r="T93" s="105">
        <f t="shared" si="37"/>
        <v>0</v>
      </c>
      <c r="U93" s="105"/>
      <c r="V93" s="91">
        <f t="shared" si="32"/>
        <v>0</v>
      </c>
      <c r="W93" s="105"/>
      <c r="X93" s="105">
        <f t="shared" si="38"/>
        <v>0</v>
      </c>
      <c r="Y93" s="105"/>
      <c r="Z93" s="105">
        <f t="shared" si="33"/>
        <v>0</v>
      </c>
      <c r="AA93" s="105"/>
      <c r="AB93" s="105">
        <f>$F90*AA93</f>
        <v>0</v>
      </c>
      <c r="AC93" s="105"/>
      <c r="AD93" s="105">
        <f t="shared" si="39"/>
        <v>0</v>
      </c>
      <c r="AE93" s="105"/>
      <c r="AF93" s="105">
        <f t="shared" si="40"/>
        <v>0</v>
      </c>
      <c r="AG93" s="105"/>
      <c r="AH93" s="106"/>
      <c r="AK93" s="106">
        <f t="shared" si="30"/>
        <v>0</v>
      </c>
      <c r="AL93" s="106">
        <f t="shared" si="31"/>
        <v>0</v>
      </c>
      <c r="AN93" s="85" t="s">
        <v>135</v>
      </c>
      <c r="AO93" s="85">
        <v>0.75968666040850685</v>
      </c>
      <c r="AQ93" s="107"/>
      <c r="AR93" s="112" t="s">
        <v>177</v>
      </c>
      <c r="AS93" s="108">
        <v>549854.26020000002</v>
      </c>
    </row>
    <row r="94" spans="1:45" x14ac:dyDescent="0.2">
      <c r="A94" s="112" t="s">
        <v>47</v>
      </c>
      <c r="B94" s="101"/>
      <c r="C94" s="92" t="s">
        <v>566</v>
      </c>
      <c r="D94" s="92"/>
      <c r="F94" s="104">
        <f>SUM(F90:F93)</f>
        <v>0</v>
      </c>
      <c r="G94" s="104">
        <f>F94</f>
        <v>0</v>
      </c>
      <c r="H94" s="105">
        <f>VLOOKUP(A94,Data!$A$2:$Z$179,24,FALSE)</f>
        <v>27</v>
      </c>
      <c r="I94" s="105">
        <f>VLOOKUP(A94,Data!$A$2:$Z$179,25,FALSE)</f>
        <v>1.0049999999999999</v>
      </c>
      <c r="J94" s="105">
        <f>VLOOKUP(A94,Data!$A$2:$Z$179,7,FALSE)</f>
        <v>25.995000000000001</v>
      </c>
      <c r="K94" s="105">
        <f>$F94*J94</f>
        <v>0</v>
      </c>
      <c r="L94" s="105">
        <f>VLOOKUP(A94,Data!$A$2:$Z$179,8,FALSE)</f>
        <v>0</v>
      </c>
      <c r="M94" s="105">
        <f>L94*F94</f>
        <v>0</v>
      </c>
      <c r="N94" s="105">
        <f>VLOOKUP(A94,Data!$A$2:$Z$179,9,FALSE)</f>
        <v>0</v>
      </c>
      <c r="O94" s="105">
        <f>VLOOKUP(A93,Data!$A$2:$Z$179,10,FALSE)</f>
        <v>0</v>
      </c>
      <c r="P94" s="105">
        <f>O94*F94</f>
        <v>0</v>
      </c>
      <c r="Q94" s="105">
        <f>VLOOKUP(A94,Data!$A$2:$Z$179,11,FALSE)</f>
        <v>0</v>
      </c>
      <c r="R94" s="105">
        <f t="shared" si="36"/>
        <v>0</v>
      </c>
      <c r="S94" s="105">
        <f>VLOOKUP(A94,Data!$A$2:$Z$179,12,FALSE)</f>
        <v>19.365000000000002</v>
      </c>
      <c r="T94" s="105">
        <f>S94*F94</f>
        <v>0</v>
      </c>
      <c r="U94" s="105">
        <f>VLOOKUP(A94,Data!$A$2:$Z$179,13,FALSE)</f>
        <v>0.20579584280597168</v>
      </c>
      <c r="V94" s="91">
        <f t="shared" si="32"/>
        <v>0</v>
      </c>
      <c r="W94" s="105">
        <f>VLOOKUP(A94,Data!$A$2:$Z$179,22,FALSE)</f>
        <v>0</v>
      </c>
      <c r="X94" s="105">
        <f>W94*F94</f>
        <v>0</v>
      </c>
      <c r="Y94" s="105">
        <f>VLOOKUP(A94,Data!$A$2:$Z$179,19,FALSE)</f>
        <v>0</v>
      </c>
      <c r="Z94" s="105">
        <f t="shared" si="33"/>
        <v>0</v>
      </c>
      <c r="AA94" s="105">
        <f>VLOOKUP(A94,Data!$A$2:$Z$179,20,FALSE)</f>
        <v>0</v>
      </c>
      <c r="AB94" s="105">
        <f>$F94*AA94</f>
        <v>0</v>
      </c>
      <c r="AC94" s="105">
        <f>VLOOKUP(A94,Data!$A$2:$Z$179,21,FALSE)</f>
        <v>0</v>
      </c>
      <c r="AD94" s="105">
        <f t="shared" si="39"/>
        <v>0</v>
      </c>
      <c r="AE94" s="105">
        <f>J94+L94+N94+O94+Q94+S94+U94+W94+Y94+AA94+AC94</f>
        <v>45.565795842805969</v>
      </c>
      <c r="AF94" s="105">
        <f t="shared" si="40"/>
        <v>0</v>
      </c>
      <c r="AG94" s="105"/>
      <c r="AH94" s="106">
        <f>AE94-S94-W94</f>
        <v>26.200795842805967</v>
      </c>
      <c r="AI94" s="85">
        <f>AH94/AE94</f>
        <v>0.57501016624825629</v>
      </c>
      <c r="AK94" s="106">
        <f t="shared" si="30"/>
        <v>19.365000000000002</v>
      </c>
      <c r="AL94" s="106">
        <f t="shared" si="31"/>
        <v>19.365000000000002</v>
      </c>
      <c r="AN94" s="85" t="s">
        <v>137</v>
      </c>
      <c r="AO94" s="85">
        <v>0.4261131107933534</v>
      </c>
      <c r="AQ94" s="107"/>
      <c r="AR94" s="85" t="s">
        <v>178</v>
      </c>
      <c r="AS94" s="108">
        <v>9619.8871999999992</v>
      </c>
    </row>
    <row r="95" spans="1:45" x14ac:dyDescent="0.2">
      <c r="B95" s="101"/>
      <c r="C95" s="92"/>
      <c r="D95" s="92"/>
      <c r="F95" s="109"/>
      <c r="G95" s="109"/>
      <c r="H95" s="109"/>
      <c r="I95" s="109"/>
      <c r="J95" s="105"/>
      <c r="K95" s="105"/>
      <c r="L95" s="105"/>
      <c r="M95" s="105">
        <f t="shared" si="34"/>
        <v>0</v>
      </c>
      <c r="N95" s="105"/>
      <c r="O95" s="105"/>
      <c r="P95" s="105">
        <f t="shared" si="35"/>
        <v>0</v>
      </c>
      <c r="Q95" s="105"/>
      <c r="R95" s="105">
        <f t="shared" si="36"/>
        <v>0</v>
      </c>
      <c r="S95" s="105"/>
      <c r="T95" s="105">
        <f t="shared" si="37"/>
        <v>0</v>
      </c>
      <c r="U95" s="105"/>
      <c r="V95" s="91">
        <f t="shared" si="32"/>
        <v>0</v>
      </c>
      <c r="W95" s="105"/>
      <c r="X95" s="105">
        <f t="shared" si="38"/>
        <v>0</v>
      </c>
      <c r="Y95" s="105"/>
      <c r="Z95" s="105">
        <f t="shared" si="33"/>
        <v>0</v>
      </c>
      <c r="AA95" s="105"/>
      <c r="AB95" s="105">
        <f>$F93*AA95</f>
        <v>0</v>
      </c>
      <c r="AC95" s="105"/>
      <c r="AD95" s="105">
        <f t="shared" si="39"/>
        <v>0</v>
      </c>
      <c r="AE95" s="105"/>
      <c r="AF95" s="105">
        <f t="shared" si="40"/>
        <v>0</v>
      </c>
      <c r="AG95" s="105"/>
      <c r="AH95" s="106"/>
      <c r="AK95" s="106">
        <f t="shared" si="30"/>
        <v>0</v>
      </c>
      <c r="AL95" s="106">
        <f t="shared" si="31"/>
        <v>0</v>
      </c>
      <c r="AN95" s="85" t="s">
        <v>139</v>
      </c>
      <c r="AO95" s="85">
        <v>0.26484876978530014</v>
      </c>
      <c r="AQ95" s="107"/>
      <c r="AR95" s="85" t="s">
        <v>186</v>
      </c>
      <c r="AS95" s="108">
        <v>15845.854427999999</v>
      </c>
    </row>
    <row r="96" spans="1:45" x14ac:dyDescent="0.2">
      <c r="A96" s="112" t="s">
        <v>49</v>
      </c>
      <c r="B96" s="101" t="s">
        <v>48</v>
      </c>
      <c r="C96" s="86" t="s">
        <v>567</v>
      </c>
      <c r="F96" s="102">
        <f>E96</f>
        <v>0</v>
      </c>
      <c r="G96" s="102"/>
      <c r="H96" s="102"/>
      <c r="I96" s="102"/>
      <c r="J96" s="105"/>
      <c r="K96" s="105"/>
      <c r="L96" s="105"/>
      <c r="M96" s="105">
        <f t="shared" si="34"/>
        <v>0</v>
      </c>
      <c r="N96" s="105"/>
      <c r="O96" s="105"/>
      <c r="P96" s="105">
        <f t="shared" si="35"/>
        <v>0</v>
      </c>
      <c r="Q96" s="105"/>
      <c r="R96" s="105">
        <f t="shared" si="36"/>
        <v>0</v>
      </c>
      <c r="S96" s="105"/>
      <c r="T96" s="105">
        <f t="shared" si="37"/>
        <v>0</v>
      </c>
      <c r="U96" s="105"/>
      <c r="V96" s="91">
        <f t="shared" si="32"/>
        <v>0</v>
      </c>
      <c r="W96" s="105"/>
      <c r="X96" s="105">
        <f t="shared" si="38"/>
        <v>0</v>
      </c>
      <c r="Y96" s="105"/>
      <c r="Z96" s="105">
        <f t="shared" si="33"/>
        <v>0</v>
      </c>
      <c r="AA96" s="105"/>
      <c r="AB96" s="105">
        <f>$F94*AA96</f>
        <v>0</v>
      </c>
      <c r="AC96" s="105"/>
      <c r="AD96" s="105">
        <f t="shared" si="39"/>
        <v>0</v>
      </c>
      <c r="AE96" s="105"/>
      <c r="AF96" s="105">
        <f t="shared" si="40"/>
        <v>0</v>
      </c>
      <c r="AG96" s="105"/>
      <c r="AH96" s="106"/>
      <c r="AK96" s="106">
        <f t="shared" si="30"/>
        <v>0</v>
      </c>
      <c r="AL96" s="106">
        <f t="shared" si="31"/>
        <v>0</v>
      </c>
      <c r="AN96" s="85" t="s">
        <v>140</v>
      </c>
      <c r="AO96" s="85">
        <v>0.12828337874659404</v>
      </c>
      <c r="AQ96" s="107"/>
      <c r="AR96" s="85" t="s">
        <v>187</v>
      </c>
      <c r="AS96" s="108">
        <v>489503.94780000002</v>
      </c>
    </row>
    <row r="97" spans="1:45" x14ac:dyDescent="0.2">
      <c r="A97" s="112" t="s">
        <v>49</v>
      </c>
      <c r="B97" s="101" t="s">
        <v>519</v>
      </c>
      <c r="C97" s="86" t="s">
        <v>567</v>
      </c>
      <c r="F97" s="102">
        <f>E97</f>
        <v>0</v>
      </c>
      <c r="G97" s="102"/>
      <c r="H97" s="102"/>
      <c r="I97" s="102"/>
      <c r="J97" s="105"/>
      <c r="K97" s="105"/>
      <c r="L97" s="105"/>
      <c r="M97" s="105">
        <f t="shared" si="34"/>
        <v>0</v>
      </c>
      <c r="N97" s="105"/>
      <c r="O97" s="105"/>
      <c r="P97" s="105">
        <f t="shared" si="35"/>
        <v>0</v>
      </c>
      <c r="Q97" s="105"/>
      <c r="R97" s="105">
        <f t="shared" si="36"/>
        <v>0</v>
      </c>
      <c r="S97" s="105"/>
      <c r="T97" s="105">
        <f t="shared" si="37"/>
        <v>0</v>
      </c>
      <c r="U97" s="105"/>
      <c r="V97" s="91">
        <f t="shared" si="32"/>
        <v>0</v>
      </c>
      <c r="W97" s="105"/>
      <c r="X97" s="105">
        <f t="shared" si="38"/>
        <v>0</v>
      </c>
      <c r="Y97" s="105"/>
      <c r="Z97" s="105">
        <f t="shared" si="33"/>
        <v>0</v>
      </c>
      <c r="AA97" s="105"/>
      <c r="AB97" s="105">
        <f>$F97*AA97</f>
        <v>0</v>
      </c>
      <c r="AC97" s="105"/>
      <c r="AD97" s="105">
        <f t="shared" si="39"/>
        <v>0</v>
      </c>
      <c r="AE97" s="105"/>
      <c r="AF97" s="105">
        <f t="shared" si="40"/>
        <v>0</v>
      </c>
      <c r="AG97" s="105"/>
      <c r="AH97" s="106"/>
      <c r="AK97" s="106">
        <f t="shared" si="30"/>
        <v>0</v>
      </c>
      <c r="AL97" s="106">
        <f t="shared" si="31"/>
        <v>0</v>
      </c>
      <c r="AN97" s="85" t="s">
        <v>141</v>
      </c>
      <c r="AO97" s="85">
        <v>0.51588447653429603</v>
      </c>
      <c r="AQ97" s="107"/>
      <c r="AR97" s="85" t="s">
        <v>189</v>
      </c>
      <c r="AS97" s="108">
        <v>658013.58441000001</v>
      </c>
    </row>
    <row r="98" spans="1:45" x14ac:dyDescent="0.2">
      <c r="A98" s="112" t="s">
        <v>49</v>
      </c>
      <c r="B98" s="101" t="s">
        <v>113</v>
      </c>
      <c r="C98" s="86" t="s">
        <v>567</v>
      </c>
      <c r="F98" s="102">
        <f>E98</f>
        <v>0</v>
      </c>
      <c r="G98" s="102"/>
      <c r="H98" s="102"/>
      <c r="I98" s="102"/>
      <c r="J98" s="105" t="s">
        <v>271</v>
      </c>
      <c r="K98" s="105"/>
      <c r="L98" s="105"/>
      <c r="M98" s="105">
        <f t="shared" si="34"/>
        <v>0</v>
      </c>
      <c r="N98" s="105"/>
      <c r="O98" s="105"/>
      <c r="P98" s="105">
        <f t="shared" si="35"/>
        <v>0</v>
      </c>
      <c r="Q98" s="105"/>
      <c r="R98" s="105">
        <f t="shared" si="36"/>
        <v>0</v>
      </c>
      <c r="S98" s="105"/>
      <c r="T98" s="105">
        <f t="shared" si="37"/>
        <v>0</v>
      </c>
      <c r="U98" s="105"/>
      <c r="V98" s="91">
        <f t="shared" si="32"/>
        <v>0</v>
      </c>
      <c r="W98" s="105"/>
      <c r="X98" s="105">
        <f t="shared" si="38"/>
        <v>0</v>
      </c>
      <c r="Y98" s="105"/>
      <c r="Z98" s="105">
        <f t="shared" si="33"/>
        <v>0</v>
      </c>
      <c r="AA98" s="105"/>
      <c r="AB98" s="105">
        <f>$F95*AA98</f>
        <v>0</v>
      </c>
      <c r="AC98" s="105"/>
      <c r="AD98" s="105">
        <f t="shared" si="39"/>
        <v>0</v>
      </c>
      <c r="AE98" s="105"/>
      <c r="AF98" s="105">
        <f t="shared" si="40"/>
        <v>0</v>
      </c>
      <c r="AG98" s="105"/>
      <c r="AH98" s="106"/>
      <c r="AK98" s="106">
        <f t="shared" si="30"/>
        <v>0</v>
      </c>
      <c r="AL98" s="106">
        <f t="shared" si="31"/>
        <v>0</v>
      </c>
      <c r="AN98" s="85" t="s">
        <v>143</v>
      </c>
      <c r="AO98" s="85">
        <v>0.62007434944237927</v>
      </c>
      <c r="AQ98" s="107"/>
      <c r="AR98" s="112" t="s">
        <v>190</v>
      </c>
      <c r="AS98" s="108">
        <v>563285.298312</v>
      </c>
    </row>
    <row r="99" spans="1:45" x14ac:dyDescent="0.2">
      <c r="A99" s="112" t="s">
        <v>49</v>
      </c>
      <c r="B99" s="101"/>
      <c r="C99" s="92" t="s">
        <v>568</v>
      </c>
      <c r="D99" s="92"/>
      <c r="F99" s="104">
        <f>SUM(F96:F98)</f>
        <v>0</v>
      </c>
      <c r="G99" s="104">
        <f>F99</f>
        <v>0</v>
      </c>
      <c r="H99" s="105">
        <f>VLOOKUP(A99,Data!$A$2:$Z$179,24,FALSE)</f>
        <v>27</v>
      </c>
      <c r="I99" s="105">
        <f>VLOOKUP(A99,Data!$A$2:$Z$179,25,FALSE)</f>
        <v>0.97700000000000009</v>
      </c>
      <c r="J99" s="105">
        <f>VLOOKUP(A99,Data!$A$2:$Z$179,7,FALSE)</f>
        <v>26.023</v>
      </c>
      <c r="K99" s="105">
        <f>$F99*J99</f>
        <v>0</v>
      </c>
      <c r="L99" s="105">
        <f>VLOOKUP(A99,Data!$A$2:$Z$179,8,FALSE)</f>
        <v>0</v>
      </c>
      <c r="M99" s="105">
        <f>L99*F99</f>
        <v>0</v>
      </c>
      <c r="N99" s="105">
        <f>VLOOKUP(A99,Data!$A$2:$Z$179,9,FALSE)</f>
        <v>0</v>
      </c>
      <c r="O99" s="105">
        <f>VLOOKUP(A98,Data!$A$2:$Z$179,10,FALSE)</f>
        <v>0</v>
      </c>
      <c r="P99" s="105">
        <f>O99*F99</f>
        <v>0</v>
      </c>
      <c r="Q99" s="105">
        <f>VLOOKUP(A99,Data!$A$2:$Z$179,11,FALSE)</f>
        <v>0</v>
      </c>
      <c r="R99" s="105">
        <f t="shared" si="36"/>
        <v>0</v>
      </c>
      <c r="S99" s="105">
        <f>VLOOKUP(A99,Data!$A$2:$Z$179,12,FALSE)</f>
        <v>10.146000000000001</v>
      </c>
      <c r="T99" s="105">
        <f>S99*F99</f>
        <v>0</v>
      </c>
      <c r="U99" s="105">
        <f>VLOOKUP(A99,Data!$A$2:$Z$179,13,FALSE)</f>
        <v>4.1936858543340505E-3</v>
      </c>
      <c r="V99" s="91">
        <f t="shared" si="32"/>
        <v>0</v>
      </c>
      <c r="W99" s="105">
        <f>VLOOKUP(A99,Data!$A$2:$Z$179,22,FALSE)</f>
        <v>0</v>
      </c>
      <c r="X99" s="105">
        <f>W99*F99</f>
        <v>0</v>
      </c>
      <c r="Y99" s="105">
        <f>VLOOKUP(A99,Data!$A$2:$Z$179,19,FALSE)</f>
        <v>0.97899999999999998</v>
      </c>
      <c r="Z99" s="105">
        <f t="shared" si="33"/>
        <v>0</v>
      </c>
      <c r="AA99" s="105">
        <f>VLOOKUP(A99,Data!$A$2:$Z$179,20,FALSE)</f>
        <v>0</v>
      </c>
      <c r="AB99" s="105">
        <f>$F99*AA99</f>
        <v>0</v>
      </c>
      <c r="AC99" s="105">
        <v>4</v>
      </c>
      <c r="AD99" s="105">
        <f t="shared" si="39"/>
        <v>0</v>
      </c>
      <c r="AE99" s="105">
        <f>J99+L99+N99+O99+Q99+S99+U99+W99+Y99+AA99+AC99</f>
        <v>41.152193685854328</v>
      </c>
      <c r="AF99" s="105">
        <f t="shared" si="40"/>
        <v>0</v>
      </c>
      <c r="AG99" s="105"/>
      <c r="AH99" s="106">
        <f>AE99-S99-W99</f>
        <v>31.006193685854328</v>
      </c>
      <c r="AI99" s="85">
        <f>AH99/AE99</f>
        <v>0.7534517824869299</v>
      </c>
      <c r="AK99" s="106">
        <f t="shared" si="30"/>
        <v>10.146000000000001</v>
      </c>
      <c r="AL99" s="106">
        <f t="shared" si="31"/>
        <v>10.146000000000001</v>
      </c>
      <c r="AN99" s="85" t="s">
        <v>144</v>
      </c>
      <c r="AO99" s="85">
        <v>0.71719436449022866</v>
      </c>
      <c r="AQ99" s="107"/>
      <c r="AR99" s="110" t="s">
        <v>192</v>
      </c>
      <c r="AS99" s="108">
        <v>758037.59772299998</v>
      </c>
    </row>
    <row r="100" spans="1:45" x14ac:dyDescent="0.2">
      <c r="B100" s="101"/>
      <c r="C100" s="92"/>
      <c r="D100" s="92"/>
      <c r="F100" s="109"/>
      <c r="G100" s="109"/>
      <c r="H100" s="109"/>
      <c r="I100" s="109"/>
      <c r="J100" s="105"/>
      <c r="K100" s="105"/>
      <c r="L100" s="105"/>
      <c r="M100" s="105">
        <f t="shared" si="34"/>
        <v>0</v>
      </c>
      <c r="N100" s="105"/>
      <c r="O100" s="105"/>
      <c r="P100" s="105">
        <f t="shared" si="35"/>
        <v>0</v>
      </c>
      <c r="Q100" s="105"/>
      <c r="R100" s="105">
        <f t="shared" si="36"/>
        <v>0</v>
      </c>
      <c r="S100" s="105"/>
      <c r="T100" s="105">
        <f t="shared" si="37"/>
        <v>0</v>
      </c>
      <c r="U100" s="105"/>
      <c r="V100" s="91">
        <f t="shared" si="32"/>
        <v>0</v>
      </c>
      <c r="W100" s="105"/>
      <c r="X100" s="105">
        <f t="shared" si="38"/>
        <v>0</v>
      </c>
      <c r="Y100" s="105"/>
      <c r="Z100" s="105">
        <f t="shared" si="33"/>
        <v>0</v>
      </c>
      <c r="AA100" s="105"/>
      <c r="AB100" s="105">
        <f>$F99*AA100</f>
        <v>0</v>
      </c>
      <c r="AC100" s="105"/>
      <c r="AD100" s="105">
        <f t="shared" si="39"/>
        <v>0</v>
      </c>
      <c r="AE100" s="105"/>
      <c r="AF100" s="105">
        <f t="shared" si="40"/>
        <v>0</v>
      </c>
      <c r="AG100" s="105"/>
      <c r="AH100" s="106"/>
      <c r="AK100" s="106">
        <f t="shared" si="30"/>
        <v>0</v>
      </c>
      <c r="AL100" s="106">
        <f t="shared" si="31"/>
        <v>0</v>
      </c>
      <c r="AN100" s="85" t="s">
        <v>145</v>
      </c>
      <c r="AO100" s="85">
        <v>0.72825768667642743</v>
      </c>
      <c r="AQ100" s="107"/>
      <c r="AR100" s="85" t="s">
        <v>193</v>
      </c>
      <c r="AS100" s="108">
        <v>531289.29</v>
      </c>
    </row>
    <row r="101" spans="1:45" x14ac:dyDescent="0.2">
      <c r="A101" s="85" t="s">
        <v>50</v>
      </c>
      <c r="B101" s="101" t="s">
        <v>51</v>
      </c>
      <c r="C101" s="86" t="s">
        <v>569</v>
      </c>
      <c r="F101" s="102">
        <f>E101</f>
        <v>0</v>
      </c>
      <c r="G101" s="103"/>
      <c r="H101" s="103"/>
      <c r="I101" s="103"/>
      <c r="J101" s="105"/>
      <c r="K101" s="105"/>
      <c r="L101" s="105"/>
      <c r="M101" s="105">
        <f t="shared" si="34"/>
        <v>0</v>
      </c>
      <c r="N101" s="105"/>
      <c r="O101" s="105"/>
      <c r="P101" s="105">
        <f t="shared" si="35"/>
        <v>0</v>
      </c>
      <c r="Q101" s="105"/>
      <c r="R101" s="105">
        <f t="shared" si="36"/>
        <v>0</v>
      </c>
      <c r="S101" s="105"/>
      <c r="T101" s="105">
        <f t="shared" si="37"/>
        <v>0</v>
      </c>
      <c r="U101" s="105"/>
      <c r="V101" s="91">
        <f t="shared" si="32"/>
        <v>0</v>
      </c>
      <c r="W101" s="105"/>
      <c r="X101" s="105">
        <f t="shared" si="38"/>
        <v>0</v>
      </c>
      <c r="Y101" s="105"/>
      <c r="Z101" s="105">
        <f t="shared" si="33"/>
        <v>0</v>
      </c>
      <c r="AA101" s="105"/>
      <c r="AB101" s="105">
        <f>$F100*AA101</f>
        <v>0</v>
      </c>
      <c r="AC101" s="105"/>
      <c r="AD101" s="105">
        <f t="shared" si="39"/>
        <v>0</v>
      </c>
      <c r="AE101" s="105"/>
      <c r="AF101" s="105">
        <f t="shared" si="40"/>
        <v>0</v>
      </c>
      <c r="AG101" s="105"/>
      <c r="AH101" s="106"/>
      <c r="AK101" s="106">
        <f t="shared" si="30"/>
        <v>0</v>
      </c>
      <c r="AL101" s="106">
        <f t="shared" si="31"/>
        <v>0</v>
      </c>
      <c r="AN101" s="85" t="s">
        <v>146</v>
      </c>
      <c r="AO101" s="85">
        <v>0.23852901484480432</v>
      </c>
      <c r="AQ101" s="107"/>
      <c r="AR101" s="85" t="s">
        <v>195</v>
      </c>
      <c r="AS101" s="108">
        <v>161854.6</v>
      </c>
    </row>
    <row r="102" spans="1:45" x14ac:dyDescent="0.2">
      <c r="A102" s="85" t="s">
        <v>50</v>
      </c>
      <c r="B102" s="101"/>
      <c r="C102" s="92" t="s">
        <v>570</v>
      </c>
      <c r="D102" s="92"/>
      <c r="F102" s="104">
        <f>SUM(F101)</f>
        <v>0</v>
      </c>
      <c r="G102" s="104">
        <f>F102</f>
        <v>0</v>
      </c>
      <c r="H102" s="105">
        <f>VLOOKUP(A102,Data!$A$2:$Z$179,24,FALSE)</f>
        <v>23.149000000000001</v>
      </c>
      <c r="I102" s="105">
        <f>VLOOKUP(A102,Data!$A$2:$Z$179,25,FALSE)</f>
        <v>6.1669999999999998</v>
      </c>
      <c r="J102" s="105">
        <f>VLOOKUP(A102,Data!$A$2:$Z$179,7,FALSE)</f>
        <v>16.981999999999999</v>
      </c>
      <c r="K102" s="105">
        <f>$F102*J102</f>
        <v>0</v>
      </c>
      <c r="L102" s="105">
        <f>VLOOKUP(A102,Data!$A$2:$Z$179,8,FALSE)</f>
        <v>0</v>
      </c>
      <c r="M102" s="105">
        <f>L102*F102</f>
        <v>0</v>
      </c>
      <c r="N102" s="105">
        <f>VLOOKUP(A102,Data!$A$2:$Z$179,9,FALSE)</f>
        <v>0</v>
      </c>
      <c r="O102" s="105">
        <f>VLOOKUP(A101,Data!$A$2:$Z$179,10,FALSE)</f>
        <v>0</v>
      </c>
      <c r="P102" s="105">
        <f>O102*F102</f>
        <v>0</v>
      </c>
      <c r="Q102" s="105">
        <f>VLOOKUP(A102,Data!$A$2:$Z$179,11,FALSE)</f>
        <v>0</v>
      </c>
      <c r="R102" s="105">
        <f t="shared" si="36"/>
        <v>0</v>
      </c>
      <c r="S102" s="105">
        <f>VLOOKUP(A102,Data!$A$2:$Z$179,12,FALSE)</f>
        <v>7.274</v>
      </c>
      <c r="T102" s="105">
        <f>S102*F102</f>
        <v>0</v>
      </c>
      <c r="U102" s="105">
        <f>VLOOKUP(A102,Data!$A$2:$Z$179,13,FALSE)</f>
        <v>7.6955537844069334E-3</v>
      </c>
      <c r="V102" s="91">
        <f t="shared" si="32"/>
        <v>0</v>
      </c>
      <c r="W102" s="105">
        <f>VLOOKUP(A102,Data!$A$2:$Z$179,22,FALSE)</f>
        <v>0</v>
      </c>
      <c r="X102" s="105">
        <f>W102*F102</f>
        <v>0</v>
      </c>
      <c r="Y102" s="105">
        <f>VLOOKUP(A102,Data!$A$2:$Z$179,19,FALSE)</f>
        <v>0</v>
      </c>
      <c r="Z102" s="105">
        <f t="shared" si="33"/>
        <v>0</v>
      </c>
      <c r="AA102" s="105">
        <f>VLOOKUP(A102,Data!$A$2:$Z$179,20,FALSE)</f>
        <v>0</v>
      </c>
      <c r="AB102" s="105">
        <f>$F102*AA102</f>
        <v>0</v>
      </c>
      <c r="AC102" s="105">
        <f>VLOOKUP(A102,Data!$A$2:$Z$179,21,FALSE)</f>
        <v>0</v>
      </c>
      <c r="AD102" s="105">
        <f t="shared" si="39"/>
        <v>0</v>
      </c>
      <c r="AE102" s="105">
        <f>J102+L102+N102+O102+Q102+S102+U102+W102+Y102+AA102+AC102</f>
        <v>24.263695553784409</v>
      </c>
      <c r="AF102" s="105">
        <f t="shared" si="40"/>
        <v>0</v>
      </c>
      <c r="AG102" s="105"/>
      <c r="AH102" s="106">
        <f>AE102-S102-W102</f>
        <v>16.989695553784408</v>
      </c>
      <c r="AI102" s="85">
        <f>AH102/AE102</f>
        <v>0.70021054773474212</v>
      </c>
      <c r="AK102" s="106">
        <f t="shared" si="30"/>
        <v>7.274</v>
      </c>
      <c r="AL102" s="106">
        <f t="shared" si="31"/>
        <v>7.274</v>
      </c>
      <c r="AN102" s="85" t="s">
        <v>147</v>
      </c>
      <c r="AO102" s="85">
        <v>1</v>
      </c>
      <c r="AQ102" s="107"/>
      <c r="AR102" s="85" t="s">
        <v>196</v>
      </c>
      <c r="AS102" s="108">
        <v>5874537.0438720006</v>
      </c>
    </row>
    <row r="103" spans="1:45" x14ac:dyDescent="0.2">
      <c r="B103" s="101"/>
      <c r="C103" s="92"/>
      <c r="D103" s="92"/>
      <c r="F103" s="109"/>
      <c r="G103" s="109"/>
      <c r="H103" s="109"/>
      <c r="I103" s="109"/>
      <c r="J103" s="105"/>
      <c r="K103" s="105"/>
      <c r="L103" s="105"/>
      <c r="M103" s="105">
        <f t="shared" si="34"/>
        <v>0</v>
      </c>
      <c r="N103" s="105"/>
      <c r="O103" s="105"/>
      <c r="P103" s="105">
        <f t="shared" si="35"/>
        <v>0</v>
      </c>
      <c r="Q103" s="105"/>
      <c r="R103" s="105">
        <f t="shared" si="36"/>
        <v>0</v>
      </c>
      <c r="S103" s="105"/>
      <c r="T103" s="105">
        <f t="shared" si="37"/>
        <v>0</v>
      </c>
      <c r="U103" s="105"/>
      <c r="V103" s="91">
        <f t="shared" si="32"/>
        <v>0</v>
      </c>
      <c r="W103" s="105"/>
      <c r="X103" s="105">
        <f t="shared" si="38"/>
        <v>0</v>
      </c>
      <c r="Y103" s="105"/>
      <c r="Z103" s="105">
        <f t="shared" si="33"/>
        <v>0</v>
      </c>
      <c r="AA103" s="105"/>
      <c r="AB103" s="105">
        <f>$F103*AA103</f>
        <v>0</v>
      </c>
      <c r="AC103" s="105"/>
      <c r="AD103" s="105">
        <f t="shared" si="39"/>
        <v>0</v>
      </c>
      <c r="AE103" s="105"/>
      <c r="AF103" s="105">
        <f t="shared" si="40"/>
        <v>0</v>
      </c>
      <c r="AG103" s="105"/>
      <c r="AH103" s="106"/>
      <c r="AK103" s="106">
        <f t="shared" si="30"/>
        <v>0</v>
      </c>
      <c r="AL103" s="106">
        <f t="shared" si="31"/>
        <v>0</v>
      </c>
      <c r="AN103" s="85" t="s">
        <v>148</v>
      </c>
      <c r="AO103" s="85">
        <v>0.74521123064812378</v>
      </c>
      <c r="AQ103" s="107"/>
      <c r="AR103" s="85" t="s">
        <v>206</v>
      </c>
      <c r="AS103" s="108">
        <v>404309.3847</v>
      </c>
    </row>
    <row r="104" spans="1:45" x14ac:dyDescent="0.2">
      <c r="A104" s="112" t="s">
        <v>52</v>
      </c>
      <c r="B104" s="101" t="s">
        <v>51</v>
      </c>
      <c r="C104" s="113" t="s">
        <v>571</v>
      </c>
      <c r="F104" s="102">
        <f>E104</f>
        <v>0</v>
      </c>
      <c r="G104" s="102"/>
      <c r="H104" s="102"/>
      <c r="I104" s="102"/>
      <c r="J104" s="105"/>
      <c r="K104" s="105"/>
      <c r="L104" s="105"/>
      <c r="M104" s="105">
        <f t="shared" si="34"/>
        <v>0</v>
      </c>
      <c r="N104" s="105"/>
      <c r="O104" s="105"/>
      <c r="P104" s="105">
        <f t="shared" si="35"/>
        <v>0</v>
      </c>
      <c r="Q104" s="105"/>
      <c r="R104" s="105">
        <f t="shared" si="36"/>
        <v>0</v>
      </c>
      <c r="S104" s="105"/>
      <c r="T104" s="105">
        <f t="shared" si="37"/>
        <v>0</v>
      </c>
      <c r="U104" s="105"/>
      <c r="V104" s="91">
        <f t="shared" si="32"/>
        <v>0</v>
      </c>
      <c r="W104" s="105"/>
      <c r="X104" s="105">
        <f t="shared" si="38"/>
        <v>0</v>
      </c>
      <c r="Y104" s="105"/>
      <c r="Z104" s="105">
        <f t="shared" si="33"/>
        <v>0</v>
      </c>
      <c r="AA104" s="105"/>
      <c r="AB104" s="105">
        <f>$F104*AA104</f>
        <v>0</v>
      </c>
      <c r="AC104" s="105"/>
      <c r="AD104" s="105">
        <f t="shared" si="39"/>
        <v>0</v>
      </c>
      <c r="AE104" s="105"/>
      <c r="AF104" s="105">
        <f t="shared" si="40"/>
        <v>0</v>
      </c>
      <c r="AG104" s="105"/>
      <c r="AH104" s="106"/>
      <c r="AK104" s="106">
        <f t="shared" si="30"/>
        <v>0</v>
      </c>
      <c r="AL104" s="106">
        <f t="shared" si="31"/>
        <v>0</v>
      </c>
      <c r="AN104" s="85" t="s">
        <v>149</v>
      </c>
      <c r="AO104" s="85">
        <v>0.59347109188273384</v>
      </c>
      <c r="AQ104" s="107"/>
      <c r="AR104" s="85" t="s">
        <v>208</v>
      </c>
      <c r="AS104" s="108">
        <v>1307736.7705999999</v>
      </c>
    </row>
    <row r="105" spans="1:45" x14ac:dyDescent="0.2">
      <c r="A105" s="112" t="s">
        <v>52</v>
      </c>
      <c r="B105" s="101" t="s">
        <v>104</v>
      </c>
      <c r="C105" s="113" t="s">
        <v>571</v>
      </c>
      <c r="F105" s="102">
        <f>E105</f>
        <v>0</v>
      </c>
      <c r="G105" s="102"/>
      <c r="H105" s="102"/>
      <c r="I105" s="102"/>
      <c r="J105" s="105"/>
      <c r="K105" s="105"/>
      <c r="L105" s="105"/>
      <c r="M105" s="105">
        <f t="shared" si="34"/>
        <v>0</v>
      </c>
      <c r="N105" s="105"/>
      <c r="O105" s="105"/>
      <c r="P105" s="105">
        <f t="shared" si="35"/>
        <v>0</v>
      </c>
      <c r="Q105" s="105"/>
      <c r="R105" s="105">
        <f t="shared" si="36"/>
        <v>0</v>
      </c>
      <c r="S105" s="105"/>
      <c r="T105" s="105">
        <f t="shared" si="37"/>
        <v>0</v>
      </c>
      <c r="U105" s="105"/>
      <c r="V105" s="91">
        <f t="shared" si="32"/>
        <v>0</v>
      </c>
      <c r="W105" s="105"/>
      <c r="X105" s="105">
        <f t="shared" si="38"/>
        <v>0</v>
      </c>
      <c r="Y105" s="105"/>
      <c r="Z105" s="105">
        <f t="shared" si="33"/>
        <v>0</v>
      </c>
      <c r="AA105" s="105"/>
      <c r="AB105" s="105">
        <f>$F104*AA105</f>
        <v>0</v>
      </c>
      <c r="AC105" s="105"/>
      <c r="AD105" s="105">
        <f t="shared" si="39"/>
        <v>0</v>
      </c>
      <c r="AE105" s="105"/>
      <c r="AF105" s="105">
        <f t="shared" si="40"/>
        <v>0</v>
      </c>
      <c r="AG105" s="105"/>
      <c r="AH105" s="106"/>
      <c r="AK105" s="106">
        <f t="shared" si="30"/>
        <v>0</v>
      </c>
      <c r="AL105" s="106">
        <f t="shared" si="31"/>
        <v>0</v>
      </c>
      <c r="AN105" s="85" t="s">
        <v>150</v>
      </c>
      <c r="AO105" s="85">
        <v>0.35916673771563357</v>
      </c>
      <c r="AQ105" s="107"/>
      <c r="AR105" s="85" t="s">
        <v>209</v>
      </c>
      <c r="AS105" s="108">
        <v>832605.01279800001</v>
      </c>
    </row>
    <row r="106" spans="1:45" x14ac:dyDescent="0.2">
      <c r="A106" s="112" t="s">
        <v>52</v>
      </c>
      <c r="B106" s="101"/>
      <c r="C106" s="92" t="s">
        <v>572</v>
      </c>
      <c r="D106" s="92"/>
      <c r="F106" s="104">
        <f>SUM(F104:F105)</f>
        <v>0</v>
      </c>
      <c r="G106" s="104">
        <f>F106</f>
        <v>0</v>
      </c>
      <c r="H106" s="105">
        <f>VLOOKUP(A106,Data!$A$2:$Z$179,24,FALSE)</f>
        <v>24.792999999999999</v>
      </c>
      <c r="I106" s="105">
        <f>VLOOKUP(A106,Data!$A$2:$Z$179,25,FALSE)</f>
        <v>9.1</v>
      </c>
      <c r="J106" s="105">
        <f>VLOOKUP(A106,Data!$A$2:$Z$179,7,FALSE)</f>
        <v>15.692999999999998</v>
      </c>
      <c r="K106" s="105">
        <f>$F106*J106</f>
        <v>0</v>
      </c>
      <c r="L106" s="105">
        <f>VLOOKUP(A106,Data!$A$2:$Z$179,8,FALSE)</f>
        <v>0</v>
      </c>
      <c r="M106" s="105">
        <f>L106*F106</f>
        <v>0</v>
      </c>
      <c r="N106" s="105">
        <f>VLOOKUP(A106,Data!$A$2:$Z$179,9,FALSE)</f>
        <v>0</v>
      </c>
      <c r="O106" s="105">
        <f>VLOOKUP(A105,Data!$A$2:$Z$179,10,FALSE)</f>
        <v>0</v>
      </c>
      <c r="P106" s="105">
        <f>O106*F106</f>
        <v>0</v>
      </c>
      <c r="Q106" s="105">
        <f>VLOOKUP(A106,Data!$A$2:$Z$179,11,FALSE)</f>
        <v>0</v>
      </c>
      <c r="R106" s="105">
        <f t="shared" si="36"/>
        <v>0</v>
      </c>
      <c r="S106" s="105">
        <f>VLOOKUP(A106,Data!$A$2:$Z$179,12,FALSE)</f>
        <v>7.2160000000000002</v>
      </c>
      <c r="T106" s="105">
        <f>S106*F106</f>
        <v>0</v>
      </c>
      <c r="U106" s="105">
        <f>VLOOKUP(A106,Data!$A$2:$Z$179,13,FALSE)</f>
        <v>0.11833326665042701</v>
      </c>
      <c r="V106" s="91">
        <f t="shared" si="32"/>
        <v>0</v>
      </c>
      <c r="W106" s="105">
        <f>VLOOKUP(A106,Data!$A$2:$Z$179,22,FALSE)</f>
        <v>0</v>
      </c>
      <c r="X106" s="105">
        <f>W106*F106</f>
        <v>0</v>
      </c>
      <c r="Y106" s="105">
        <f>VLOOKUP(A106,Data!$A$2:$Z$179,19,FALSE)</f>
        <v>0</v>
      </c>
      <c r="Z106" s="105">
        <f t="shared" si="33"/>
        <v>0</v>
      </c>
      <c r="AA106" s="105">
        <f>VLOOKUP(A106,Data!$A$2:$Z$179,20,FALSE)</f>
        <v>0</v>
      </c>
      <c r="AB106" s="105">
        <f>$F106*AA106</f>
        <v>0</v>
      </c>
      <c r="AC106" s="105">
        <f>VLOOKUP(A106,Data!$A$2:$Z$179,21,FALSE)</f>
        <v>0</v>
      </c>
      <c r="AD106" s="105">
        <f t="shared" si="39"/>
        <v>0</v>
      </c>
      <c r="AE106" s="105">
        <f>J106+L106+N106+O106+Q106+S106+U106+W106+Y106+AA106+AC106</f>
        <v>23.027333266650427</v>
      </c>
      <c r="AF106" s="105">
        <f t="shared" si="40"/>
        <v>0</v>
      </c>
      <c r="AG106" s="105"/>
      <c r="AH106" s="106">
        <f>AE106-S106-W106</f>
        <v>15.811333266650426</v>
      </c>
      <c r="AI106" s="85">
        <f>AH106/AE106</f>
        <v>0.68663327548871467</v>
      </c>
      <c r="AK106" s="106">
        <f t="shared" si="30"/>
        <v>7.2160000000000002</v>
      </c>
      <c r="AL106" s="106">
        <f t="shared" si="31"/>
        <v>7.2160000000000002</v>
      </c>
      <c r="AN106" s="85" t="s">
        <v>151</v>
      </c>
      <c r="AO106" s="85">
        <v>0.69614992870238346</v>
      </c>
      <c r="AQ106" s="107"/>
      <c r="AR106" s="85" t="s">
        <v>211</v>
      </c>
      <c r="AS106" s="108">
        <v>195013.15542900001</v>
      </c>
    </row>
    <row r="107" spans="1:45" x14ac:dyDescent="0.2">
      <c r="B107" s="101"/>
      <c r="C107" s="92"/>
      <c r="D107" s="92"/>
      <c r="F107" s="109"/>
      <c r="G107" s="109"/>
      <c r="H107" s="109"/>
      <c r="I107" s="109"/>
      <c r="J107" s="105"/>
      <c r="K107" s="105"/>
      <c r="L107" s="105"/>
      <c r="M107" s="105">
        <f t="shared" si="34"/>
        <v>0</v>
      </c>
      <c r="N107" s="105"/>
      <c r="O107" s="105"/>
      <c r="P107" s="105">
        <f t="shared" si="35"/>
        <v>0</v>
      </c>
      <c r="Q107" s="105"/>
      <c r="R107" s="105">
        <f t="shared" si="36"/>
        <v>0</v>
      </c>
      <c r="S107" s="105"/>
      <c r="T107" s="105">
        <f t="shared" si="37"/>
        <v>0</v>
      </c>
      <c r="U107" s="105"/>
      <c r="V107" s="91">
        <f t="shared" si="32"/>
        <v>0</v>
      </c>
      <c r="W107" s="105"/>
      <c r="X107" s="105">
        <f t="shared" si="38"/>
        <v>0</v>
      </c>
      <c r="Y107" s="105"/>
      <c r="Z107" s="105">
        <f t="shared" si="33"/>
        <v>0</v>
      </c>
      <c r="AA107" s="105"/>
      <c r="AB107" s="105">
        <f>$F106*AA107</f>
        <v>0</v>
      </c>
      <c r="AC107" s="105"/>
      <c r="AD107" s="105">
        <f t="shared" si="39"/>
        <v>0</v>
      </c>
      <c r="AE107" s="105"/>
      <c r="AF107" s="105">
        <f t="shared" si="40"/>
        <v>0</v>
      </c>
      <c r="AG107" s="105"/>
      <c r="AH107" s="106"/>
      <c r="AK107" s="106">
        <f t="shared" si="30"/>
        <v>0</v>
      </c>
      <c r="AL107" s="106">
        <f t="shared" si="31"/>
        <v>0</v>
      </c>
      <c r="AN107" s="85" t="s">
        <v>153</v>
      </c>
      <c r="AO107" s="85">
        <v>0.68775998991554266</v>
      </c>
      <c r="AQ107" s="107"/>
      <c r="AR107" s="85" t="s">
        <v>212</v>
      </c>
      <c r="AS107" s="108">
        <v>75010.814723999996</v>
      </c>
    </row>
    <row r="108" spans="1:45" x14ac:dyDescent="0.2">
      <c r="A108" s="85" t="s">
        <v>53</v>
      </c>
      <c r="B108" s="101" t="s">
        <v>54</v>
      </c>
      <c r="C108" s="86" t="s">
        <v>573</v>
      </c>
      <c r="F108" s="102">
        <f>E108</f>
        <v>0</v>
      </c>
      <c r="G108" s="103"/>
      <c r="H108" s="103"/>
      <c r="I108" s="103"/>
      <c r="J108" s="105"/>
      <c r="K108" s="105"/>
      <c r="L108" s="105"/>
      <c r="M108" s="105">
        <f t="shared" si="34"/>
        <v>0</v>
      </c>
      <c r="N108" s="105"/>
      <c r="O108" s="105"/>
      <c r="P108" s="105">
        <f t="shared" si="35"/>
        <v>0</v>
      </c>
      <c r="Q108" s="105"/>
      <c r="R108" s="105">
        <f t="shared" si="36"/>
        <v>0</v>
      </c>
      <c r="S108" s="105"/>
      <c r="T108" s="105">
        <f t="shared" si="37"/>
        <v>0</v>
      </c>
      <c r="U108" s="105"/>
      <c r="V108" s="91">
        <f t="shared" si="32"/>
        <v>0</v>
      </c>
      <c r="W108" s="105"/>
      <c r="X108" s="105">
        <f t="shared" si="38"/>
        <v>0</v>
      </c>
      <c r="Y108" s="105"/>
      <c r="Z108" s="105">
        <f t="shared" si="33"/>
        <v>0</v>
      </c>
      <c r="AA108" s="105"/>
      <c r="AB108" s="105">
        <f>$F107*AA108</f>
        <v>0</v>
      </c>
      <c r="AC108" s="105"/>
      <c r="AD108" s="105">
        <f t="shared" si="39"/>
        <v>0</v>
      </c>
      <c r="AE108" s="105"/>
      <c r="AF108" s="105">
        <f t="shared" si="40"/>
        <v>0</v>
      </c>
      <c r="AG108" s="105"/>
      <c r="AH108" s="106"/>
      <c r="AK108" s="106">
        <f t="shared" si="30"/>
        <v>0</v>
      </c>
      <c r="AL108" s="106">
        <f t="shared" si="31"/>
        <v>0</v>
      </c>
      <c r="AN108" s="85" t="s">
        <v>154</v>
      </c>
      <c r="AO108" s="85">
        <v>1</v>
      </c>
      <c r="AQ108" s="107"/>
      <c r="AR108" s="85" t="s">
        <v>213</v>
      </c>
      <c r="AS108" s="108">
        <v>905359.48002000002</v>
      </c>
    </row>
    <row r="109" spans="1:45" x14ac:dyDescent="0.2">
      <c r="A109" s="85" t="s">
        <v>53</v>
      </c>
      <c r="B109" s="101"/>
      <c r="C109" s="92" t="s">
        <v>574</v>
      </c>
      <c r="D109" s="92"/>
      <c r="F109" s="104">
        <f>SUM(F108)</f>
        <v>0</v>
      </c>
      <c r="G109" s="104">
        <f>F109</f>
        <v>0</v>
      </c>
      <c r="H109" s="105">
        <f>VLOOKUP(A109,Data!$A$2:$Z$179,24,FALSE)</f>
        <v>17.88</v>
      </c>
      <c r="I109" s="105">
        <f>VLOOKUP(A109,Data!$A$2:$Z$179,25,FALSE)</f>
        <v>9.0660000000000007</v>
      </c>
      <c r="J109" s="105">
        <f>VLOOKUP(A109,Data!$A$2:$Z$179,7,FALSE)</f>
        <v>8.8140000000000001</v>
      </c>
      <c r="K109" s="105">
        <f>$F109*J109</f>
        <v>0</v>
      </c>
      <c r="L109" s="105">
        <f>VLOOKUP(A109,Data!$A$2:$Z$179,8,FALSE)</f>
        <v>0</v>
      </c>
      <c r="M109" s="105">
        <f>L109*F109</f>
        <v>0</v>
      </c>
      <c r="N109" s="105">
        <f>VLOOKUP(A109,Data!$A$2:$Z$179,9,FALSE)</f>
        <v>0</v>
      </c>
      <c r="O109" s="105">
        <f>VLOOKUP(A108,Data!$A$2:$Z$179,10,FALSE)</f>
        <v>1.786</v>
      </c>
      <c r="P109" s="105">
        <f>O109*F109</f>
        <v>0</v>
      </c>
      <c r="Q109" s="105">
        <f>VLOOKUP(A109,Data!$A$2:$Z$179,11,FALSE)</f>
        <v>0</v>
      </c>
      <c r="R109" s="105">
        <f t="shared" si="36"/>
        <v>0</v>
      </c>
      <c r="S109" s="105">
        <f>VLOOKUP(A109,Data!$A$2:$Z$179,12,FALSE)</f>
        <v>5.9620000000000006</v>
      </c>
      <c r="T109" s="105">
        <f>S109*F109</f>
        <v>0</v>
      </c>
      <c r="U109" s="105">
        <f>VLOOKUP(A109,Data!$A$2:$Z$179,13,FALSE)</f>
        <v>0</v>
      </c>
      <c r="V109" s="91">
        <f t="shared" si="32"/>
        <v>0</v>
      </c>
      <c r="W109" s="105">
        <f>VLOOKUP(A109,Data!$A$2:$Z$179,22,FALSE)</f>
        <v>0</v>
      </c>
      <c r="X109" s="105">
        <f>W109*F109</f>
        <v>0</v>
      </c>
      <c r="Y109" s="105">
        <f>VLOOKUP(A109,Data!$A$2:$Z$179,19,FALSE)</f>
        <v>0</v>
      </c>
      <c r="Z109" s="105">
        <f t="shared" si="33"/>
        <v>0</v>
      </c>
      <c r="AA109" s="105">
        <f>VLOOKUP(A109,Data!$A$2:$Z$179,20,FALSE)</f>
        <v>0</v>
      </c>
      <c r="AB109" s="105">
        <f>$F109*AA109</f>
        <v>0</v>
      </c>
      <c r="AC109" s="105">
        <f>VLOOKUP(A109,Data!$A$2:$Z$179,21,FALSE)</f>
        <v>0</v>
      </c>
      <c r="AD109" s="105">
        <f t="shared" si="39"/>
        <v>0</v>
      </c>
      <c r="AE109" s="105">
        <f>J109+L109+N109+O109+Q109+S109+U109+W109+Y109+AA109+AC109</f>
        <v>16.562000000000001</v>
      </c>
      <c r="AF109" s="105">
        <f t="shared" si="40"/>
        <v>0</v>
      </c>
      <c r="AG109" s="105"/>
      <c r="AH109" s="106">
        <f>AE109-S109-W109</f>
        <v>10.600000000000001</v>
      </c>
      <c r="AI109" s="85">
        <f>AH109/AE109</f>
        <v>0.64001932133800266</v>
      </c>
      <c r="AK109" s="106">
        <f t="shared" si="30"/>
        <v>7.7480000000000011</v>
      </c>
      <c r="AL109" s="106">
        <f t="shared" si="31"/>
        <v>7.7480000000000011</v>
      </c>
      <c r="AN109" s="85" t="s">
        <v>155</v>
      </c>
      <c r="AO109" s="85">
        <v>0.69771932571368922</v>
      </c>
      <c r="AQ109" s="107"/>
      <c r="AR109" s="85" t="s">
        <v>215</v>
      </c>
      <c r="AS109" s="108">
        <v>2636839.701016</v>
      </c>
    </row>
    <row r="110" spans="1:45" x14ac:dyDescent="0.2">
      <c r="B110" s="101"/>
      <c r="C110" s="92"/>
      <c r="D110" s="92"/>
      <c r="F110" s="109"/>
      <c r="G110" s="109"/>
      <c r="H110" s="109"/>
      <c r="I110" s="109"/>
      <c r="J110" s="105"/>
      <c r="K110" s="105"/>
      <c r="L110" s="105"/>
      <c r="M110" s="105">
        <f t="shared" si="34"/>
        <v>0</v>
      </c>
      <c r="N110" s="105"/>
      <c r="O110" s="105"/>
      <c r="P110" s="105">
        <f t="shared" si="35"/>
        <v>0</v>
      </c>
      <c r="Q110" s="105"/>
      <c r="R110" s="105">
        <f t="shared" si="36"/>
        <v>0</v>
      </c>
      <c r="S110" s="105"/>
      <c r="T110" s="105">
        <f t="shared" si="37"/>
        <v>0</v>
      </c>
      <c r="U110" s="105"/>
      <c r="V110" s="91">
        <f t="shared" si="32"/>
        <v>0</v>
      </c>
      <c r="W110" s="105"/>
      <c r="X110" s="105">
        <f t="shared" si="38"/>
        <v>0</v>
      </c>
      <c r="Y110" s="105"/>
      <c r="Z110" s="105">
        <f t="shared" si="33"/>
        <v>0</v>
      </c>
      <c r="AA110" s="105"/>
      <c r="AB110" s="105">
        <f t="shared" ref="AB110:AB117" si="41">$F110*AA110</f>
        <v>0</v>
      </c>
      <c r="AC110" s="105"/>
      <c r="AD110" s="105">
        <f t="shared" si="39"/>
        <v>0</v>
      </c>
      <c r="AE110" s="105"/>
      <c r="AF110" s="105">
        <f t="shared" si="40"/>
        <v>0</v>
      </c>
      <c r="AG110" s="105"/>
      <c r="AH110" s="106"/>
      <c r="AK110" s="106">
        <f t="shared" si="30"/>
        <v>0</v>
      </c>
      <c r="AL110" s="106">
        <f t="shared" si="31"/>
        <v>0</v>
      </c>
      <c r="AN110" s="85" t="s">
        <v>157</v>
      </c>
      <c r="AO110" s="85">
        <v>0.94591480446927378</v>
      </c>
      <c r="AQ110" s="107"/>
      <c r="AR110" s="85" t="s">
        <v>216</v>
      </c>
      <c r="AS110" s="108">
        <v>1164331.6203800002</v>
      </c>
    </row>
    <row r="111" spans="1:45" x14ac:dyDescent="0.2">
      <c r="A111" s="112" t="s">
        <v>56</v>
      </c>
      <c r="B111" s="101" t="s">
        <v>54</v>
      </c>
      <c r="C111" s="113" t="s">
        <v>575</v>
      </c>
      <c r="F111" s="102">
        <f>E111</f>
        <v>0</v>
      </c>
      <c r="G111" s="103"/>
      <c r="H111" s="103"/>
      <c r="I111" s="103"/>
      <c r="J111" s="105"/>
      <c r="K111" s="105"/>
      <c r="L111" s="105"/>
      <c r="M111" s="105">
        <f t="shared" si="34"/>
        <v>0</v>
      </c>
      <c r="N111" s="105"/>
      <c r="O111" s="105"/>
      <c r="P111" s="105">
        <f t="shared" si="35"/>
        <v>0</v>
      </c>
      <c r="Q111" s="105"/>
      <c r="R111" s="105">
        <f t="shared" si="36"/>
        <v>0</v>
      </c>
      <c r="S111" s="105"/>
      <c r="T111" s="105">
        <f t="shared" si="37"/>
        <v>0</v>
      </c>
      <c r="U111" s="105"/>
      <c r="V111" s="91">
        <f t="shared" si="32"/>
        <v>0</v>
      </c>
      <c r="W111" s="105"/>
      <c r="X111" s="105">
        <f t="shared" si="38"/>
        <v>0</v>
      </c>
      <c r="Y111" s="105"/>
      <c r="Z111" s="105">
        <f t="shared" si="33"/>
        <v>0</v>
      </c>
      <c r="AA111" s="105"/>
      <c r="AB111" s="105">
        <f t="shared" si="41"/>
        <v>0</v>
      </c>
      <c r="AC111" s="105"/>
      <c r="AD111" s="105">
        <f t="shared" si="39"/>
        <v>0</v>
      </c>
      <c r="AE111" s="105"/>
      <c r="AF111" s="105">
        <f t="shared" si="40"/>
        <v>0</v>
      </c>
      <c r="AG111" s="105"/>
      <c r="AH111" s="106"/>
      <c r="AK111" s="106">
        <f t="shared" si="30"/>
        <v>0</v>
      </c>
      <c r="AL111" s="106">
        <f t="shared" si="31"/>
        <v>0</v>
      </c>
      <c r="AN111" s="85" t="s">
        <v>158</v>
      </c>
      <c r="AO111" s="85">
        <v>0.79454412837345001</v>
      </c>
      <c r="AQ111" s="107"/>
      <c r="AR111" s="85" t="s">
        <v>219</v>
      </c>
      <c r="AS111" s="108">
        <v>62846.957474000003</v>
      </c>
    </row>
    <row r="112" spans="1:45" x14ac:dyDescent="0.2">
      <c r="A112" s="112" t="s">
        <v>56</v>
      </c>
      <c r="C112" s="92" t="s">
        <v>576</v>
      </c>
      <c r="D112" s="92"/>
      <c r="F112" s="104">
        <f>SUM(F111)</f>
        <v>0</v>
      </c>
      <c r="G112" s="104">
        <f>F112</f>
        <v>0</v>
      </c>
      <c r="H112" s="105">
        <f>VLOOKUP(A112,Data!$A$2:$Z$179,24,FALSE)</f>
        <v>15.558</v>
      </c>
      <c r="I112" s="105">
        <f>VLOOKUP(A112,Data!$A$2:$Z$179,25,FALSE)</f>
        <v>7.8840000000000003</v>
      </c>
      <c r="J112" s="105">
        <f>VLOOKUP(A112,Data!$A$2:$Z$179,7,FALSE)</f>
        <v>7.6740000000000004</v>
      </c>
      <c r="K112" s="105">
        <f>$F112*J112</f>
        <v>0</v>
      </c>
      <c r="L112" s="105">
        <f>VLOOKUP(A112,Data!$A$2:$Z$179,8,FALSE)</f>
        <v>0</v>
      </c>
      <c r="M112" s="105">
        <f>L112*F112</f>
        <v>0</v>
      </c>
      <c r="N112" s="105">
        <f>VLOOKUP(A112,Data!$A$2:$Z$179,9,FALSE)</f>
        <v>0</v>
      </c>
      <c r="O112" s="105">
        <f>VLOOKUP(A111,Data!$A$2:$Z$179,10,FALSE)</f>
        <v>0</v>
      </c>
      <c r="P112" s="105">
        <f>O112*F112</f>
        <v>0</v>
      </c>
      <c r="Q112" s="105">
        <f>VLOOKUP(A112,Data!$A$2:$Z$179,11,FALSE)</f>
        <v>0</v>
      </c>
      <c r="R112" s="105">
        <f t="shared" si="36"/>
        <v>0</v>
      </c>
      <c r="S112" s="105">
        <f>VLOOKUP(A112,Data!$A$2:$Z$179,12,FALSE)</f>
        <v>7.2319999999999993</v>
      </c>
      <c r="T112" s="105">
        <f>S112*F112</f>
        <v>0</v>
      </c>
      <c r="U112" s="105">
        <f>VLOOKUP(A112,Data!$A$2:$Z$179,13,FALSE)</f>
        <v>1.1841423836287501E-2</v>
      </c>
      <c r="V112" s="91">
        <f t="shared" si="32"/>
        <v>0</v>
      </c>
      <c r="W112" s="105">
        <f>VLOOKUP(A112,Data!$A$2:$Z$179,22,FALSE)</f>
        <v>0</v>
      </c>
      <c r="X112" s="105">
        <f>W112*F112</f>
        <v>0</v>
      </c>
      <c r="Y112" s="105">
        <f>VLOOKUP(A112,Data!$A$2:$Z$179,19,FALSE)</f>
        <v>0</v>
      </c>
      <c r="Z112" s="105">
        <f t="shared" si="33"/>
        <v>0</v>
      </c>
      <c r="AA112" s="105">
        <f>VLOOKUP(A112,Data!$A$2:$Z$179,20,FALSE)</f>
        <v>0</v>
      </c>
      <c r="AB112" s="105">
        <f t="shared" si="41"/>
        <v>0</v>
      </c>
      <c r="AC112" s="105">
        <f>VLOOKUP(A112,Data!$A$2:$Z$179,21,FALSE)</f>
        <v>0</v>
      </c>
      <c r="AD112" s="105">
        <f t="shared" si="39"/>
        <v>0</v>
      </c>
      <c r="AE112" s="105">
        <f>J112+L112+N112+O112+Q112+S112+U112+W112+Y112+AA112+AC112</f>
        <v>14.917841423836286</v>
      </c>
      <c r="AF112" s="105">
        <f t="shared" si="40"/>
        <v>0</v>
      </c>
      <c r="AG112" s="105"/>
      <c r="AH112" s="106">
        <f>AE112-S112-W112</f>
        <v>7.6858414238362869</v>
      </c>
      <c r="AI112" s="85">
        <f>AH112/AE112</f>
        <v>0.51521136372689691</v>
      </c>
      <c r="AK112" s="106">
        <f t="shared" si="30"/>
        <v>7.2319999999999993</v>
      </c>
      <c r="AL112" s="106">
        <f t="shared" si="31"/>
        <v>7.2319999999999993</v>
      </c>
      <c r="AN112" s="85" t="s">
        <v>159</v>
      </c>
      <c r="AO112" s="85">
        <v>0.71433102081268585</v>
      </c>
      <c r="AQ112" s="107"/>
      <c r="AR112" s="85" t="s">
        <v>223</v>
      </c>
      <c r="AS112" s="108">
        <v>3100038.7828200003</v>
      </c>
    </row>
    <row r="113" spans="1:45" x14ac:dyDescent="0.2">
      <c r="C113" s="92"/>
      <c r="D113" s="92"/>
      <c r="F113" s="109"/>
      <c r="G113" s="109"/>
      <c r="H113" s="109"/>
      <c r="I113" s="109"/>
      <c r="J113" s="105"/>
      <c r="K113" s="105"/>
      <c r="L113" s="105"/>
      <c r="M113" s="105">
        <f t="shared" si="34"/>
        <v>0</v>
      </c>
      <c r="N113" s="105"/>
      <c r="O113" s="105"/>
      <c r="P113" s="105">
        <f t="shared" si="35"/>
        <v>0</v>
      </c>
      <c r="Q113" s="105"/>
      <c r="R113" s="105">
        <f t="shared" si="36"/>
        <v>0</v>
      </c>
      <c r="S113" s="105"/>
      <c r="T113" s="105">
        <f t="shared" si="37"/>
        <v>0</v>
      </c>
      <c r="U113" s="105"/>
      <c r="V113" s="91">
        <f t="shared" si="32"/>
        <v>0</v>
      </c>
      <c r="W113" s="105"/>
      <c r="X113" s="105">
        <f t="shared" si="38"/>
        <v>0</v>
      </c>
      <c r="Y113" s="105"/>
      <c r="Z113" s="105">
        <f t="shared" si="33"/>
        <v>0</v>
      </c>
      <c r="AA113" s="105"/>
      <c r="AB113" s="105">
        <f t="shared" si="41"/>
        <v>0</v>
      </c>
      <c r="AC113" s="105"/>
      <c r="AD113" s="105">
        <f t="shared" si="39"/>
        <v>0</v>
      </c>
      <c r="AE113" s="105"/>
      <c r="AF113" s="105">
        <f t="shared" si="40"/>
        <v>0</v>
      </c>
      <c r="AG113" s="105"/>
      <c r="AH113" s="106"/>
      <c r="AK113" s="106">
        <f t="shared" si="30"/>
        <v>0</v>
      </c>
      <c r="AL113" s="106">
        <f t="shared" si="31"/>
        <v>0</v>
      </c>
      <c r="AN113" s="85" t="s">
        <v>160</v>
      </c>
      <c r="AO113" s="85">
        <v>0.37954121391724299</v>
      </c>
      <c r="AQ113" s="107"/>
      <c r="AR113" s="85" t="s">
        <v>225</v>
      </c>
      <c r="AS113" s="108">
        <v>452238.78128</v>
      </c>
    </row>
    <row r="114" spans="1:45" x14ac:dyDescent="0.2">
      <c r="A114" s="85" t="s">
        <v>57</v>
      </c>
      <c r="B114" s="101" t="s">
        <v>58</v>
      </c>
      <c r="C114" s="86" t="s">
        <v>577</v>
      </c>
      <c r="F114" s="102">
        <f>E114</f>
        <v>0</v>
      </c>
      <c r="G114" s="103"/>
      <c r="H114" s="103"/>
      <c r="I114" s="103"/>
      <c r="J114" s="105"/>
      <c r="K114" s="105"/>
      <c r="L114" s="105"/>
      <c r="M114" s="105">
        <f t="shared" si="34"/>
        <v>0</v>
      </c>
      <c r="N114" s="105"/>
      <c r="O114" s="105"/>
      <c r="P114" s="105">
        <f t="shared" si="35"/>
        <v>0</v>
      </c>
      <c r="Q114" s="105"/>
      <c r="R114" s="105">
        <f t="shared" si="36"/>
        <v>0</v>
      </c>
      <c r="S114" s="105"/>
      <c r="T114" s="105">
        <f t="shared" si="37"/>
        <v>0</v>
      </c>
      <c r="U114" s="105"/>
      <c r="V114" s="91">
        <f t="shared" si="32"/>
        <v>0</v>
      </c>
      <c r="W114" s="105"/>
      <c r="X114" s="105">
        <f t="shared" si="38"/>
        <v>0</v>
      </c>
      <c r="Y114" s="105"/>
      <c r="Z114" s="105">
        <f t="shared" si="33"/>
        <v>0</v>
      </c>
      <c r="AA114" s="105"/>
      <c r="AB114" s="105">
        <f t="shared" si="41"/>
        <v>0</v>
      </c>
      <c r="AC114" s="105"/>
      <c r="AD114" s="105">
        <f t="shared" si="39"/>
        <v>0</v>
      </c>
      <c r="AE114" s="105"/>
      <c r="AF114" s="105">
        <f t="shared" si="40"/>
        <v>0</v>
      </c>
      <c r="AG114" s="105"/>
      <c r="AH114" s="106"/>
      <c r="AK114" s="106">
        <f t="shared" si="30"/>
        <v>0</v>
      </c>
      <c r="AL114" s="106">
        <f t="shared" si="31"/>
        <v>0</v>
      </c>
      <c r="AN114" s="85" t="s">
        <v>162</v>
      </c>
      <c r="AO114" s="85">
        <v>0.6555568259775898</v>
      </c>
      <c r="AQ114" s="107"/>
      <c r="AR114" s="85" t="s">
        <v>228</v>
      </c>
      <c r="AS114" s="108">
        <v>392851.35</v>
      </c>
    </row>
    <row r="115" spans="1:45" x14ac:dyDescent="0.2">
      <c r="A115" s="85" t="s">
        <v>57</v>
      </c>
      <c r="B115" s="101"/>
      <c r="C115" s="92" t="s">
        <v>578</v>
      </c>
      <c r="D115" s="92"/>
      <c r="F115" s="104">
        <f>SUM(F114)</f>
        <v>0</v>
      </c>
      <c r="G115" s="104">
        <f>F115</f>
        <v>0</v>
      </c>
      <c r="H115" s="105">
        <f>VLOOKUP(A115,Data!$A$2:$Z$179,24,FALSE)</f>
        <v>12.484999999999999</v>
      </c>
      <c r="I115" s="105">
        <f>VLOOKUP(A115,Data!$A$2:$Z$179,25,FALSE)</f>
        <v>0</v>
      </c>
      <c r="J115" s="105">
        <f>VLOOKUP(A115,Data!$A$2:$Z$179,7,FALSE)</f>
        <v>12.484999999999999</v>
      </c>
      <c r="K115" s="105">
        <f>$F115*J115</f>
        <v>0</v>
      </c>
      <c r="L115" s="105">
        <f>VLOOKUP(A115,Data!$A$2:$Z$179,8,FALSE)</f>
        <v>0</v>
      </c>
      <c r="M115" s="105">
        <f>L115*F115</f>
        <v>0</v>
      </c>
      <c r="N115" s="105">
        <f>VLOOKUP(A115,Data!$A$2:$Z$179,9,FALSE)</f>
        <v>0</v>
      </c>
      <c r="O115" s="105">
        <f>VLOOKUP(A114,Data!$A$2:$Z$179,10,FALSE)</f>
        <v>0</v>
      </c>
      <c r="P115" s="105">
        <f>O115*F115</f>
        <v>0</v>
      </c>
      <c r="Q115" s="105">
        <f>VLOOKUP(A115,Data!$A$2:$Z$179,11,FALSE)</f>
        <v>0</v>
      </c>
      <c r="R115" s="105">
        <f t="shared" si="36"/>
        <v>0</v>
      </c>
      <c r="S115" s="105">
        <f>VLOOKUP(A115,Data!$A$2:$Z$179,12,FALSE)</f>
        <v>5.4429999999999996</v>
      </c>
      <c r="T115" s="105">
        <f>S115*F115</f>
        <v>0</v>
      </c>
      <c r="U115" s="105">
        <f>VLOOKUP(A115,Data!$A$2:$Z$179,13,FALSE)</f>
        <v>2.5750922045802423E-2</v>
      </c>
      <c r="V115" s="91">
        <f t="shared" si="32"/>
        <v>0</v>
      </c>
      <c r="W115" s="105">
        <f>VLOOKUP(A115,Data!$A$2:$Z$179,22,FALSE)</f>
        <v>0</v>
      </c>
      <c r="X115" s="105">
        <f>W115*F115</f>
        <v>0</v>
      </c>
      <c r="Y115" s="105">
        <f>VLOOKUP(A115,Data!$A$2:$Z$179,19,FALSE)</f>
        <v>0</v>
      </c>
      <c r="Z115" s="105">
        <f t="shared" si="33"/>
        <v>0</v>
      </c>
      <c r="AA115" s="105">
        <f>VLOOKUP(A115,Data!$A$2:$Z$179,20,FALSE)</f>
        <v>0</v>
      </c>
      <c r="AB115" s="105">
        <f t="shared" si="41"/>
        <v>0</v>
      </c>
      <c r="AC115" s="105">
        <f>VLOOKUP(A115,Data!$A$2:$Z$179,21,FALSE)</f>
        <v>0</v>
      </c>
      <c r="AD115" s="105">
        <f t="shared" si="39"/>
        <v>0</v>
      </c>
      <c r="AE115" s="105">
        <f>J115+L115+N115+O115+Q115+S115+U115+W115+Y115+AA115+AC115</f>
        <v>17.953750922045799</v>
      </c>
      <c r="AF115" s="105">
        <f t="shared" si="40"/>
        <v>0</v>
      </c>
      <c r="AG115" s="105"/>
      <c r="AH115" s="106">
        <f>AE115-S115-W115</f>
        <v>12.5107509220458</v>
      </c>
      <c r="AI115" s="85">
        <f>AH115/AE115</f>
        <v>0.69683215370240981</v>
      </c>
      <c r="AK115" s="106">
        <f t="shared" si="30"/>
        <v>5.4429999999999996</v>
      </c>
      <c r="AL115" s="106">
        <f t="shared" si="31"/>
        <v>5.4429999999999996</v>
      </c>
      <c r="AN115" s="85" t="s">
        <v>163</v>
      </c>
      <c r="AO115" s="85">
        <v>0.55922254704915042</v>
      </c>
      <c r="AQ115" s="107"/>
      <c r="AR115" s="85" t="s">
        <v>229</v>
      </c>
      <c r="AS115" s="108">
        <v>6162731.6069599995</v>
      </c>
    </row>
    <row r="116" spans="1:45" x14ac:dyDescent="0.2">
      <c r="B116" s="101"/>
      <c r="C116" s="92"/>
      <c r="D116" s="92"/>
      <c r="F116" s="109"/>
      <c r="G116" s="109"/>
      <c r="H116" s="109"/>
      <c r="I116" s="109"/>
      <c r="J116" s="105"/>
      <c r="K116" s="105"/>
      <c r="L116" s="105"/>
      <c r="M116" s="105">
        <f t="shared" si="34"/>
        <v>0</v>
      </c>
      <c r="N116" s="105"/>
      <c r="O116" s="105"/>
      <c r="P116" s="105">
        <f t="shared" si="35"/>
        <v>0</v>
      </c>
      <c r="Q116" s="105"/>
      <c r="R116" s="105">
        <f t="shared" si="36"/>
        <v>0</v>
      </c>
      <c r="S116" s="105"/>
      <c r="T116" s="105">
        <f t="shared" si="37"/>
        <v>0</v>
      </c>
      <c r="U116" s="105"/>
      <c r="V116" s="91">
        <f t="shared" si="32"/>
        <v>0</v>
      </c>
      <c r="W116" s="105"/>
      <c r="X116" s="105">
        <f t="shared" si="38"/>
        <v>0</v>
      </c>
      <c r="Y116" s="105"/>
      <c r="Z116" s="105">
        <f t="shared" si="33"/>
        <v>0</v>
      </c>
      <c r="AA116" s="105"/>
      <c r="AB116" s="105">
        <f t="shared" si="41"/>
        <v>0</v>
      </c>
      <c r="AC116" s="105"/>
      <c r="AD116" s="105">
        <f t="shared" si="39"/>
        <v>0</v>
      </c>
      <c r="AE116" s="105"/>
      <c r="AF116" s="105">
        <f t="shared" si="40"/>
        <v>0</v>
      </c>
      <c r="AG116" s="105"/>
      <c r="AH116" s="106"/>
      <c r="AK116" s="106">
        <f t="shared" si="30"/>
        <v>0</v>
      </c>
      <c r="AL116" s="106">
        <f t="shared" si="31"/>
        <v>0</v>
      </c>
      <c r="AN116" s="85" t="s">
        <v>164</v>
      </c>
      <c r="AO116" s="85">
        <v>0.56041758000876796</v>
      </c>
      <c r="AQ116" s="107"/>
      <c r="AR116" s="112" t="s">
        <v>231</v>
      </c>
      <c r="AS116" s="108">
        <v>583991.34935999999</v>
      </c>
    </row>
    <row r="117" spans="1:45" x14ac:dyDescent="0.2">
      <c r="A117" s="85" t="s">
        <v>59</v>
      </c>
      <c r="B117" s="101" t="s">
        <v>60</v>
      </c>
      <c r="C117" s="86" t="s">
        <v>579</v>
      </c>
      <c r="F117" s="102">
        <f>E117</f>
        <v>0</v>
      </c>
      <c r="G117" s="102"/>
      <c r="H117" s="102"/>
      <c r="I117" s="102"/>
      <c r="J117" s="105"/>
      <c r="K117" s="105"/>
      <c r="L117" s="105"/>
      <c r="M117" s="105">
        <f t="shared" si="34"/>
        <v>0</v>
      </c>
      <c r="N117" s="105"/>
      <c r="O117" s="105"/>
      <c r="P117" s="105">
        <f t="shared" si="35"/>
        <v>0</v>
      </c>
      <c r="Q117" s="105"/>
      <c r="R117" s="105">
        <f t="shared" si="36"/>
        <v>0</v>
      </c>
      <c r="S117" s="105"/>
      <c r="T117" s="105">
        <f t="shared" si="37"/>
        <v>0</v>
      </c>
      <c r="U117" s="105"/>
      <c r="V117" s="91">
        <f t="shared" si="32"/>
        <v>0</v>
      </c>
      <c r="W117" s="105"/>
      <c r="X117" s="105">
        <f t="shared" si="38"/>
        <v>0</v>
      </c>
      <c r="Y117" s="105"/>
      <c r="Z117" s="105">
        <f t="shared" si="33"/>
        <v>0</v>
      </c>
      <c r="AA117" s="105"/>
      <c r="AB117" s="105">
        <f t="shared" si="41"/>
        <v>0</v>
      </c>
      <c r="AC117" s="105"/>
      <c r="AD117" s="105">
        <f t="shared" si="39"/>
        <v>0</v>
      </c>
      <c r="AE117" s="105"/>
      <c r="AF117" s="105">
        <f t="shared" si="40"/>
        <v>0</v>
      </c>
      <c r="AG117" s="105"/>
      <c r="AH117" s="106"/>
      <c r="AK117" s="106">
        <f t="shared" si="30"/>
        <v>0</v>
      </c>
      <c r="AL117" s="106">
        <f t="shared" si="31"/>
        <v>0</v>
      </c>
      <c r="AN117" s="85" t="s">
        <v>166</v>
      </c>
      <c r="AO117" s="85">
        <v>0.67269439421338162</v>
      </c>
      <c r="AQ117" s="107"/>
      <c r="AR117" s="85" t="s">
        <v>233</v>
      </c>
      <c r="AS117" s="108">
        <v>1100141.785713</v>
      </c>
    </row>
    <row r="118" spans="1:45" x14ac:dyDescent="0.2">
      <c r="A118" s="85" t="s">
        <v>59</v>
      </c>
      <c r="B118" s="101" t="s">
        <v>25</v>
      </c>
      <c r="C118" s="86" t="s">
        <v>579</v>
      </c>
      <c r="F118" s="102">
        <f>E118</f>
        <v>0</v>
      </c>
      <c r="G118" s="102"/>
      <c r="H118" s="102"/>
      <c r="I118" s="102"/>
      <c r="J118" s="105"/>
      <c r="K118" s="105"/>
      <c r="L118" s="105"/>
      <c r="M118" s="105">
        <f t="shared" si="34"/>
        <v>0</v>
      </c>
      <c r="N118" s="105"/>
      <c r="O118" s="105"/>
      <c r="P118" s="105">
        <f t="shared" si="35"/>
        <v>0</v>
      </c>
      <c r="Q118" s="105"/>
      <c r="R118" s="105">
        <f t="shared" si="36"/>
        <v>0</v>
      </c>
      <c r="S118" s="105"/>
      <c r="T118" s="105">
        <f t="shared" si="37"/>
        <v>0</v>
      </c>
      <c r="U118" s="105"/>
      <c r="V118" s="91">
        <f t="shared" si="32"/>
        <v>0</v>
      </c>
      <c r="W118" s="105"/>
      <c r="X118" s="105">
        <f t="shared" si="38"/>
        <v>0</v>
      </c>
      <c r="Y118" s="105"/>
      <c r="Z118" s="105">
        <f t="shared" si="33"/>
        <v>0</v>
      </c>
      <c r="AA118" s="105"/>
      <c r="AB118" s="105">
        <f t="shared" ref="AB118:AB125" si="42">$F117*AA118</f>
        <v>0</v>
      </c>
      <c r="AC118" s="105"/>
      <c r="AD118" s="105">
        <f t="shared" si="39"/>
        <v>0</v>
      </c>
      <c r="AE118" s="105"/>
      <c r="AF118" s="105">
        <f t="shared" si="40"/>
        <v>0</v>
      </c>
      <c r="AG118" s="105"/>
      <c r="AH118" s="106"/>
      <c r="AK118" s="106">
        <f t="shared" si="30"/>
        <v>0</v>
      </c>
      <c r="AL118" s="106">
        <f t="shared" si="31"/>
        <v>0</v>
      </c>
      <c r="AN118" s="85" t="s">
        <v>168</v>
      </c>
      <c r="AO118" s="85">
        <v>0.8632139928942334</v>
      </c>
      <c r="AQ118" s="107"/>
      <c r="AR118" s="85" t="s">
        <v>236</v>
      </c>
      <c r="AS118" s="108">
        <v>257830.09909799998</v>
      </c>
    </row>
    <row r="119" spans="1:45" x14ac:dyDescent="0.2">
      <c r="A119" s="85" t="s">
        <v>59</v>
      </c>
      <c r="B119" s="101"/>
      <c r="C119" s="92" t="s">
        <v>580</v>
      </c>
      <c r="D119" s="92"/>
      <c r="F119" s="104">
        <f>SUM(F117:F118)</f>
        <v>0</v>
      </c>
      <c r="G119" s="104">
        <f>F119</f>
        <v>0</v>
      </c>
      <c r="H119" s="105">
        <f>VLOOKUP(A119,Data!$A$2:$Z$179,24,FALSE)</f>
        <v>23.405999999999999</v>
      </c>
      <c r="I119" s="105">
        <f>VLOOKUP(A119,Data!$A$2:$Z$179,25,FALSE)</f>
        <v>5.2830000000000004</v>
      </c>
      <c r="J119" s="105">
        <f>VLOOKUP(A119,Data!$A$2:$Z$179,7,FALSE)</f>
        <v>18.123000000000001</v>
      </c>
      <c r="K119" s="105">
        <f>$F119*J119</f>
        <v>0</v>
      </c>
      <c r="L119" s="105">
        <f>VLOOKUP(A119,Data!$A$2:$Z$179,8,FALSE)</f>
        <v>0</v>
      </c>
      <c r="M119" s="105">
        <f>L119*F119</f>
        <v>0</v>
      </c>
      <c r="N119" s="105">
        <f>VLOOKUP(A119,Data!$A$2:$Z$179,9,FALSE)</f>
        <v>0</v>
      </c>
      <c r="O119" s="105">
        <f>VLOOKUP(A118,Data!$A$2:$Z$179,10,FALSE)</f>
        <v>181.99599999999998</v>
      </c>
      <c r="P119" s="105">
        <f>O119*F119</f>
        <v>0</v>
      </c>
      <c r="Q119" s="105">
        <f>VLOOKUP(A119,Data!$A$2:$Z$179,11,FALSE)</f>
        <v>0</v>
      </c>
      <c r="R119" s="105">
        <f t="shared" si="36"/>
        <v>0</v>
      </c>
      <c r="S119" s="105">
        <f>VLOOKUP(A119,Data!$A$2:$Z$179,12,FALSE)</f>
        <v>0</v>
      </c>
      <c r="T119" s="105">
        <f>S119*F119</f>
        <v>0</v>
      </c>
      <c r="U119" s="105">
        <f>VLOOKUP(A119,Data!$A$2:$Z$179,13,FALSE)</f>
        <v>0</v>
      </c>
      <c r="V119" s="91">
        <f t="shared" si="32"/>
        <v>0</v>
      </c>
      <c r="W119" s="105">
        <f>VLOOKUP(A119,Data!$A$2:$Z$179,22,FALSE)</f>
        <v>0</v>
      </c>
      <c r="X119" s="105">
        <f>W119*F119</f>
        <v>0</v>
      </c>
      <c r="Y119" s="105">
        <f>VLOOKUP(A119,Data!$A$2:$Z$179,19,FALSE)</f>
        <v>0</v>
      </c>
      <c r="Z119" s="105">
        <f t="shared" si="33"/>
        <v>0</v>
      </c>
      <c r="AA119" s="105">
        <f>VLOOKUP(A119,Data!$A$2:$Z$179,20,FALSE)</f>
        <v>0</v>
      </c>
      <c r="AB119" s="105">
        <f>$F119*AA119</f>
        <v>0</v>
      </c>
      <c r="AC119" s="105">
        <f>VLOOKUP(A119,Data!$A$2:$Z$179,21,FALSE)</f>
        <v>0</v>
      </c>
      <c r="AD119" s="105">
        <f t="shared" si="39"/>
        <v>0</v>
      </c>
      <c r="AE119" s="105">
        <f>J119+L119+N119+O119+Q119+S119+U119+W119+Y119+AA119+AC119</f>
        <v>200.11899999999997</v>
      </c>
      <c r="AF119" s="105">
        <f t="shared" si="40"/>
        <v>0</v>
      </c>
      <c r="AG119" s="105"/>
      <c r="AH119" s="106">
        <f>AE119-S119-W119</f>
        <v>200.11899999999997</v>
      </c>
      <c r="AI119" s="85">
        <f>AH119/AE119</f>
        <v>1</v>
      </c>
      <c r="AK119" s="106">
        <f t="shared" si="30"/>
        <v>181.99599999999998</v>
      </c>
      <c r="AL119" s="106">
        <f t="shared" si="31"/>
        <v>181.99599999999998</v>
      </c>
      <c r="AN119" s="85" t="s">
        <v>170</v>
      </c>
      <c r="AO119" s="85">
        <v>0.59747641241332283</v>
      </c>
      <c r="AQ119" s="107"/>
      <c r="AR119" s="85" t="s">
        <v>239</v>
      </c>
      <c r="AS119" s="108">
        <v>231965.99079499999</v>
      </c>
    </row>
    <row r="120" spans="1:45" x14ac:dyDescent="0.2">
      <c r="B120" s="101"/>
      <c r="C120" s="92"/>
      <c r="D120" s="92"/>
      <c r="F120" s="109"/>
      <c r="G120" s="109"/>
      <c r="H120" s="109"/>
      <c r="I120" s="109"/>
      <c r="J120" s="105"/>
      <c r="K120" s="105"/>
      <c r="L120" s="105"/>
      <c r="M120" s="105">
        <f t="shared" si="34"/>
        <v>0</v>
      </c>
      <c r="N120" s="105"/>
      <c r="O120" s="105"/>
      <c r="P120" s="105">
        <f t="shared" si="35"/>
        <v>0</v>
      </c>
      <c r="Q120" s="105"/>
      <c r="R120" s="105">
        <f t="shared" si="36"/>
        <v>0</v>
      </c>
      <c r="S120" s="105"/>
      <c r="T120" s="105">
        <f t="shared" si="37"/>
        <v>0</v>
      </c>
      <c r="U120" s="105"/>
      <c r="V120" s="91">
        <f t="shared" si="32"/>
        <v>0</v>
      </c>
      <c r="W120" s="105"/>
      <c r="X120" s="105">
        <f t="shared" si="38"/>
        <v>0</v>
      </c>
      <c r="Y120" s="105"/>
      <c r="Z120" s="105">
        <f t="shared" si="33"/>
        <v>0</v>
      </c>
      <c r="AA120" s="105"/>
      <c r="AB120" s="105">
        <f t="shared" si="42"/>
        <v>0</v>
      </c>
      <c r="AC120" s="105"/>
      <c r="AD120" s="105">
        <f t="shared" si="39"/>
        <v>0</v>
      </c>
      <c r="AE120" s="105"/>
      <c r="AF120" s="105">
        <f t="shared" si="40"/>
        <v>0</v>
      </c>
      <c r="AG120" s="105"/>
      <c r="AH120" s="106"/>
      <c r="AK120" s="106">
        <f t="shared" si="30"/>
        <v>0</v>
      </c>
      <c r="AL120" s="106">
        <f t="shared" si="31"/>
        <v>0</v>
      </c>
      <c r="AN120" s="85" t="s">
        <v>171</v>
      </c>
      <c r="AO120" s="85">
        <v>0.68461274257255711</v>
      </c>
      <c r="AQ120" s="107"/>
      <c r="AR120" s="112" t="s">
        <v>240</v>
      </c>
      <c r="AS120" s="108">
        <v>3904056.027522</v>
      </c>
    </row>
    <row r="121" spans="1:45" x14ac:dyDescent="0.2">
      <c r="A121" s="112" t="s">
        <v>61</v>
      </c>
      <c r="B121" s="101" t="s">
        <v>60</v>
      </c>
      <c r="C121" s="86" t="s">
        <v>581</v>
      </c>
      <c r="F121" s="102">
        <f>E121</f>
        <v>0</v>
      </c>
      <c r="G121" s="102"/>
      <c r="H121" s="102"/>
      <c r="I121" s="102"/>
      <c r="J121" s="105"/>
      <c r="K121" s="105"/>
      <c r="L121" s="105"/>
      <c r="M121" s="105">
        <f t="shared" si="34"/>
        <v>0</v>
      </c>
      <c r="N121" s="105"/>
      <c r="O121" s="105"/>
      <c r="P121" s="105">
        <f t="shared" si="35"/>
        <v>0</v>
      </c>
      <c r="Q121" s="105"/>
      <c r="R121" s="105">
        <f t="shared" si="36"/>
        <v>0</v>
      </c>
      <c r="S121" s="105"/>
      <c r="T121" s="105">
        <f t="shared" si="37"/>
        <v>0</v>
      </c>
      <c r="U121" s="105"/>
      <c r="V121" s="91">
        <f t="shared" si="32"/>
        <v>0</v>
      </c>
      <c r="W121" s="105"/>
      <c r="X121" s="105">
        <f t="shared" si="38"/>
        <v>0</v>
      </c>
      <c r="Y121" s="105"/>
      <c r="Z121" s="105">
        <f t="shared" si="33"/>
        <v>0</v>
      </c>
      <c r="AA121" s="105"/>
      <c r="AB121" s="105">
        <f t="shared" si="42"/>
        <v>0</v>
      </c>
      <c r="AC121" s="105"/>
      <c r="AD121" s="105">
        <f t="shared" si="39"/>
        <v>0</v>
      </c>
      <c r="AE121" s="105"/>
      <c r="AF121" s="105">
        <f t="shared" si="40"/>
        <v>0</v>
      </c>
      <c r="AG121" s="105"/>
      <c r="AH121" s="106"/>
      <c r="AK121" s="106">
        <f t="shared" si="30"/>
        <v>0</v>
      </c>
      <c r="AL121" s="106">
        <f t="shared" si="31"/>
        <v>0</v>
      </c>
      <c r="AN121" s="85" t="s">
        <v>172</v>
      </c>
      <c r="AO121" s="85">
        <v>0.84769562206663074</v>
      </c>
      <c r="AQ121" s="107"/>
      <c r="AR121" s="85" t="s">
        <v>242</v>
      </c>
      <c r="AS121" s="108">
        <v>1199888.8263800002</v>
      </c>
    </row>
    <row r="122" spans="1:45" x14ac:dyDescent="0.2">
      <c r="A122" s="112" t="s">
        <v>61</v>
      </c>
      <c r="B122" s="101" t="s">
        <v>25</v>
      </c>
      <c r="C122" s="86" t="s">
        <v>581</v>
      </c>
      <c r="F122" s="102">
        <f>E122</f>
        <v>0</v>
      </c>
      <c r="G122" s="102"/>
      <c r="H122" s="102"/>
      <c r="I122" s="102"/>
      <c r="J122" s="105"/>
      <c r="K122" s="105"/>
      <c r="L122" s="105"/>
      <c r="M122" s="105">
        <f t="shared" si="34"/>
        <v>0</v>
      </c>
      <c r="N122" s="105"/>
      <c r="O122" s="105"/>
      <c r="P122" s="105">
        <f t="shared" si="35"/>
        <v>0</v>
      </c>
      <c r="Q122" s="105"/>
      <c r="R122" s="105">
        <f t="shared" si="36"/>
        <v>0</v>
      </c>
      <c r="S122" s="105"/>
      <c r="T122" s="105">
        <f t="shared" si="37"/>
        <v>0</v>
      </c>
      <c r="U122" s="105"/>
      <c r="V122" s="91">
        <f t="shared" si="32"/>
        <v>0</v>
      </c>
      <c r="W122" s="105"/>
      <c r="X122" s="105">
        <f t="shared" si="38"/>
        <v>0</v>
      </c>
      <c r="Y122" s="105"/>
      <c r="Z122" s="105">
        <f t="shared" si="33"/>
        <v>0</v>
      </c>
      <c r="AA122" s="105"/>
      <c r="AB122" s="105">
        <f t="shared" si="42"/>
        <v>0</v>
      </c>
      <c r="AC122" s="105"/>
      <c r="AD122" s="105">
        <f t="shared" si="39"/>
        <v>0</v>
      </c>
      <c r="AE122" s="105"/>
      <c r="AF122" s="105">
        <f t="shared" si="40"/>
        <v>0</v>
      </c>
      <c r="AG122" s="105"/>
      <c r="AH122" s="106"/>
      <c r="AK122" s="106">
        <f t="shared" si="30"/>
        <v>0</v>
      </c>
      <c r="AL122" s="106">
        <f t="shared" si="31"/>
        <v>0</v>
      </c>
      <c r="AN122" s="85" t="s">
        <v>174</v>
      </c>
      <c r="AO122" s="85">
        <v>0.74701778077875314</v>
      </c>
      <c r="AQ122" s="107"/>
      <c r="AR122" s="112" t="s">
        <v>243</v>
      </c>
      <c r="AS122" s="108">
        <v>4593747.340400001</v>
      </c>
    </row>
    <row r="123" spans="1:45" x14ac:dyDescent="0.2">
      <c r="A123" s="112" t="s">
        <v>61</v>
      </c>
      <c r="C123" s="92" t="s">
        <v>582</v>
      </c>
      <c r="D123" s="92"/>
      <c r="F123" s="104">
        <f>SUM(F121:F122)</f>
        <v>0</v>
      </c>
      <c r="G123" s="104">
        <f>F123</f>
        <v>0</v>
      </c>
      <c r="H123" s="105">
        <f>VLOOKUP(A123,Data!$A$2:$Z$179,24,FALSE)</f>
        <v>27</v>
      </c>
      <c r="I123" s="105">
        <f>VLOOKUP(A123,Data!$A$2:$Z$179,25,FALSE)</f>
        <v>0</v>
      </c>
      <c r="J123" s="105">
        <f>VLOOKUP(A123,Data!$A$2:$Z$179,7,FALSE)</f>
        <v>27</v>
      </c>
      <c r="K123" s="105">
        <f>$F123*J123</f>
        <v>0</v>
      </c>
      <c r="L123" s="105">
        <f>VLOOKUP(A123,Data!$A$2:$Z$179,8,FALSE)</f>
        <v>0</v>
      </c>
      <c r="M123" s="105">
        <f>L123*F123</f>
        <v>0</v>
      </c>
      <c r="N123" s="105">
        <f>VLOOKUP(A123,Data!$A$2:$Z$179,9,FALSE)</f>
        <v>0</v>
      </c>
      <c r="O123" s="105">
        <f>VLOOKUP(A122,Data!$A$2:$Z$179,10,FALSE)</f>
        <v>0</v>
      </c>
      <c r="P123" s="105">
        <f>O123*F123</f>
        <v>0</v>
      </c>
      <c r="Q123" s="105">
        <f>VLOOKUP(A123,Data!$A$2:$Z$179,11,FALSE)</f>
        <v>0</v>
      </c>
      <c r="R123" s="105">
        <f t="shared" si="36"/>
        <v>0</v>
      </c>
      <c r="S123" s="105">
        <f>VLOOKUP(A123,Data!$A$2:$Z$179,12,FALSE)</f>
        <v>0</v>
      </c>
      <c r="T123" s="105">
        <f>S123*F123</f>
        <v>0</v>
      </c>
      <c r="U123" s="105">
        <f>VLOOKUP(A123,Data!$A$2:$Z$179,13,FALSE)</f>
        <v>0</v>
      </c>
      <c r="V123" s="91">
        <f t="shared" si="32"/>
        <v>0</v>
      </c>
      <c r="W123" s="105">
        <f>VLOOKUP(A123,Data!$A$2:$Z$179,22,FALSE)</f>
        <v>0</v>
      </c>
      <c r="X123" s="105">
        <f>W123*F123</f>
        <v>0</v>
      </c>
      <c r="Y123" s="105">
        <f>VLOOKUP(A123,Data!$A$2:$Z$179,19,FALSE)</f>
        <v>0</v>
      </c>
      <c r="Z123" s="105">
        <f t="shared" si="33"/>
        <v>0</v>
      </c>
      <c r="AA123" s="105">
        <f>VLOOKUP(A123,Data!$A$2:$Z$179,20,FALSE)</f>
        <v>0</v>
      </c>
      <c r="AB123" s="105">
        <f>$F123*AA123</f>
        <v>0</v>
      </c>
      <c r="AC123" s="105">
        <f>VLOOKUP(A123,Data!$A$2:$Z$179,21,FALSE)</f>
        <v>0</v>
      </c>
      <c r="AD123" s="105">
        <f t="shared" si="39"/>
        <v>0</v>
      </c>
      <c r="AE123" s="105">
        <f>J123+L123+N123+O123+Q123+S123+U123+W123+Y123+AA123+AC123</f>
        <v>27</v>
      </c>
      <c r="AF123" s="105">
        <f t="shared" si="40"/>
        <v>0</v>
      </c>
      <c r="AG123" s="105"/>
      <c r="AH123" s="106">
        <f>AE123-S123-W123</f>
        <v>27</v>
      </c>
      <c r="AI123" s="85">
        <f>AH123/AE123</f>
        <v>1</v>
      </c>
      <c r="AK123" s="106">
        <f t="shared" si="30"/>
        <v>0</v>
      </c>
      <c r="AL123" s="106">
        <f t="shared" si="31"/>
        <v>0</v>
      </c>
      <c r="AN123" s="85" t="s">
        <v>175</v>
      </c>
      <c r="AO123" s="85">
        <v>0.53542780748663099</v>
      </c>
      <c r="AQ123" s="107"/>
      <c r="AR123" s="85" t="s">
        <v>244</v>
      </c>
      <c r="AS123" s="108">
        <v>6195226.8913119994</v>
      </c>
    </row>
    <row r="124" spans="1:45" x14ac:dyDescent="0.2">
      <c r="C124" s="92"/>
      <c r="D124" s="92"/>
      <c r="F124" s="109"/>
      <c r="G124" s="109"/>
      <c r="H124" s="109"/>
      <c r="I124" s="109"/>
      <c r="J124" s="105"/>
      <c r="K124" s="105"/>
      <c r="L124" s="105"/>
      <c r="M124" s="105">
        <f t="shared" ref="M124:M143" si="43">L124*F124</f>
        <v>0</v>
      </c>
      <c r="N124" s="105"/>
      <c r="O124" s="105"/>
      <c r="P124" s="105">
        <f t="shared" ref="P124:P142" si="44">O124*F124</f>
        <v>0</v>
      </c>
      <c r="Q124" s="105"/>
      <c r="R124" s="105">
        <f t="shared" si="36"/>
        <v>0</v>
      </c>
      <c r="S124" s="105"/>
      <c r="T124" s="105">
        <f t="shared" ref="T124:T142" si="45">S124*F124</f>
        <v>0</v>
      </c>
      <c r="U124" s="105"/>
      <c r="V124" s="91">
        <f t="shared" si="32"/>
        <v>0</v>
      </c>
      <c r="W124" s="105"/>
      <c r="X124" s="105">
        <f t="shared" ref="X124:X142" si="46">W124*F124</f>
        <v>0</v>
      </c>
      <c r="Y124" s="105"/>
      <c r="Z124" s="105">
        <f t="shared" si="33"/>
        <v>0</v>
      </c>
      <c r="AA124" s="105"/>
      <c r="AB124" s="105">
        <f t="shared" si="42"/>
        <v>0</v>
      </c>
      <c r="AC124" s="105"/>
      <c r="AD124" s="105">
        <f t="shared" si="39"/>
        <v>0</v>
      </c>
      <c r="AE124" s="105"/>
      <c r="AF124" s="105">
        <f t="shared" si="40"/>
        <v>0</v>
      </c>
      <c r="AG124" s="105"/>
      <c r="AH124" s="106"/>
      <c r="AK124" s="106">
        <f t="shared" si="30"/>
        <v>0</v>
      </c>
      <c r="AL124" s="106">
        <f t="shared" si="31"/>
        <v>0</v>
      </c>
      <c r="AN124" s="85" t="s">
        <v>177</v>
      </c>
      <c r="AO124" s="85">
        <v>0.64370275281700184</v>
      </c>
      <c r="AQ124" s="107"/>
      <c r="AR124" s="112" t="s">
        <v>245</v>
      </c>
      <c r="AS124" s="108">
        <v>500165.32572600001</v>
      </c>
    </row>
    <row r="125" spans="1:45" x14ac:dyDescent="0.2">
      <c r="A125" s="85" t="s">
        <v>62</v>
      </c>
      <c r="B125" s="101" t="s">
        <v>60</v>
      </c>
      <c r="C125" s="86" t="s">
        <v>583</v>
      </c>
      <c r="F125" s="102">
        <f>E125</f>
        <v>0</v>
      </c>
      <c r="G125" s="103"/>
      <c r="H125" s="103"/>
      <c r="I125" s="103"/>
      <c r="J125" s="105"/>
      <c r="K125" s="105"/>
      <c r="L125" s="105"/>
      <c r="M125" s="105">
        <f t="shared" si="43"/>
        <v>0</v>
      </c>
      <c r="N125" s="105"/>
      <c r="O125" s="105"/>
      <c r="P125" s="105">
        <f t="shared" si="44"/>
        <v>0</v>
      </c>
      <c r="Q125" s="105"/>
      <c r="R125" s="105">
        <f t="shared" si="36"/>
        <v>0</v>
      </c>
      <c r="S125" s="105"/>
      <c r="T125" s="105">
        <f t="shared" si="45"/>
        <v>0</v>
      </c>
      <c r="U125" s="105"/>
      <c r="V125" s="91">
        <f t="shared" si="32"/>
        <v>0</v>
      </c>
      <c r="W125" s="105"/>
      <c r="X125" s="105">
        <f t="shared" si="46"/>
        <v>0</v>
      </c>
      <c r="Y125" s="105"/>
      <c r="Z125" s="105">
        <f t="shared" si="33"/>
        <v>0</v>
      </c>
      <c r="AA125" s="105"/>
      <c r="AB125" s="105">
        <f t="shared" si="42"/>
        <v>0</v>
      </c>
      <c r="AC125" s="105"/>
      <c r="AD125" s="105">
        <f t="shared" si="39"/>
        <v>0</v>
      </c>
      <c r="AE125" s="105"/>
      <c r="AF125" s="105">
        <f t="shared" si="40"/>
        <v>0</v>
      </c>
      <c r="AG125" s="105"/>
      <c r="AH125" s="106"/>
      <c r="AK125" s="106">
        <f t="shared" si="30"/>
        <v>0</v>
      </c>
      <c r="AL125" s="106">
        <f t="shared" si="31"/>
        <v>0</v>
      </c>
      <c r="AN125" s="85" t="s">
        <v>178</v>
      </c>
      <c r="AO125" s="85">
        <v>0.84612555174104953</v>
      </c>
      <c r="AQ125" s="107"/>
      <c r="AR125" s="112" t="s">
        <v>246</v>
      </c>
      <c r="AS125" s="108">
        <v>16815856.120000001</v>
      </c>
    </row>
    <row r="126" spans="1:45" x14ac:dyDescent="0.2">
      <c r="A126" s="85" t="s">
        <v>62</v>
      </c>
      <c r="B126" s="101"/>
      <c r="C126" s="92" t="s">
        <v>584</v>
      </c>
      <c r="D126" s="92"/>
      <c r="F126" s="104">
        <f>SUM(F125)</f>
        <v>0</v>
      </c>
      <c r="G126" s="104">
        <f>F126</f>
        <v>0</v>
      </c>
      <c r="H126" s="105">
        <f>VLOOKUP(A126,Data!$A$2:$Z$179,24,FALSE)</f>
        <v>27</v>
      </c>
      <c r="I126" s="105">
        <f>VLOOKUP(A126,Data!$A$2:$Z$179,25,FALSE)</f>
        <v>7.2119999999999997</v>
      </c>
      <c r="J126" s="105">
        <f>VLOOKUP(A126,Data!$A$2:$Z$179,7,FALSE)</f>
        <v>19.788</v>
      </c>
      <c r="K126" s="105">
        <f>$F126*J126</f>
        <v>0</v>
      </c>
      <c r="L126" s="105">
        <f>VLOOKUP(A126,Data!$A$2:$Z$179,8,FALSE)</f>
        <v>0</v>
      </c>
      <c r="M126" s="105">
        <f>L126*F126</f>
        <v>0</v>
      </c>
      <c r="N126" s="105">
        <f>VLOOKUP(A126,Data!$A$2:$Z$179,9,FALSE)</f>
        <v>0</v>
      </c>
      <c r="O126" s="105">
        <f>VLOOKUP(A125,Data!$A$2:$Z$179,10,FALSE)</f>
        <v>0</v>
      </c>
      <c r="P126" s="105">
        <f>O126*F126</f>
        <v>0</v>
      </c>
      <c r="Q126" s="105">
        <f>VLOOKUP(A126,Data!$A$2:$Z$179,11,FALSE)</f>
        <v>0</v>
      </c>
      <c r="R126" s="105">
        <f t="shared" si="36"/>
        <v>0</v>
      </c>
      <c r="S126" s="105">
        <f>VLOOKUP(A126,Data!$A$2:$Z$179,12,FALSE)</f>
        <v>0</v>
      </c>
      <c r="T126" s="105">
        <f>S126*F126</f>
        <v>0</v>
      </c>
      <c r="U126" s="105">
        <f>VLOOKUP(A126,Data!$A$2:$Z$179,13,FALSE)</f>
        <v>5.2951266244791628E-2</v>
      </c>
      <c r="V126" s="91">
        <f t="shared" si="32"/>
        <v>0</v>
      </c>
      <c r="W126" s="105">
        <f>VLOOKUP(A126,Data!$A$2:$Z$179,22,FALSE)</f>
        <v>0</v>
      </c>
      <c r="X126" s="105">
        <f>W126*F126</f>
        <v>0</v>
      </c>
      <c r="Y126" s="105">
        <f>VLOOKUP(A126,Data!$A$2:$Z$179,19,FALSE)</f>
        <v>0</v>
      </c>
      <c r="Z126" s="105">
        <f t="shared" si="33"/>
        <v>0</v>
      </c>
      <c r="AA126" s="105">
        <f>VLOOKUP(A126,Data!$A$2:$Z$179,20,FALSE)</f>
        <v>0</v>
      </c>
      <c r="AB126" s="105">
        <f>$F126*AA126</f>
        <v>0</v>
      </c>
      <c r="AC126" s="105">
        <f>VLOOKUP(A126,Data!$A$2:$Z$179,21,FALSE)</f>
        <v>0</v>
      </c>
      <c r="AD126" s="105">
        <f t="shared" si="39"/>
        <v>0</v>
      </c>
      <c r="AE126" s="105">
        <f>J126+L126+N126+O126+Q126+S126+U126+W126+Y126+AA126+AC126</f>
        <v>19.84095126624479</v>
      </c>
      <c r="AF126" s="105">
        <f t="shared" si="40"/>
        <v>0</v>
      </c>
      <c r="AG126" s="105"/>
      <c r="AH126" s="106">
        <f>AE126-S126-W126</f>
        <v>19.84095126624479</v>
      </c>
      <c r="AI126" s="85">
        <f>AH126/AE126</f>
        <v>1</v>
      </c>
      <c r="AK126" s="106">
        <f t="shared" si="30"/>
        <v>0</v>
      </c>
      <c r="AL126" s="106">
        <f t="shared" si="31"/>
        <v>0</v>
      </c>
      <c r="AN126" s="85" t="s">
        <v>179</v>
      </c>
      <c r="AO126" s="85">
        <v>0.63022772200970456</v>
      </c>
      <c r="AQ126" s="107"/>
      <c r="AR126" s="85" t="s">
        <v>247</v>
      </c>
      <c r="AS126" s="108">
        <v>2490615.6046199999</v>
      </c>
    </row>
    <row r="127" spans="1:45" x14ac:dyDescent="0.2">
      <c r="B127" s="101"/>
      <c r="C127" s="92"/>
      <c r="D127" s="92"/>
      <c r="F127" s="109"/>
      <c r="G127" s="109"/>
      <c r="H127" s="109"/>
      <c r="I127" s="109"/>
      <c r="J127" s="105"/>
      <c r="K127" s="105"/>
      <c r="L127" s="105"/>
      <c r="M127" s="105">
        <f t="shared" si="43"/>
        <v>0</v>
      </c>
      <c r="N127" s="105"/>
      <c r="O127" s="105"/>
      <c r="P127" s="105">
        <f t="shared" si="44"/>
        <v>0</v>
      </c>
      <c r="Q127" s="105"/>
      <c r="R127" s="105">
        <f t="shared" si="36"/>
        <v>0</v>
      </c>
      <c r="S127" s="105"/>
      <c r="T127" s="105">
        <f t="shared" si="45"/>
        <v>0</v>
      </c>
      <c r="U127" s="105"/>
      <c r="V127" s="91">
        <f t="shared" si="32"/>
        <v>0</v>
      </c>
      <c r="W127" s="105"/>
      <c r="X127" s="105">
        <f t="shared" si="46"/>
        <v>0</v>
      </c>
      <c r="Y127" s="105"/>
      <c r="Z127" s="105">
        <f t="shared" si="33"/>
        <v>0</v>
      </c>
      <c r="AA127" s="105"/>
      <c r="AB127" s="105">
        <f t="shared" ref="AB127:AB134" si="47">$F127*AA127</f>
        <v>0</v>
      </c>
      <c r="AC127" s="105"/>
      <c r="AD127" s="105">
        <f t="shared" si="39"/>
        <v>0</v>
      </c>
      <c r="AE127" s="105"/>
      <c r="AF127" s="105">
        <f t="shared" si="40"/>
        <v>0</v>
      </c>
      <c r="AG127" s="105"/>
      <c r="AH127" s="106"/>
      <c r="AK127" s="106">
        <f t="shared" si="30"/>
        <v>0</v>
      </c>
      <c r="AL127" s="106">
        <f t="shared" si="31"/>
        <v>0</v>
      </c>
      <c r="AN127" s="85" t="s">
        <v>180</v>
      </c>
      <c r="AO127" s="85">
        <v>0.79808665556535086</v>
      </c>
      <c r="AQ127" s="107"/>
      <c r="AR127" s="112" t="s">
        <v>248</v>
      </c>
      <c r="AS127" s="108">
        <v>2675382.7375349998</v>
      </c>
    </row>
    <row r="128" spans="1:45" x14ac:dyDescent="0.2">
      <c r="A128" s="112" t="s">
        <v>63</v>
      </c>
      <c r="B128" s="101" t="s">
        <v>64</v>
      </c>
      <c r="C128" s="113" t="s">
        <v>585</v>
      </c>
      <c r="F128" s="102">
        <f>E128</f>
        <v>0</v>
      </c>
      <c r="G128" s="103"/>
      <c r="H128" s="103"/>
      <c r="I128" s="103"/>
      <c r="J128" s="105"/>
      <c r="K128" s="105"/>
      <c r="L128" s="105"/>
      <c r="M128" s="105">
        <f t="shared" si="43"/>
        <v>0</v>
      </c>
      <c r="N128" s="105"/>
      <c r="O128" s="105"/>
      <c r="P128" s="105">
        <f t="shared" si="44"/>
        <v>0</v>
      </c>
      <c r="Q128" s="105"/>
      <c r="R128" s="105">
        <f t="shared" si="36"/>
        <v>0</v>
      </c>
      <c r="S128" s="105"/>
      <c r="T128" s="105">
        <f t="shared" si="45"/>
        <v>0</v>
      </c>
      <c r="U128" s="105"/>
      <c r="V128" s="91">
        <f t="shared" si="32"/>
        <v>0</v>
      </c>
      <c r="W128" s="105"/>
      <c r="X128" s="105">
        <f t="shared" si="46"/>
        <v>0</v>
      </c>
      <c r="Y128" s="105"/>
      <c r="Z128" s="105">
        <f t="shared" si="33"/>
        <v>0</v>
      </c>
      <c r="AA128" s="105"/>
      <c r="AB128" s="105">
        <f t="shared" si="47"/>
        <v>0</v>
      </c>
      <c r="AC128" s="105"/>
      <c r="AD128" s="105">
        <f t="shared" si="39"/>
        <v>0</v>
      </c>
      <c r="AE128" s="105"/>
      <c r="AF128" s="105">
        <f t="shared" si="40"/>
        <v>0</v>
      </c>
      <c r="AG128" s="105"/>
      <c r="AH128" s="106"/>
      <c r="AK128" s="106">
        <f t="shared" si="30"/>
        <v>0</v>
      </c>
      <c r="AL128" s="106">
        <f t="shared" si="31"/>
        <v>0</v>
      </c>
      <c r="AN128" s="85" t="s">
        <v>182</v>
      </c>
      <c r="AO128" s="85">
        <v>1</v>
      </c>
      <c r="AQ128" s="107"/>
      <c r="AR128" s="85" t="s">
        <v>249</v>
      </c>
      <c r="AS128" s="108">
        <v>900043.68832000007</v>
      </c>
    </row>
    <row r="129" spans="1:45" x14ac:dyDescent="0.2">
      <c r="A129" s="112" t="s">
        <v>63</v>
      </c>
      <c r="B129" s="101"/>
      <c r="C129" s="92" t="s">
        <v>586</v>
      </c>
      <c r="D129" s="92"/>
      <c r="F129" s="104">
        <f>SUM(F128)</f>
        <v>0</v>
      </c>
      <c r="G129" s="104">
        <f>F129</f>
        <v>0</v>
      </c>
      <c r="H129" s="105">
        <f>VLOOKUP(A129,Data!$A$2:$Z$179,24,FALSE)</f>
        <v>27</v>
      </c>
      <c r="I129" s="105">
        <f>VLOOKUP(A129,Data!$A$2:$Z$179,25,FALSE)</f>
        <v>9.7200000000000006</v>
      </c>
      <c r="J129" s="105">
        <f>VLOOKUP(A129,Data!$A$2:$Z$179,7,FALSE)</f>
        <v>17.28</v>
      </c>
      <c r="K129" s="105">
        <f>$F129*J129</f>
        <v>0</v>
      </c>
      <c r="L129" s="105">
        <f>VLOOKUP(A129,Data!$A$2:$Z$179,8,FALSE)</f>
        <v>0</v>
      </c>
      <c r="M129" s="105">
        <f>L129*F129</f>
        <v>0</v>
      </c>
      <c r="N129" s="105">
        <f>VLOOKUP(A129,Data!$A$2:$Z$179,9,FALSE)</f>
        <v>0</v>
      </c>
      <c r="O129" s="105">
        <f>VLOOKUP(A128,Data!$A$2:$Z$179,10,FALSE)</f>
        <v>0</v>
      </c>
      <c r="P129" s="105">
        <f>O129*F129</f>
        <v>0</v>
      </c>
      <c r="Q129" s="105">
        <f>VLOOKUP(A129,Data!$A$2:$Z$179,11,FALSE)</f>
        <v>0</v>
      </c>
      <c r="R129" s="105">
        <f t="shared" si="36"/>
        <v>0</v>
      </c>
      <c r="S129" s="105">
        <f>VLOOKUP(A129,Data!$A$2:$Z$179,12,FALSE)</f>
        <v>0</v>
      </c>
      <c r="T129" s="105">
        <f>S129*F129</f>
        <v>0</v>
      </c>
      <c r="U129" s="105">
        <f>VLOOKUP(A129,Data!$A$2:$Z$179,13,FALSE)</f>
        <v>4.0058055696634107E-2</v>
      </c>
      <c r="V129" s="91">
        <f t="shared" si="32"/>
        <v>0</v>
      </c>
      <c r="W129" s="105">
        <f>VLOOKUP(A129,Data!$A$2:$Z$179,22,FALSE)</f>
        <v>0</v>
      </c>
      <c r="X129" s="105">
        <f>W129*F129</f>
        <v>0</v>
      </c>
      <c r="Y129" s="105">
        <f>VLOOKUP(A129,Data!$A$2:$Z$179,19,FALSE)</f>
        <v>0</v>
      </c>
      <c r="Z129" s="105">
        <f t="shared" si="33"/>
        <v>0</v>
      </c>
      <c r="AA129" s="105">
        <f>VLOOKUP(A129,Data!$A$2:$Z$179,20,FALSE)</f>
        <v>0</v>
      </c>
      <c r="AB129" s="105">
        <f t="shared" si="47"/>
        <v>0</v>
      </c>
      <c r="AC129" s="105">
        <f>VLOOKUP(A129,Data!$A$2:$Z$179,21,FALSE)</f>
        <v>0</v>
      </c>
      <c r="AD129" s="105">
        <f t="shared" si="39"/>
        <v>0</v>
      </c>
      <c r="AE129" s="105">
        <f>J129+L129+N129+O129+Q129+S129+U129+W129+Y129+AA129+AC129</f>
        <v>17.320058055696634</v>
      </c>
      <c r="AF129" s="105">
        <f t="shared" si="40"/>
        <v>0</v>
      </c>
      <c r="AG129" s="105"/>
      <c r="AH129" s="106">
        <f>AE129-S129-W129</f>
        <v>17.320058055696634</v>
      </c>
      <c r="AI129" s="85">
        <f>AH129/AE129</f>
        <v>1</v>
      </c>
      <c r="AK129" s="106">
        <f t="shared" si="30"/>
        <v>0</v>
      </c>
      <c r="AL129" s="106">
        <f t="shared" si="31"/>
        <v>0</v>
      </c>
      <c r="AN129" s="85" t="s">
        <v>183</v>
      </c>
      <c r="AO129" s="85">
        <v>1</v>
      </c>
      <c r="AQ129" s="107"/>
      <c r="AR129" s="85" t="s">
        <v>250</v>
      </c>
      <c r="AS129" s="108">
        <v>500833.03499999997</v>
      </c>
    </row>
    <row r="130" spans="1:45" x14ac:dyDescent="0.2">
      <c r="B130" s="101"/>
      <c r="D130" s="92"/>
      <c r="F130" s="109"/>
      <c r="G130" s="109"/>
      <c r="H130" s="109"/>
      <c r="I130" s="109"/>
      <c r="J130" s="105"/>
      <c r="K130" s="105"/>
      <c r="L130" s="105"/>
      <c r="M130" s="105">
        <f t="shared" si="43"/>
        <v>0</v>
      </c>
      <c r="N130" s="105"/>
      <c r="O130" s="105"/>
      <c r="P130" s="105">
        <f t="shared" si="44"/>
        <v>0</v>
      </c>
      <c r="Q130" s="105"/>
      <c r="R130" s="105">
        <f t="shared" si="36"/>
        <v>0</v>
      </c>
      <c r="S130" s="105"/>
      <c r="T130" s="105">
        <f t="shared" si="45"/>
        <v>0</v>
      </c>
      <c r="U130" s="105"/>
      <c r="V130" s="91">
        <f t="shared" si="32"/>
        <v>0</v>
      </c>
      <c r="W130" s="105"/>
      <c r="X130" s="105">
        <f t="shared" si="46"/>
        <v>0</v>
      </c>
      <c r="Y130" s="105"/>
      <c r="Z130" s="105">
        <f t="shared" si="33"/>
        <v>0</v>
      </c>
      <c r="AA130" s="105"/>
      <c r="AB130" s="105">
        <f t="shared" si="47"/>
        <v>0</v>
      </c>
      <c r="AC130" s="105"/>
      <c r="AD130" s="105">
        <f t="shared" si="39"/>
        <v>0</v>
      </c>
      <c r="AE130" s="105"/>
      <c r="AF130" s="105">
        <f t="shared" si="40"/>
        <v>0</v>
      </c>
      <c r="AG130" s="105"/>
      <c r="AH130" s="106"/>
      <c r="AK130" s="106">
        <f t="shared" si="30"/>
        <v>0</v>
      </c>
      <c r="AL130" s="106">
        <f t="shared" si="31"/>
        <v>0</v>
      </c>
      <c r="AN130" s="85" t="s">
        <v>184</v>
      </c>
      <c r="AO130" s="85">
        <v>0.80045532493643201</v>
      </c>
      <c r="AQ130" s="107"/>
      <c r="AR130" s="85" t="s">
        <v>251</v>
      </c>
      <c r="AS130" s="108">
        <v>74986.608870000011</v>
      </c>
    </row>
    <row r="131" spans="1:45" x14ac:dyDescent="0.2">
      <c r="A131" s="85" t="s">
        <v>65</v>
      </c>
      <c r="B131" s="101" t="s">
        <v>64</v>
      </c>
      <c r="C131" s="86" t="s">
        <v>587</v>
      </c>
      <c r="F131" s="102">
        <f>E131</f>
        <v>0</v>
      </c>
      <c r="G131" s="103"/>
      <c r="H131" s="103"/>
      <c r="I131" s="103"/>
      <c r="J131" s="105"/>
      <c r="K131" s="105"/>
      <c r="L131" s="105"/>
      <c r="M131" s="105">
        <f t="shared" si="43"/>
        <v>0</v>
      </c>
      <c r="N131" s="105"/>
      <c r="O131" s="105"/>
      <c r="P131" s="105">
        <f t="shared" si="44"/>
        <v>0</v>
      </c>
      <c r="Q131" s="105"/>
      <c r="R131" s="105">
        <f t="shared" si="36"/>
        <v>0</v>
      </c>
      <c r="S131" s="105"/>
      <c r="T131" s="105">
        <f t="shared" si="45"/>
        <v>0</v>
      </c>
      <c r="U131" s="105"/>
      <c r="V131" s="91">
        <f t="shared" si="32"/>
        <v>0</v>
      </c>
      <c r="W131" s="105"/>
      <c r="X131" s="105">
        <f t="shared" si="46"/>
        <v>0</v>
      </c>
      <c r="Y131" s="105"/>
      <c r="Z131" s="105">
        <f t="shared" si="33"/>
        <v>0</v>
      </c>
      <c r="AA131" s="105"/>
      <c r="AB131" s="105">
        <f t="shared" si="47"/>
        <v>0</v>
      </c>
      <c r="AC131" s="105"/>
      <c r="AD131" s="105">
        <f t="shared" si="39"/>
        <v>0</v>
      </c>
      <c r="AE131" s="105"/>
      <c r="AF131" s="105">
        <f t="shared" si="40"/>
        <v>0</v>
      </c>
      <c r="AG131" s="105"/>
      <c r="AH131" s="106"/>
      <c r="AK131" s="106">
        <f t="shared" si="30"/>
        <v>0</v>
      </c>
      <c r="AL131" s="106">
        <f t="shared" si="31"/>
        <v>0</v>
      </c>
      <c r="AN131" s="85" t="s">
        <v>185</v>
      </c>
      <c r="AO131" s="85">
        <v>1</v>
      </c>
      <c r="AQ131" s="107"/>
      <c r="AR131" s="85" t="s">
        <v>252</v>
      </c>
      <c r="AS131" s="108">
        <v>404711.04210000002</v>
      </c>
    </row>
    <row r="132" spans="1:45" x14ac:dyDescent="0.2">
      <c r="A132" s="85" t="s">
        <v>65</v>
      </c>
      <c r="C132" s="92" t="s">
        <v>588</v>
      </c>
      <c r="D132" s="92"/>
      <c r="F132" s="104">
        <f>SUM(F131)</f>
        <v>0</v>
      </c>
      <c r="G132" s="104">
        <f>F132</f>
        <v>0</v>
      </c>
      <c r="H132" s="105">
        <f>VLOOKUP(A132,Data!$A$2:$Z$179,24,FALSE)</f>
        <v>27</v>
      </c>
      <c r="I132" s="105">
        <f>VLOOKUP(A132,Data!$A$2:$Z$179,25,FALSE)</f>
        <v>0</v>
      </c>
      <c r="J132" s="105">
        <f>VLOOKUP(A132,Data!$A$2:$Z$179,7,FALSE)</f>
        <v>27</v>
      </c>
      <c r="K132" s="105">
        <f>$F132*J132</f>
        <v>0</v>
      </c>
      <c r="L132" s="105">
        <f>VLOOKUP(A132,Data!$A$2:$Z$179,8,FALSE)</f>
        <v>0</v>
      </c>
      <c r="M132" s="105">
        <f>L132*F132</f>
        <v>0</v>
      </c>
      <c r="N132" s="105">
        <f>VLOOKUP(A132,Data!$A$2:$Z$179,9,FALSE)</f>
        <v>0</v>
      </c>
      <c r="O132" s="105">
        <f>VLOOKUP(A131,Data!$A$2:$Z$179,10,FALSE)</f>
        <v>0</v>
      </c>
      <c r="P132" s="105">
        <f>O132*F132</f>
        <v>0</v>
      </c>
      <c r="Q132" s="105">
        <f>VLOOKUP(A132,Data!$A$2:$Z$179,11,FALSE)</f>
        <v>0</v>
      </c>
      <c r="R132" s="105">
        <f t="shared" si="36"/>
        <v>0</v>
      </c>
      <c r="S132" s="105">
        <f>VLOOKUP(A132,Data!$A$2:$Z$179,12,FALSE)</f>
        <v>4.8440000000000003</v>
      </c>
      <c r="T132" s="105">
        <f>S132*F132</f>
        <v>0</v>
      </c>
      <c r="U132" s="105">
        <f>VLOOKUP(A132,Data!$A$2:$Z$179,13,FALSE)</f>
        <v>0.13204855506407162</v>
      </c>
      <c r="V132" s="91">
        <f t="shared" si="32"/>
        <v>0</v>
      </c>
      <c r="W132" s="105">
        <f>VLOOKUP(A132,Data!$A$2:$Z$179,22,FALSE)</f>
        <v>0</v>
      </c>
      <c r="X132" s="105">
        <f>W132*F132</f>
        <v>0</v>
      </c>
      <c r="Y132" s="105">
        <f>VLOOKUP(A132,Data!$A$2:$Z$179,19,FALSE)</f>
        <v>0</v>
      </c>
      <c r="Z132" s="105">
        <f t="shared" si="33"/>
        <v>0</v>
      </c>
      <c r="AA132" s="105">
        <f>VLOOKUP(A132,Data!$A$2:$Z$179,20,FALSE)</f>
        <v>0</v>
      </c>
      <c r="AB132" s="105">
        <f t="shared" si="47"/>
        <v>0</v>
      </c>
      <c r="AC132" s="105">
        <f>VLOOKUP(A132,Data!$A$2:$Z$179,21,FALSE)</f>
        <v>0</v>
      </c>
      <c r="AD132" s="105">
        <f t="shared" si="39"/>
        <v>0</v>
      </c>
      <c r="AE132" s="105">
        <f>J132+L132+N132+O132+Q132+S132+U132+W132+Y132+AA132+AC132</f>
        <v>31.976048555064072</v>
      </c>
      <c r="AF132" s="105">
        <f t="shared" si="40"/>
        <v>0</v>
      </c>
      <c r="AG132" s="105"/>
      <c r="AH132" s="106">
        <f>AE132-S132-W132</f>
        <v>27.13204855506407</v>
      </c>
      <c r="AI132" s="85">
        <f>AH132/AE132</f>
        <v>0.84851161357043747</v>
      </c>
      <c r="AK132" s="106">
        <f t="shared" si="30"/>
        <v>4.8440000000000003</v>
      </c>
      <c r="AL132" s="106">
        <f t="shared" si="31"/>
        <v>4.8440000000000003</v>
      </c>
      <c r="AN132" s="85" t="s">
        <v>186</v>
      </c>
      <c r="AO132" s="85">
        <v>0.65991659916599155</v>
      </c>
      <c r="AQ132" s="107"/>
      <c r="AR132" s="114" t="s">
        <v>253</v>
      </c>
      <c r="AS132" s="108">
        <v>963233.68836000003</v>
      </c>
    </row>
    <row r="133" spans="1:45" x14ac:dyDescent="0.2">
      <c r="C133" s="92"/>
      <c r="D133" s="92"/>
      <c r="F133" s="109"/>
      <c r="G133" s="109"/>
      <c r="H133" s="109"/>
      <c r="I133" s="109"/>
      <c r="J133" s="105"/>
      <c r="K133" s="105"/>
      <c r="L133" s="105"/>
      <c r="M133" s="105">
        <f t="shared" si="43"/>
        <v>0</v>
      </c>
      <c r="N133" s="105"/>
      <c r="O133" s="105"/>
      <c r="P133" s="105">
        <f t="shared" si="44"/>
        <v>0</v>
      </c>
      <c r="Q133" s="105"/>
      <c r="R133" s="105">
        <f t="shared" si="36"/>
        <v>0</v>
      </c>
      <c r="S133" s="105"/>
      <c r="T133" s="105">
        <f t="shared" si="45"/>
        <v>0</v>
      </c>
      <c r="U133" s="105"/>
      <c r="V133" s="91">
        <f t="shared" si="32"/>
        <v>0</v>
      </c>
      <c r="W133" s="105"/>
      <c r="X133" s="105">
        <f t="shared" si="46"/>
        <v>0</v>
      </c>
      <c r="Y133" s="105"/>
      <c r="Z133" s="105">
        <f t="shared" si="33"/>
        <v>0</v>
      </c>
      <c r="AA133" s="105"/>
      <c r="AB133" s="105">
        <f t="shared" si="47"/>
        <v>0</v>
      </c>
      <c r="AC133" s="105"/>
      <c r="AD133" s="105">
        <f t="shared" si="39"/>
        <v>0</v>
      </c>
      <c r="AE133" s="105"/>
      <c r="AF133" s="105">
        <f t="shared" si="40"/>
        <v>0</v>
      </c>
      <c r="AG133" s="105"/>
      <c r="AH133" s="106"/>
      <c r="AK133" s="106">
        <f t="shared" si="30"/>
        <v>0</v>
      </c>
      <c r="AL133" s="106">
        <f t="shared" si="31"/>
        <v>0</v>
      </c>
      <c r="AN133" s="85" t="s">
        <v>187</v>
      </c>
      <c r="AO133" s="85">
        <v>0.61575302569412982</v>
      </c>
      <c r="AQ133" s="107"/>
      <c r="AR133" s="85" t="s">
        <v>256</v>
      </c>
      <c r="AS133" s="108">
        <v>1287265.9015200001</v>
      </c>
    </row>
    <row r="134" spans="1:45" x14ac:dyDescent="0.2">
      <c r="A134" s="85" t="s">
        <v>66</v>
      </c>
      <c r="B134" s="101" t="s">
        <v>67</v>
      </c>
      <c r="C134" s="86" t="s">
        <v>589</v>
      </c>
      <c r="F134" s="102">
        <f>E134</f>
        <v>0</v>
      </c>
      <c r="G134" s="102"/>
      <c r="H134" s="102"/>
      <c r="I134" s="102"/>
      <c r="J134" s="105"/>
      <c r="K134" s="105"/>
      <c r="L134" s="105"/>
      <c r="M134" s="105">
        <f t="shared" si="43"/>
        <v>0</v>
      </c>
      <c r="N134" s="105"/>
      <c r="O134" s="105"/>
      <c r="P134" s="105">
        <f t="shared" si="44"/>
        <v>0</v>
      </c>
      <c r="Q134" s="105"/>
      <c r="R134" s="105">
        <f t="shared" si="36"/>
        <v>0</v>
      </c>
      <c r="S134" s="105"/>
      <c r="T134" s="105">
        <f t="shared" si="45"/>
        <v>0</v>
      </c>
      <c r="U134" s="105"/>
      <c r="V134" s="91">
        <f t="shared" si="32"/>
        <v>0</v>
      </c>
      <c r="W134" s="105"/>
      <c r="X134" s="105">
        <f t="shared" si="46"/>
        <v>0</v>
      </c>
      <c r="Y134" s="105"/>
      <c r="Z134" s="105">
        <f t="shared" si="33"/>
        <v>0</v>
      </c>
      <c r="AA134" s="105"/>
      <c r="AB134" s="105">
        <f t="shared" si="47"/>
        <v>0</v>
      </c>
      <c r="AC134" s="105"/>
      <c r="AD134" s="105">
        <f t="shared" si="39"/>
        <v>0</v>
      </c>
      <c r="AE134" s="105"/>
      <c r="AF134" s="105">
        <f t="shared" si="40"/>
        <v>0</v>
      </c>
      <c r="AG134" s="105"/>
      <c r="AH134" s="106"/>
      <c r="AK134" s="106">
        <f t="shared" si="30"/>
        <v>0</v>
      </c>
      <c r="AL134" s="106">
        <f t="shared" si="31"/>
        <v>0</v>
      </c>
      <c r="AN134" s="85" t="s">
        <v>189</v>
      </c>
      <c r="AO134" s="85">
        <v>0.4618119104603689</v>
      </c>
      <c r="AQ134" s="107"/>
      <c r="AR134" s="114" t="s">
        <v>260</v>
      </c>
      <c r="AS134" s="108">
        <v>320227.67236199998</v>
      </c>
    </row>
    <row r="135" spans="1:45" x14ac:dyDescent="0.2">
      <c r="A135" s="85" t="s">
        <v>66</v>
      </c>
      <c r="B135" s="101" t="s">
        <v>152</v>
      </c>
      <c r="C135" s="86" t="s">
        <v>589</v>
      </c>
      <c r="E135" s="92"/>
      <c r="F135" s="102" t="e">
        <f>#REF!</f>
        <v>#REF!</v>
      </c>
      <c r="G135" s="102"/>
      <c r="H135" s="102"/>
      <c r="I135" s="102"/>
      <c r="J135" s="105"/>
      <c r="K135" s="105"/>
      <c r="L135" s="105"/>
      <c r="M135" s="105" t="e">
        <f t="shared" si="43"/>
        <v>#REF!</v>
      </c>
      <c r="N135" s="105"/>
      <c r="O135" s="105"/>
      <c r="P135" s="105" t="e">
        <f t="shared" si="44"/>
        <v>#REF!</v>
      </c>
      <c r="Q135" s="105"/>
      <c r="R135" s="105" t="e">
        <f t="shared" si="36"/>
        <v>#REF!</v>
      </c>
      <c r="S135" s="105"/>
      <c r="T135" s="105" t="e">
        <f t="shared" si="45"/>
        <v>#REF!</v>
      </c>
      <c r="U135" s="105"/>
      <c r="V135" s="91" t="e">
        <f t="shared" si="32"/>
        <v>#REF!</v>
      </c>
      <c r="W135" s="105"/>
      <c r="X135" s="105" t="e">
        <f t="shared" si="46"/>
        <v>#REF!</v>
      </c>
      <c r="Y135" s="105"/>
      <c r="Z135" s="105" t="e">
        <f t="shared" si="33"/>
        <v>#REF!</v>
      </c>
      <c r="AA135" s="105"/>
      <c r="AB135" s="105">
        <f>$F134*AA135</f>
        <v>0</v>
      </c>
      <c r="AC135" s="105"/>
      <c r="AD135" s="105" t="e">
        <f t="shared" si="39"/>
        <v>#REF!</v>
      </c>
      <c r="AE135" s="105"/>
      <c r="AF135" s="105" t="e">
        <f t="shared" si="40"/>
        <v>#REF!</v>
      </c>
      <c r="AG135" s="105"/>
      <c r="AH135" s="106"/>
      <c r="AK135" s="106">
        <f t="shared" si="30"/>
        <v>0</v>
      </c>
      <c r="AL135" s="106">
        <f t="shared" si="31"/>
        <v>0</v>
      </c>
      <c r="AN135" s="85" t="s">
        <v>190</v>
      </c>
      <c r="AO135" s="85">
        <v>0.62679325630912075</v>
      </c>
      <c r="AQ135" s="107"/>
      <c r="AS135" s="108"/>
    </row>
    <row r="136" spans="1:45" x14ac:dyDescent="0.2">
      <c r="A136" s="85" t="s">
        <v>66</v>
      </c>
      <c r="C136" s="92" t="s">
        <v>590</v>
      </c>
      <c r="D136" s="92"/>
      <c r="F136" s="104" t="e">
        <f>SUM(F134:F135)</f>
        <v>#REF!</v>
      </c>
      <c r="G136" s="104" t="e">
        <f>F136</f>
        <v>#REF!</v>
      </c>
      <c r="H136" s="105">
        <f>VLOOKUP(A136,Data!$A$2:$Z$179,24,FALSE)</f>
        <v>27</v>
      </c>
      <c r="I136" s="105">
        <f>VLOOKUP(A136,Data!$A$2:$Z$179,25,FALSE)</f>
        <v>9.5510000000000002</v>
      </c>
      <c r="J136" s="105">
        <f>VLOOKUP(A136,Data!$A$2:$Z$179,7,FALSE)</f>
        <v>17.449000000000002</v>
      </c>
      <c r="K136" s="105" t="e">
        <f>$F136*J136</f>
        <v>#REF!</v>
      </c>
      <c r="L136" s="105">
        <f>VLOOKUP(A136,Data!$A$2:$Z$179,8,FALSE)</f>
        <v>0</v>
      </c>
      <c r="M136" s="105" t="e">
        <f>L136*F136</f>
        <v>#REF!</v>
      </c>
      <c r="N136" s="105">
        <f>VLOOKUP(A136,Data!$A$2:$Z$179,9,FALSE)</f>
        <v>0</v>
      </c>
      <c r="O136" s="105">
        <f>VLOOKUP(A135,Data!$A$2:$Z$179,10,FALSE)</f>
        <v>0</v>
      </c>
      <c r="P136" s="105" t="e">
        <f>O136*F136</f>
        <v>#REF!</v>
      </c>
      <c r="Q136" s="105">
        <f>VLOOKUP(A136,Data!$A$2:$Z$179,11,FALSE)</f>
        <v>0</v>
      </c>
      <c r="R136" s="105" t="e">
        <f t="shared" si="36"/>
        <v>#REF!</v>
      </c>
      <c r="S136" s="105">
        <f>VLOOKUP(A136,Data!$A$2:$Z$179,12,FALSE)</f>
        <v>0</v>
      </c>
      <c r="T136" s="105" t="e">
        <f>S136*F136</f>
        <v>#REF!</v>
      </c>
      <c r="U136" s="105">
        <f>VLOOKUP(A136,Data!$A$2:$Z$179,13,FALSE)</f>
        <v>0</v>
      </c>
      <c r="V136" s="91" t="e">
        <f t="shared" si="32"/>
        <v>#REF!</v>
      </c>
      <c r="W136" s="105">
        <f>VLOOKUP(A136,Data!$A$2:$Z$179,22,FALSE)</f>
        <v>0</v>
      </c>
      <c r="X136" s="105" t="e">
        <f>W136*F136</f>
        <v>#REF!</v>
      </c>
      <c r="Y136" s="105">
        <f>VLOOKUP(A136,Data!$A$2:$Z$179,19,FALSE)</f>
        <v>0</v>
      </c>
      <c r="Z136" s="105" t="e">
        <f t="shared" si="33"/>
        <v>#REF!</v>
      </c>
      <c r="AA136" s="105">
        <f>VLOOKUP(A136,Data!$A$2:$Z$179,20,FALSE)</f>
        <v>0</v>
      </c>
      <c r="AB136" s="105" t="e">
        <f>$F136*AA136</f>
        <v>#REF!</v>
      </c>
      <c r="AC136" s="105">
        <f>VLOOKUP(A136,Data!$A$2:$Z$179,21,FALSE)</f>
        <v>0</v>
      </c>
      <c r="AD136" s="105" t="e">
        <f t="shared" si="39"/>
        <v>#REF!</v>
      </c>
      <c r="AE136" s="105">
        <f>J136+L136+N136+O136+Q136+S136+U136+W136+Y136+AA136+AC136</f>
        <v>17.449000000000002</v>
      </c>
      <c r="AF136" s="105" t="e">
        <f t="shared" si="40"/>
        <v>#REF!</v>
      </c>
      <c r="AG136" s="105"/>
      <c r="AH136" s="106">
        <f>AE136-S136-W136</f>
        <v>17.449000000000002</v>
      </c>
      <c r="AI136" s="85">
        <f>AH136/AE136</f>
        <v>1</v>
      </c>
      <c r="AK136" s="106">
        <f t="shared" ref="AK136:AK199" si="48">O136+Q136+S136</f>
        <v>0</v>
      </c>
      <c r="AL136" s="106">
        <f t="shared" ref="AL136:AL199" si="49">O136+Q136+S136</f>
        <v>0</v>
      </c>
      <c r="AN136" s="85" t="s">
        <v>192</v>
      </c>
      <c r="AO136" s="85">
        <v>0.75707458519035598</v>
      </c>
      <c r="AQ136" s="107"/>
      <c r="AS136" s="108"/>
    </row>
    <row r="137" spans="1:45" x14ac:dyDescent="0.2">
      <c r="C137" s="92"/>
      <c r="D137" s="92"/>
      <c r="F137" s="109"/>
      <c r="G137" s="109"/>
      <c r="H137" s="109"/>
      <c r="I137" s="109"/>
      <c r="J137" s="105"/>
      <c r="K137" s="105"/>
      <c r="L137" s="105"/>
      <c r="M137" s="105">
        <f t="shared" si="43"/>
        <v>0</v>
      </c>
      <c r="N137" s="105"/>
      <c r="O137" s="105"/>
      <c r="P137" s="105">
        <f t="shared" si="44"/>
        <v>0</v>
      </c>
      <c r="Q137" s="105"/>
      <c r="R137" s="105">
        <f t="shared" si="36"/>
        <v>0</v>
      </c>
      <c r="S137" s="105"/>
      <c r="T137" s="105">
        <f t="shared" si="45"/>
        <v>0</v>
      </c>
      <c r="U137" s="105"/>
      <c r="V137" s="91">
        <f t="shared" si="32"/>
        <v>0</v>
      </c>
      <c r="W137" s="105"/>
      <c r="X137" s="105">
        <f t="shared" si="46"/>
        <v>0</v>
      </c>
      <c r="Y137" s="105"/>
      <c r="Z137" s="105">
        <f t="shared" si="33"/>
        <v>0</v>
      </c>
      <c r="AA137" s="105"/>
      <c r="AB137" s="105" t="e">
        <f>$F136*AA137</f>
        <v>#REF!</v>
      </c>
      <c r="AC137" s="105"/>
      <c r="AD137" s="105">
        <f t="shared" si="39"/>
        <v>0</v>
      </c>
      <c r="AE137" s="105"/>
      <c r="AF137" s="105">
        <f t="shared" si="40"/>
        <v>0</v>
      </c>
      <c r="AG137" s="105"/>
      <c r="AH137" s="106"/>
      <c r="AK137" s="106">
        <f t="shared" si="48"/>
        <v>0</v>
      </c>
      <c r="AL137" s="106">
        <f t="shared" si="49"/>
        <v>0</v>
      </c>
      <c r="AN137" s="85" t="s">
        <v>193</v>
      </c>
      <c r="AO137" s="85">
        <v>0.74964533088542096</v>
      </c>
      <c r="AQ137" s="107"/>
      <c r="AS137" s="108"/>
    </row>
    <row r="138" spans="1:45" x14ac:dyDescent="0.2">
      <c r="A138" s="112" t="s">
        <v>68</v>
      </c>
      <c r="B138" s="101" t="s">
        <v>69</v>
      </c>
      <c r="C138" s="115" t="s">
        <v>591</v>
      </c>
      <c r="F138" s="102">
        <f>E138</f>
        <v>0</v>
      </c>
      <c r="G138" s="103"/>
      <c r="H138" s="103"/>
      <c r="I138" s="103"/>
      <c r="J138" s="105"/>
      <c r="K138" s="105"/>
      <c r="L138" s="105"/>
      <c r="M138" s="105">
        <f t="shared" si="43"/>
        <v>0</v>
      </c>
      <c r="N138" s="105"/>
      <c r="O138" s="105"/>
      <c r="P138" s="105">
        <f t="shared" si="44"/>
        <v>0</v>
      </c>
      <c r="Q138" s="105"/>
      <c r="R138" s="105">
        <f t="shared" si="36"/>
        <v>0</v>
      </c>
      <c r="S138" s="105"/>
      <c r="T138" s="105">
        <f t="shared" si="45"/>
        <v>0</v>
      </c>
      <c r="U138" s="105"/>
      <c r="V138" s="91">
        <f t="shared" si="32"/>
        <v>0</v>
      </c>
      <c r="W138" s="105"/>
      <c r="X138" s="105">
        <f t="shared" si="46"/>
        <v>0</v>
      </c>
      <c r="Y138" s="105"/>
      <c r="Z138" s="105">
        <f t="shared" si="33"/>
        <v>0</v>
      </c>
      <c r="AA138" s="105"/>
      <c r="AB138" s="105">
        <f>$F137*AA138</f>
        <v>0</v>
      </c>
      <c r="AC138" s="105"/>
      <c r="AD138" s="105">
        <f t="shared" si="39"/>
        <v>0</v>
      </c>
      <c r="AE138" s="105"/>
      <c r="AF138" s="105">
        <f t="shared" si="40"/>
        <v>0</v>
      </c>
      <c r="AG138" s="105"/>
      <c r="AH138" s="106"/>
      <c r="AK138" s="106">
        <f t="shared" si="48"/>
        <v>0</v>
      </c>
      <c r="AL138" s="106">
        <f t="shared" si="49"/>
        <v>0</v>
      </c>
      <c r="AN138" s="109" t="s">
        <v>195</v>
      </c>
      <c r="AO138" s="85">
        <v>0.68750807055602892</v>
      </c>
      <c r="AQ138" s="107"/>
      <c r="AS138" s="108"/>
    </row>
    <row r="139" spans="1:45" x14ac:dyDescent="0.2">
      <c r="A139" s="112" t="s">
        <v>68</v>
      </c>
      <c r="B139" s="101"/>
      <c r="C139" s="92" t="s">
        <v>592</v>
      </c>
      <c r="D139" s="92"/>
      <c r="F139" s="104">
        <f>SUM(F138)</f>
        <v>0</v>
      </c>
      <c r="G139" s="104">
        <f>F139</f>
        <v>0</v>
      </c>
      <c r="H139" s="105">
        <f>VLOOKUP(A139,Data!$A$2:$Z$179,24,FALSE)</f>
        <v>27</v>
      </c>
      <c r="I139" s="105">
        <f>VLOOKUP(A139,Data!$A$2:$Z$179,25,FALSE)</f>
        <v>3.0970000000000004</v>
      </c>
      <c r="J139" s="105">
        <f>VLOOKUP(A139,Data!$A$2:$Z$179,7,FALSE)</f>
        <v>23.902999999999999</v>
      </c>
      <c r="K139" s="105">
        <f>$F139*J139</f>
        <v>0</v>
      </c>
      <c r="L139" s="105">
        <f>VLOOKUP(A139,Data!$A$2:$Z$179,8,FALSE)</f>
        <v>0</v>
      </c>
      <c r="M139" s="105">
        <f>L139*F139</f>
        <v>0</v>
      </c>
      <c r="N139" s="105">
        <f>VLOOKUP(A139,Data!$A$2:$Z$179,9,FALSE)</f>
        <v>0</v>
      </c>
      <c r="O139" s="105">
        <f>VLOOKUP(A138,Data!$A$2:$Z$179,10,FALSE)</f>
        <v>0</v>
      </c>
      <c r="P139" s="105">
        <f>O139*F139</f>
        <v>0</v>
      </c>
      <c r="Q139" s="105">
        <f>VLOOKUP(A139,Data!$A$2:$Z$179,11,FALSE)</f>
        <v>0</v>
      </c>
      <c r="R139" s="105">
        <f t="shared" si="36"/>
        <v>0</v>
      </c>
      <c r="S139" s="105">
        <f>VLOOKUP(A139,Data!$A$2:$Z$179,12,FALSE)</f>
        <v>0</v>
      </c>
      <c r="T139" s="105">
        <f>S139*F139</f>
        <v>0</v>
      </c>
      <c r="U139" s="105">
        <f>VLOOKUP(A139,Data!$A$2:$Z$179,13,FALSE)</f>
        <v>4.7276226858243261E-3</v>
      </c>
      <c r="V139" s="91">
        <f t="shared" si="32"/>
        <v>0</v>
      </c>
      <c r="W139" s="105">
        <f>VLOOKUP(A139,Data!$A$2:$Z$179,22,FALSE)</f>
        <v>0</v>
      </c>
      <c r="X139" s="105">
        <f>W139*F139</f>
        <v>0</v>
      </c>
      <c r="Y139" s="105">
        <f>VLOOKUP(A139,Data!$A$2:$Z$179,19,FALSE)</f>
        <v>0</v>
      </c>
      <c r="Z139" s="105">
        <f t="shared" si="33"/>
        <v>0</v>
      </c>
      <c r="AA139" s="105">
        <f>VLOOKUP(A139,Data!$A$2:$Z$179,20,FALSE)</f>
        <v>0</v>
      </c>
      <c r="AB139" s="105">
        <f>$F139*AA139</f>
        <v>0</v>
      </c>
      <c r="AC139" s="105">
        <f>VLOOKUP(A139,Data!$A$2:$Z$179,21,FALSE)</f>
        <v>0</v>
      </c>
      <c r="AD139" s="105">
        <f t="shared" si="39"/>
        <v>0</v>
      </c>
      <c r="AE139" s="105">
        <f>J139+L139+N139+O139+Q139+S139+U139+W139+Y139+AA139+AC139</f>
        <v>23.907727622685822</v>
      </c>
      <c r="AF139" s="105">
        <f t="shared" si="40"/>
        <v>0</v>
      </c>
      <c r="AG139" s="105"/>
      <c r="AH139" s="106">
        <f>AE139-S139-W139</f>
        <v>23.907727622685822</v>
      </c>
      <c r="AI139" s="85">
        <f>AH139/AE139</f>
        <v>1</v>
      </c>
      <c r="AK139" s="106">
        <f t="shared" si="48"/>
        <v>0</v>
      </c>
      <c r="AL139" s="106">
        <f t="shared" si="49"/>
        <v>0</v>
      </c>
      <c r="AN139" s="85" t="s">
        <v>196</v>
      </c>
      <c r="AO139" s="85">
        <v>0.50050818746470926</v>
      </c>
      <c r="AQ139" s="107"/>
      <c r="AR139" s="110"/>
      <c r="AS139" s="108"/>
    </row>
    <row r="140" spans="1:45" x14ac:dyDescent="0.2">
      <c r="B140" s="101"/>
      <c r="C140" s="92"/>
      <c r="D140" s="92"/>
      <c r="F140" s="109"/>
      <c r="G140" s="109"/>
      <c r="H140" s="109"/>
      <c r="I140" s="109"/>
      <c r="J140" s="105"/>
      <c r="K140" s="105"/>
      <c r="L140" s="105"/>
      <c r="M140" s="105">
        <f t="shared" si="43"/>
        <v>0</v>
      </c>
      <c r="N140" s="105"/>
      <c r="O140" s="105"/>
      <c r="P140" s="105">
        <f t="shared" si="44"/>
        <v>0</v>
      </c>
      <c r="Q140" s="105"/>
      <c r="R140" s="105">
        <f t="shared" si="36"/>
        <v>0</v>
      </c>
      <c r="S140" s="105"/>
      <c r="T140" s="105">
        <f t="shared" si="45"/>
        <v>0</v>
      </c>
      <c r="U140" s="105"/>
      <c r="V140" s="91">
        <f t="shared" si="32"/>
        <v>0</v>
      </c>
      <c r="W140" s="105"/>
      <c r="X140" s="105">
        <f t="shared" si="46"/>
        <v>0</v>
      </c>
      <c r="Y140" s="105"/>
      <c r="Z140" s="105">
        <f t="shared" si="33"/>
        <v>0</v>
      </c>
      <c r="AA140" s="105"/>
      <c r="AB140" s="105">
        <f>$F140*AA140</f>
        <v>0</v>
      </c>
      <c r="AC140" s="105"/>
      <c r="AD140" s="105">
        <f t="shared" si="39"/>
        <v>0</v>
      </c>
      <c r="AE140" s="105"/>
      <c r="AF140" s="105">
        <f t="shared" si="40"/>
        <v>0</v>
      </c>
      <c r="AG140" s="105"/>
      <c r="AH140" s="106"/>
      <c r="AK140" s="106">
        <f t="shared" si="48"/>
        <v>0</v>
      </c>
      <c r="AL140" s="106">
        <f t="shared" si="49"/>
        <v>0</v>
      </c>
      <c r="AN140" s="85" t="s">
        <v>198</v>
      </c>
      <c r="AO140" s="85">
        <v>1</v>
      </c>
      <c r="AQ140" s="107"/>
      <c r="AS140" s="108"/>
    </row>
    <row r="141" spans="1:45" x14ac:dyDescent="0.2">
      <c r="A141" s="85" t="s">
        <v>70</v>
      </c>
      <c r="B141" s="101" t="s">
        <v>71</v>
      </c>
      <c r="C141" s="86" t="s">
        <v>593</v>
      </c>
      <c r="F141" s="102">
        <f>E141</f>
        <v>0</v>
      </c>
      <c r="G141" s="102"/>
      <c r="H141" s="102"/>
      <c r="I141" s="102"/>
      <c r="J141" s="105"/>
      <c r="K141" s="105"/>
      <c r="L141" s="105"/>
      <c r="M141" s="105">
        <f t="shared" si="43"/>
        <v>0</v>
      </c>
      <c r="N141" s="105"/>
      <c r="O141" s="105"/>
      <c r="P141" s="105">
        <f t="shared" si="44"/>
        <v>0</v>
      </c>
      <c r="Q141" s="105"/>
      <c r="R141" s="105">
        <f t="shared" si="36"/>
        <v>0</v>
      </c>
      <c r="S141" s="105"/>
      <c r="T141" s="105">
        <f t="shared" si="45"/>
        <v>0</v>
      </c>
      <c r="U141" s="105"/>
      <c r="V141" s="91">
        <f t="shared" si="32"/>
        <v>0</v>
      </c>
      <c r="W141" s="105"/>
      <c r="X141" s="105">
        <f t="shared" si="46"/>
        <v>0</v>
      </c>
      <c r="Y141" s="105"/>
      <c r="Z141" s="105">
        <f t="shared" si="33"/>
        <v>0</v>
      </c>
      <c r="AA141" s="105"/>
      <c r="AB141" s="105">
        <f>$F141*AA141</f>
        <v>0</v>
      </c>
      <c r="AC141" s="105"/>
      <c r="AD141" s="105">
        <f t="shared" si="39"/>
        <v>0</v>
      </c>
      <c r="AE141" s="105"/>
      <c r="AF141" s="105">
        <f t="shared" si="40"/>
        <v>0</v>
      </c>
      <c r="AG141" s="105"/>
      <c r="AH141" s="106"/>
      <c r="AK141" s="106">
        <f t="shared" si="48"/>
        <v>0</v>
      </c>
      <c r="AL141" s="106">
        <f t="shared" si="49"/>
        <v>0</v>
      </c>
      <c r="AN141" s="85" t="s">
        <v>200</v>
      </c>
      <c r="AO141" s="85">
        <v>1</v>
      </c>
      <c r="AQ141" s="107"/>
      <c r="AS141" s="108"/>
    </row>
    <row r="142" spans="1:45" x14ac:dyDescent="0.2">
      <c r="A142" s="85" t="s">
        <v>70</v>
      </c>
      <c r="B142" s="101" t="s">
        <v>118</v>
      </c>
      <c r="C142" s="86" t="s">
        <v>593</v>
      </c>
      <c r="F142" s="102">
        <f>E142</f>
        <v>0</v>
      </c>
      <c r="G142" s="102"/>
      <c r="H142" s="102"/>
      <c r="I142" s="102"/>
      <c r="J142" s="105"/>
      <c r="K142" s="105"/>
      <c r="L142" s="105"/>
      <c r="M142" s="105">
        <f t="shared" si="43"/>
        <v>0</v>
      </c>
      <c r="N142" s="105"/>
      <c r="O142" s="105"/>
      <c r="P142" s="105">
        <f t="shared" si="44"/>
        <v>0</v>
      </c>
      <c r="Q142" s="105"/>
      <c r="R142" s="105">
        <f t="shared" si="36"/>
        <v>0</v>
      </c>
      <c r="S142" s="105"/>
      <c r="T142" s="105">
        <f t="shared" si="45"/>
        <v>0</v>
      </c>
      <c r="U142" s="105"/>
      <c r="V142" s="91">
        <f t="shared" si="32"/>
        <v>0</v>
      </c>
      <c r="W142" s="105"/>
      <c r="X142" s="105">
        <f t="shared" si="46"/>
        <v>0</v>
      </c>
      <c r="Y142" s="105"/>
      <c r="Z142" s="105">
        <f t="shared" si="33"/>
        <v>0</v>
      </c>
      <c r="AA142" s="105"/>
      <c r="AB142" s="105">
        <f>$F142*AA142</f>
        <v>0</v>
      </c>
      <c r="AC142" s="105"/>
      <c r="AD142" s="105">
        <f t="shared" si="39"/>
        <v>0</v>
      </c>
      <c r="AE142" s="105"/>
      <c r="AF142" s="105">
        <f t="shared" si="40"/>
        <v>0</v>
      </c>
      <c r="AG142" s="105"/>
      <c r="AH142" s="106"/>
      <c r="AK142" s="106">
        <f t="shared" si="48"/>
        <v>0</v>
      </c>
      <c r="AL142" s="106">
        <f t="shared" si="49"/>
        <v>0</v>
      </c>
      <c r="AN142" s="85" t="s">
        <v>201</v>
      </c>
      <c r="AO142" s="85">
        <v>0.7134677419354839</v>
      </c>
      <c r="AQ142" s="107"/>
      <c r="AS142" s="108"/>
    </row>
    <row r="143" spans="1:45" x14ac:dyDescent="0.2">
      <c r="A143" s="85" t="s">
        <v>70</v>
      </c>
      <c r="B143" s="101" t="s">
        <v>173</v>
      </c>
      <c r="C143" s="86" t="s">
        <v>593</v>
      </c>
      <c r="F143" s="102">
        <f>E143</f>
        <v>0</v>
      </c>
      <c r="G143" s="102"/>
      <c r="H143" s="102"/>
      <c r="I143" s="102"/>
      <c r="J143" s="105"/>
      <c r="K143" s="105"/>
      <c r="L143" s="105"/>
      <c r="M143" s="105">
        <f t="shared" si="43"/>
        <v>0</v>
      </c>
      <c r="N143" s="105"/>
      <c r="O143" s="105"/>
      <c r="P143" s="105">
        <v>0</v>
      </c>
      <c r="Q143" s="105"/>
      <c r="R143" s="105">
        <v>0</v>
      </c>
      <c r="S143" s="105"/>
      <c r="T143" s="105">
        <v>0</v>
      </c>
      <c r="U143" s="105"/>
      <c r="V143" s="91">
        <v>0</v>
      </c>
      <c r="W143" s="105"/>
      <c r="X143" s="105">
        <v>0</v>
      </c>
      <c r="Y143" s="105"/>
      <c r="Z143" s="105">
        <v>0</v>
      </c>
      <c r="AA143" s="105"/>
      <c r="AB143" s="105">
        <v>0</v>
      </c>
      <c r="AC143" s="105"/>
      <c r="AD143" s="105">
        <v>0</v>
      </c>
      <c r="AE143" s="105"/>
      <c r="AF143" s="105">
        <v>0</v>
      </c>
      <c r="AG143" s="105"/>
      <c r="AH143" s="106"/>
      <c r="AK143" s="106">
        <f t="shared" si="48"/>
        <v>0</v>
      </c>
      <c r="AL143" s="106">
        <f t="shared" si="49"/>
        <v>0</v>
      </c>
      <c r="AN143" s="85" t="s">
        <v>202</v>
      </c>
      <c r="AO143" s="85">
        <v>1</v>
      </c>
      <c r="AQ143" s="107"/>
      <c r="AS143" s="108"/>
    </row>
    <row r="144" spans="1:45" x14ac:dyDescent="0.2">
      <c r="A144" s="85" t="s">
        <v>70</v>
      </c>
      <c r="B144" s="101" t="s">
        <v>161</v>
      </c>
      <c r="C144" s="86" t="s">
        <v>593</v>
      </c>
      <c r="F144" s="102">
        <f>E144</f>
        <v>0</v>
      </c>
      <c r="G144" s="102"/>
      <c r="H144" s="102"/>
      <c r="I144" s="102"/>
      <c r="J144" s="105"/>
      <c r="K144" s="105"/>
      <c r="L144" s="105"/>
      <c r="M144" s="105">
        <f>L144*F143</f>
        <v>0</v>
      </c>
      <c r="N144" s="105"/>
      <c r="O144" s="105"/>
      <c r="P144" s="105">
        <f>O144*F143</f>
        <v>0</v>
      </c>
      <c r="Q144" s="105"/>
      <c r="R144" s="105">
        <f>$F143*Q144</f>
        <v>0</v>
      </c>
      <c r="S144" s="105"/>
      <c r="T144" s="105">
        <f>S144*F143</f>
        <v>0</v>
      </c>
      <c r="U144" s="105"/>
      <c r="V144" s="91">
        <f>U144*F143/1000</f>
        <v>0</v>
      </c>
      <c r="W144" s="105"/>
      <c r="X144" s="105">
        <f>W144*F143</f>
        <v>0</v>
      </c>
      <c r="Y144" s="105"/>
      <c r="Z144" s="105">
        <f>$F143*Y144</f>
        <v>0</v>
      </c>
      <c r="AA144" s="105"/>
      <c r="AB144" s="105">
        <f>$F141*AA144</f>
        <v>0</v>
      </c>
      <c r="AC144" s="105"/>
      <c r="AD144" s="105">
        <f>$F143*AC144</f>
        <v>0</v>
      </c>
      <c r="AE144" s="105"/>
      <c r="AF144" s="105">
        <f>$F143*AE144</f>
        <v>0</v>
      </c>
      <c r="AG144" s="105"/>
      <c r="AH144" s="106"/>
      <c r="AK144" s="106">
        <f t="shared" si="48"/>
        <v>0</v>
      </c>
      <c r="AL144" s="106">
        <f t="shared" si="49"/>
        <v>0</v>
      </c>
      <c r="AN144" s="85" t="s">
        <v>203</v>
      </c>
      <c r="AO144" s="85">
        <v>0.77412615054492062</v>
      </c>
      <c r="AQ144" s="107"/>
      <c r="AS144" s="108"/>
    </row>
    <row r="145" spans="1:45" x14ac:dyDescent="0.2">
      <c r="A145" s="85" t="s">
        <v>70</v>
      </c>
      <c r="C145" s="92" t="s">
        <v>594</v>
      </c>
      <c r="D145" s="92"/>
      <c r="F145" s="104">
        <f>SUM(F141:F144)</f>
        <v>0</v>
      </c>
      <c r="G145" s="104">
        <f>F145</f>
        <v>0</v>
      </c>
      <c r="H145" s="105">
        <f>VLOOKUP(A145,Data!$A$2:$Z$179,24,FALSE)</f>
        <v>27</v>
      </c>
      <c r="I145" s="105">
        <f>VLOOKUP(A145,Data!$A$2:$Z$179,25,FALSE)</f>
        <v>3.3440000000000003</v>
      </c>
      <c r="J145" s="105">
        <f>VLOOKUP(A145,Data!$A$2:$Z$179,7,FALSE)</f>
        <v>23.655999999999999</v>
      </c>
      <c r="K145" s="105">
        <f>$F145*J145</f>
        <v>0</v>
      </c>
      <c r="L145" s="105">
        <f>VLOOKUP(A145,Data!$A$2:$Z$179,8,FALSE)</f>
        <v>0</v>
      </c>
      <c r="M145" s="105">
        <f>L145*F145</f>
        <v>0</v>
      </c>
      <c r="N145" s="105">
        <f>VLOOKUP(A145,Data!$A$2:$Z$179,9,FALSE)</f>
        <v>0</v>
      </c>
      <c r="O145" s="105">
        <f>VLOOKUP(A144,Data!$A$2:$Z$179,10,FALSE)</f>
        <v>0</v>
      </c>
      <c r="P145" s="105">
        <f>O145*F145</f>
        <v>0</v>
      </c>
      <c r="Q145" s="105">
        <f>VLOOKUP(A145,Data!$A$2:$Z$179,11,FALSE)</f>
        <v>0</v>
      </c>
      <c r="R145" s="105">
        <f>$F145*Q145</f>
        <v>0</v>
      </c>
      <c r="S145" s="105">
        <f>VLOOKUP(A145,Data!$A$2:$Z$179,12,FALSE)</f>
        <v>0</v>
      </c>
      <c r="T145" s="105">
        <f>S145*F145</f>
        <v>0</v>
      </c>
      <c r="U145" s="105">
        <f>VLOOKUP(A145,Data!$A$2:$Z$179,13,FALSE)</f>
        <v>8.5758500691163073E-2</v>
      </c>
      <c r="V145" s="91">
        <f>U145*F145/1000</f>
        <v>0</v>
      </c>
      <c r="W145" s="105">
        <f>VLOOKUP(A145,Data!$A$2:$Z$179,22,FALSE)</f>
        <v>0</v>
      </c>
      <c r="X145" s="105">
        <f>W145*F145</f>
        <v>0</v>
      </c>
      <c r="Y145" s="105">
        <f>VLOOKUP(A145,Data!$A$2:$Z$179,19,FALSE)</f>
        <v>0</v>
      </c>
      <c r="Z145" s="105">
        <f>$F145*Y145</f>
        <v>0</v>
      </c>
      <c r="AA145" s="105">
        <f>VLOOKUP(A145,Data!$A$2:$Z$179,20,FALSE)</f>
        <v>0</v>
      </c>
      <c r="AB145" s="105">
        <f>$F145*AA145</f>
        <v>0</v>
      </c>
      <c r="AC145" s="105">
        <f>VLOOKUP(A145,Data!$A$2:$Z$179,21,FALSE)</f>
        <v>0</v>
      </c>
      <c r="AD145" s="105">
        <f t="shared" ref="AD145:AD208" si="50">$F145*AC145</f>
        <v>0</v>
      </c>
      <c r="AE145" s="105">
        <f>J145+L145+N145+O145+Q145+S145+U145+W145+Y145+AA145+AC145</f>
        <v>23.741758500691162</v>
      </c>
      <c r="AF145" s="105">
        <f t="shared" ref="AF145:AF208" si="51">$F145*AE145</f>
        <v>0</v>
      </c>
      <c r="AG145" s="105"/>
      <c r="AH145" s="106">
        <f>AE145-S145-W145</f>
        <v>23.741758500691162</v>
      </c>
      <c r="AI145" s="85">
        <f>AH145/AE145</f>
        <v>1</v>
      </c>
      <c r="AK145" s="106">
        <f t="shared" si="48"/>
        <v>0</v>
      </c>
      <c r="AL145" s="106">
        <f t="shared" si="49"/>
        <v>0</v>
      </c>
      <c r="AN145" s="85" t="s">
        <v>205</v>
      </c>
      <c r="AO145" s="85">
        <v>0.67586827694846596</v>
      </c>
      <c r="AQ145" s="107"/>
      <c r="AS145" s="108"/>
    </row>
    <row r="146" spans="1:45" x14ac:dyDescent="0.2">
      <c r="C146" s="92"/>
      <c r="D146" s="92"/>
      <c r="F146" s="109"/>
      <c r="G146" s="109"/>
      <c r="H146" s="109"/>
      <c r="I146" s="109"/>
      <c r="J146" s="105"/>
      <c r="K146" s="105"/>
      <c r="L146" s="105"/>
      <c r="M146" s="105">
        <f t="shared" ref="M146:M176" si="52">L146*F146</f>
        <v>0</v>
      </c>
      <c r="N146" s="105"/>
      <c r="O146" s="105"/>
      <c r="P146" s="105">
        <f t="shared" ref="P146:P176" si="53">O146*F146</f>
        <v>0</v>
      </c>
      <c r="Q146" s="105"/>
      <c r="R146" s="105">
        <f t="shared" ref="R146:R209" si="54">$F146*Q146</f>
        <v>0</v>
      </c>
      <c r="S146" s="105"/>
      <c r="T146" s="105">
        <f t="shared" ref="T146:T155" si="55">S146*F146</f>
        <v>0</v>
      </c>
      <c r="U146" s="105"/>
      <c r="V146" s="91">
        <f t="shared" ref="V146:V208" si="56">U146*F146/1000</f>
        <v>0</v>
      </c>
      <c r="W146" s="105"/>
      <c r="X146" s="105">
        <f t="shared" ref="X146:X176" si="57">W146*F146</f>
        <v>0</v>
      </c>
      <c r="Y146" s="105"/>
      <c r="Z146" s="105">
        <f t="shared" ref="Z146:Z209" si="58">$F146*Y146</f>
        <v>0</v>
      </c>
      <c r="AA146" s="105"/>
      <c r="AB146" s="105">
        <v>0</v>
      </c>
      <c r="AC146" s="105"/>
      <c r="AD146" s="105">
        <f t="shared" si="50"/>
        <v>0</v>
      </c>
      <c r="AE146" s="105"/>
      <c r="AF146" s="105">
        <f t="shared" si="51"/>
        <v>0</v>
      </c>
      <c r="AG146" s="105"/>
      <c r="AH146" s="106"/>
      <c r="AK146" s="106">
        <f t="shared" si="48"/>
        <v>0</v>
      </c>
      <c r="AL146" s="106">
        <f t="shared" si="49"/>
        <v>0</v>
      </c>
      <c r="AN146" s="85" t="s">
        <v>206</v>
      </c>
      <c r="AO146" s="85">
        <v>0.56163588900705785</v>
      </c>
      <c r="AQ146" s="107"/>
      <c r="AS146" s="108"/>
    </row>
    <row r="147" spans="1:45" x14ac:dyDescent="0.2">
      <c r="A147" s="85" t="s">
        <v>72</v>
      </c>
      <c r="B147" s="101" t="s">
        <v>73</v>
      </c>
      <c r="C147" s="86" t="s">
        <v>595</v>
      </c>
      <c r="F147" s="102">
        <f>E147</f>
        <v>0</v>
      </c>
      <c r="G147" s="103"/>
      <c r="H147" s="103"/>
      <c r="I147" s="103"/>
      <c r="J147" s="105"/>
      <c r="K147" s="105"/>
      <c r="L147" s="105"/>
      <c r="M147" s="105">
        <f t="shared" si="52"/>
        <v>0</v>
      </c>
      <c r="N147" s="105"/>
      <c r="O147" s="105"/>
      <c r="P147" s="105">
        <f t="shared" si="53"/>
        <v>0</v>
      </c>
      <c r="Q147" s="105"/>
      <c r="R147" s="105">
        <f t="shared" si="54"/>
        <v>0</v>
      </c>
      <c r="S147" s="105"/>
      <c r="T147" s="105">
        <f t="shared" si="55"/>
        <v>0</v>
      </c>
      <c r="U147" s="105"/>
      <c r="V147" s="91">
        <f t="shared" si="56"/>
        <v>0</v>
      </c>
      <c r="W147" s="105"/>
      <c r="X147" s="105">
        <f t="shared" si="57"/>
        <v>0</v>
      </c>
      <c r="Y147" s="105"/>
      <c r="Z147" s="105">
        <f t="shared" si="58"/>
        <v>0</v>
      </c>
      <c r="AA147" s="105"/>
      <c r="AB147" s="105">
        <f>$F143*AA147</f>
        <v>0</v>
      </c>
      <c r="AC147" s="105"/>
      <c r="AD147" s="105">
        <f t="shared" si="50"/>
        <v>0</v>
      </c>
      <c r="AE147" s="105"/>
      <c r="AF147" s="105">
        <f t="shared" si="51"/>
        <v>0</v>
      </c>
      <c r="AG147" s="105"/>
      <c r="AH147" s="106"/>
      <c r="AK147" s="106">
        <f t="shared" si="48"/>
        <v>0</v>
      </c>
      <c r="AL147" s="106">
        <f t="shared" si="49"/>
        <v>0</v>
      </c>
      <c r="AN147" s="85" t="s">
        <v>208</v>
      </c>
      <c r="AO147" s="85">
        <v>0.34146647431474636</v>
      </c>
      <c r="AQ147" s="107"/>
      <c r="AS147" s="108"/>
    </row>
    <row r="148" spans="1:45" x14ac:dyDescent="0.2">
      <c r="A148" s="85" t="s">
        <v>72</v>
      </c>
      <c r="C148" s="92" t="s">
        <v>596</v>
      </c>
      <c r="D148" s="92"/>
      <c r="F148" s="104">
        <f>SUM(F147)</f>
        <v>0</v>
      </c>
      <c r="G148" s="104">
        <f>F148</f>
        <v>0</v>
      </c>
      <c r="H148" s="105">
        <f>VLOOKUP(A148,Data!$A$2:$Z$179,24,FALSE)</f>
        <v>27</v>
      </c>
      <c r="I148" s="105">
        <f>VLOOKUP(A148,Data!$A$2:$Z$179,25,FALSE)</f>
        <v>0.45900000000000007</v>
      </c>
      <c r="J148" s="105">
        <f>VLOOKUP(A148,Data!$A$2:$Z$179,7,FALSE)</f>
        <v>26.541</v>
      </c>
      <c r="K148" s="105">
        <f>$F148*J148</f>
        <v>0</v>
      </c>
      <c r="L148" s="105">
        <f>VLOOKUP(A148,Data!$A$2:$Z$179,8,FALSE)</f>
        <v>0</v>
      </c>
      <c r="M148" s="105">
        <f>L148*F148</f>
        <v>0</v>
      </c>
      <c r="N148" s="105">
        <f>VLOOKUP(A148,Data!$A$2:$Z$179,9,FALSE)</f>
        <v>0</v>
      </c>
      <c r="O148" s="105">
        <f>VLOOKUP(A147,Data!$A$2:$Z$179,10,FALSE)</f>
        <v>0</v>
      </c>
      <c r="P148" s="105">
        <f>O148*F148</f>
        <v>0</v>
      </c>
      <c r="Q148" s="105">
        <f>VLOOKUP(A148,Data!$A$2:$Z$179,11,FALSE)</f>
        <v>0</v>
      </c>
      <c r="R148" s="105">
        <f t="shared" si="54"/>
        <v>0</v>
      </c>
      <c r="S148" s="105">
        <f>VLOOKUP(A148,Data!$A$2:$Z$179,12,FALSE)</f>
        <v>6.0679999999999996</v>
      </c>
      <c r="T148" s="105">
        <f>S148*F148</f>
        <v>0</v>
      </c>
      <c r="U148" s="105">
        <f>VLOOKUP(A148,Data!$A$2:$Z$179,13,FALSE)</f>
        <v>0</v>
      </c>
      <c r="V148" s="91">
        <f t="shared" si="56"/>
        <v>0</v>
      </c>
      <c r="W148" s="105">
        <v>9.5679999999999996</v>
      </c>
      <c r="X148" s="105">
        <f>W148*F148</f>
        <v>0</v>
      </c>
      <c r="Y148" s="105">
        <f>VLOOKUP(A148,Data!$A$2:$Z$179,19,FALSE)</f>
        <v>0</v>
      </c>
      <c r="Z148" s="105">
        <f t="shared" si="58"/>
        <v>0</v>
      </c>
      <c r="AA148" s="105">
        <f>VLOOKUP(A148,Data!$A$2:$Z$179,20,FALSE)</f>
        <v>0</v>
      </c>
      <c r="AB148" s="105">
        <f>$F148*AA148</f>
        <v>0</v>
      </c>
      <c r="AC148" s="105">
        <f>VLOOKUP(A148,Data!$A$2:$Z$179,21,FALSE)</f>
        <v>0</v>
      </c>
      <c r="AD148" s="105">
        <f t="shared" si="50"/>
        <v>0</v>
      </c>
      <c r="AE148" s="105">
        <f>J148+L148+N148+O148+Q148+S148+U148+W148+Y148+AA148+AC148</f>
        <v>42.177</v>
      </c>
      <c r="AF148" s="105">
        <f t="shared" si="51"/>
        <v>0</v>
      </c>
      <c r="AG148" s="105"/>
      <c r="AH148" s="106">
        <f>AE148-S148-W148</f>
        <v>26.541000000000004</v>
      </c>
      <c r="AI148" s="85">
        <f>AH148/AE148</f>
        <v>0.6292766199587454</v>
      </c>
      <c r="AK148" s="106">
        <f t="shared" si="48"/>
        <v>6.0679999999999996</v>
      </c>
      <c r="AL148" s="106">
        <f t="shared" si="49"/>
        <v>6.0679999999999996</v>
      </c>
      <c r="AN148" s="85" t="s">
        <v>209</v>
      </c>
      <c r="AO148" s="85">
        <v>0.40630816189790803</v>
      </c>
      <c r="AQ148" s="107"/>
      <c r="AS148" s="108"/>
    </row>
    <row r="149" spans="1:45" x14ac:dyDescent="0.2">
      <c r="C149" s="92"/>
      <c r="D149" s="92"/>
      <c r="F149" s="109"/>
      <c r="G149" s="109"/>
      <c r="H149" s="109"/>
      <c r="I149" s="109"/>
      <c r="J149" s="105"/>
      <c r="K149" s="105"/>
      <c r="L149" s="105"/>
      <c r="M149" s="105">
        <f t="shared" si="52"/>
        <v>0</v>
      </c>
      <c r="N149" s="105"/>
      <c r="O149" s="105"/>
      <c r="P149" s="105">
        <f t="shared" si="53"/>
        <v>0</v>
      </c>
      <c r="Q149" s="105"/>
      <c r="R149" s="105">
        <f t="shared" si="54"/>
        <v>0</v>
      </c>
      <c r="S149" s="105"/>
      <c r="T149" s="105">
        <f t="shared" si="55"/>
        <v>0</v>
      </c>
      <c r="U149" s="105"/>
      <c r="V149" s="91">
        <f t="shared" si="56"/>
        <v>0</v>
      </c>
      <c r="W149" s="105"/>
      <c r="X149" s="105">
        <f t="shared" si="57"/>
        <v>0</v>
      </c>
      <c r="Y149" s="105"/>
      <c r="Z149" s="105">
        <f t="shared" si="58"/>
        <v>0</v>
      </c>
      <c r="AA149" s="105"/>
      <c r="AB149" s="105">
        <f>$F149*AA149</f>
        <v>0</v>
      </c>
      <c r="AC149" s="105"/>
      <c r="AD149" s="105">
        <f t="shared" si="50"/>
        <v>0</v>
      </c>
      <c r="AE149" s="105"/>
      <c r="AF149" s="105">
        <f t="shared" si="51"/>
        <v>0</v>
      </c>
      <c r="AG149" s="105"/>
      <c r="AH149" s="106"/>
      <c r="AK149" s="106">
        <f t="shared" si="48"/>
        <v>0</v>
      </c>
      <c r="AL149" s="106">
        <f t="shared" si="49"/>
        <v>0</v>
      </c>
      <c r="AN149" s="85" t="s">
        <v>211</v>
      </c>
      <c r="AO149" s="85">
        <v>0.66297068563718886</v>
      </c>
      <c r="AQ149" s="107"/>
      <c r="AS149" s="108"/>
    </row>
    <row r="150" spans="1:45" x14ac:dyDescent="0.2">
      <c r="A150" s="112" t="s">
        <v>74</v>
      </c>
      <c r="B150" s="101" t="s">
        <v>75</v>
      </c>
      <c r="C150" s="113" t="s">
        <v>597</v>
      </c>
      <c r="F150" s="102">
        <f>E150</f>
        <v>0</v>
      </c>
      <c r="G150" s="102"/>
      <c r="H150" s="102"/>
      <c r="I150" s="102"/>
      <c r="J150" s="105"/>
      <c r="K150" s="105"/>
      <c r="L150" s="105"/>
      <c r="M150" s="105">
        <f t="shared" si="52"/>
        <v>0</v>
      </c>
      <c r="N150" s="105"/>
      <c r="O150" s="105"/>
      <c r="P150" s="105">
        <f t="shared" si="53"/>
        <v>0</v>
      </c>
      <c r="Q150" s="105"/>
      <c r="R150" s="105">
        <f t="shared" si="54"/>
        <v>0</v>
      </c>
      <c r="S150" s="105"/>
      <c r="T150" s="105">
        <f t="shared" si="55"/>
        <v>0</v>
      </c>
      <c r="U150" s="105"/>
      <c r="V150" s="91">
        <f t="shared" si="56"/>
        <v>0</v>
      </c>
      <c r="W150" s="105"/>
      <c r="X150" s="105">
        <f t="shared" si="57"/>
        <v>0</v>
      </c>
      <c r="Y150" s="105"/>
      <c r="Z150" s="105">
        <f t="shared" si="58"/>
        <v>0</v>
      </c>
      <c r="AA150" s="105"/>
      <c r="AB150" s="105">
        <f>$F150*AA150</f>
        <v>0</v>
      </c>
      <c r="AC150" s="105"/>
      <c r="AD150" s="105">
        <f t="shared" si="50"/>
        <v>0</v>
      </c>
      <c r="AE150" s="105"/>
      <c r="AF150" s="105">
        <f t="shared" si="51"/>
        <v>0</v>
      </c>
      <c r="AG150" s="105"/>
      <c r="AH150" s="106"/>
      <c r="AK150" s="106">
        <f t="shared" si="48"/>
        <v>0</v>
      </c>
      <c r="AL150" s="106">
        <f t="shared" si="49"/>
        <v>0</v>
      </c>
      <c r="AN150" s="85" t="s">
        <v>212</v>
      </c>
      <c r="AO150" s="85">
        <v>0.70334479524851501</v>
      </c>
      <c r="AQ150" s="107"/>
      <c r="AS150" s="108"/>
    </row>
    <row r="151" spans="1:45" x14ac:dyDescent="0.2">
      <c r="A151" s="112" t="s">
        <v>74</v>
      </c>
      <c r="B151" s="101" t="s">
        <v>224</v>
      </c>
      <c r="C151" s="113" t="s">
        <v>597</v>
      </c>
      <c r="F151" s="102">
        <f>E151</f>
        <v>0</v>
      </c>
      <c r="G151" s="102"/>
      <c r="H151" s="102"/>
      <c r="I151" s="102"/>
      <c r="J151" s="105"/>
      <c r="K151" s="105"/>
      <c r="L151" s="105"/>
      <c r="M151" s="105">
        <f t="shared" si="52"/>
        <v>0</v>
      </c>
      <c r="N151" s="105"/>
      <c r="O151" s="105"/>
      <c r="P151" s="105">
        <f t="shared" si="53"/>
        <v>0</v>
      </c>
      <c r="Q151" s="105"/>
      <c r="R151" s="105">
        <f t="shared" si="54"/>
        <v>0</v>
      </c>
      <c r="S151" s="105"/>
      <c r="T151" s="105">
        <f t="shared" si="55"/>
        <v>0</v>
      </c>
      <c r="U151" s="105"/>
      <c r="V151" s="91">
        <f t="shared" si="56"/>
        <v>0</v>
      </c>
      <c r="W151" s="105"/>
      <c r="X151" s="105">
        <f t="shared" si="57"/>
        <v>0</v>
      </c>
      <c r="Y151" s="105"/>
      <c r="Z151" s="105">
        <f t="shared" si="58"/>
        <v>0</v>
      </c>
      <c r="AA151" s="105"/>
      <c r="AB151" s="105">
        <f t="shared" ref="AB151:AB158" si="59">$F150*AA151</f>
        <v>0</v>
      </c>
      <c r="AC151" s="105"/>
      <c r="AD151" s="105">
        <f t="shared" si="50"/>
        <v>0</v>
      </c>
      <c r="AE151" s="105"/>
      <c r="AF151" s="105">
        <f t="shared" si="51"/>
        <v>0</v>
      </c>
      <c r="AG151" s="105"/>
      <c r="AH151" s="106"/>
      <c r="AK151" s="106">
        <f t="shared" si="48"/>
        <v>0</v>
      </c>
      <c r="AL151" s="106">
        <f t="shared" si="49"/>
        <v>0</v>
      </c>
      <c r="AN151" s="85" t="s">
        <v>213</v>
      </c>
      <c r="AO151" s="85">
        <v>0.74814625415494762</v>
      </c>
      <c r="AQ151" s="107"/>
      <c r="AS151" s="108"/>
    </row>
    <row r="152" spans="1:45" x14ac:dyDescent="0.2">
      <c r="A152" s="112" t="s">
        <v>74</v>
      </c>
      <c r="C152" s="92" t="s">
        <v>598</v>
      </c>
      <c r="D152" s="92"/>
      <c r="F152" s="104">
        <f>SUM(F150:F151)</f>
        <v>0</v>
      </c>
      <c r="G152" s="104">
        <f>F152</f>
        <v>0</v>
      </c>
      <c r="H152" s="105">
        <f>VLOOKUP(A152,Data!$A$2:$Z$179,24,FALSE)</f>
        <v>18.684999999999999</v>
      </c>
      <c r="I152" s="105">
        <f>VLOOKUP(A152,Data!$A$2:$Z$179,25,FALSE)</f>
        <v>2.1259999999999999</v>
      </c>
      <c r="J152" s="105">
        <f>VLOOKUP(A152,Data!$A$2:$Z$179,7,FALSE)</f>
        <v>16.558999999999997</v>
      </c>
      <c r="K152" s="105">
        <f>$F152*J152</f>
        <v>0</v>
      </c>
      <c r="L152" s="105">
        <f>VLOOKUP(A152,Data!$A$2:$Z$179,8,FALSE)</f>
        <v>0</v>
      </c>
      <c r="M152" s="105">
        <f>L152*F152</f>
        <v>0</v>
      </c>
      <c r="N152" s="105">
        <f>VLOOKUP(A152,Data!$A$2:$Z$179,9,FALSE)</f>
        <v>0</v>
      </c>
      <c r="O152" s="105">
        <f>VLOOKUP(A151,Data!$A$2:$Z$179,10,FALSE)</f>
        <v>0</v>
      </c>
      <c r="P152" s="105">
        <f>O152*F152</f>
        <v>0</v>
      </c>
      <c r="Q152" s="105">
        <f>VLOOKUP(A152,Data!$A$2:$Z$179,11,FALSE)</f>
        <v>0</v>
      </c>
      <c r="R152" s="105">
        <f t="shared" si="54"/>
        <v>0</v>
      </c>
      <c r="S152" s="105">
        <f>VLOOKUP(A152,Data!$A$2:$Z$179,12,FALSE)</f>
        <v>0</v>
      </c>
      <c r="T152" s="105">
        <f>S152*F152</f>
        <v>0</v>
      </c>
      <c r="U152" s="105">
        <f>VLOOKUP(A152,Data!$A$2:$Z$179,13,FALSE)</f>
        <v>1.4911076181567489E-2</v>
      </c>
      <c r="V152" s="91">
        <f t="shared" si="56"/>
        <v>0</v>
      </c>
      <c r="W152" s="105">
        <f>VLOOKUP(A152,Data!$A$2:$Z$179,22,FALSE)</f>
        <v>0</v>
      </c>
      <c r="X152" s="105">
        <f>W152*F152</f>
        <v>0</v>
      </c>
      <c r="Y152" s="105">
        <f>VLOOKUP(A152,Data!$A$2:$Z$179,19,FALSE)</f>
        <v>0</v>
      </c>
      <c r="Z152" s="105">
        <f t="shared" si="58"/>
        <v>0</v>
      </c>
      <c r="AA152" s="105">
        <f>VLOOKUP(A152,Data!$A$2:$Z$179,20,FALSE)</f>
        <v>0</v>
      </c>
      <c r="AB152" s="105">
        <f>$F152*AA152</f>
        <v>0</v>
      </c>
      <c r="AC152" s="105">
        <f>VLOOKUP(A152,Data!$A$2:$Z$179,21,FALSE)</f>
        <v>0</v>
      </c>
      <c r="AD152" s="105">
        <f t="shared" si="50"/>
        <v>0</v>
      </c>
      <c r="AE152" s="105">
        <f>J152+L152+N152+O152+Q152+S152+U152+W152+Y152+AA152+AC152</f>
        <v>16.573911076181567</v>
      </c>
      <c r="AF152" s="105">
        <f t="shared" si="51"/>
        <v>0</v>
      </c>
      <c r="AG152" s="105"/>
      <c r="AH152" s="106">
        <f>AE152-S152-W152</f>
        <v>16.573911076181567</v>
      </c>
      <c r="AI152" s="85">
        <f>AH152/AE152</f>
        <v>1</v>
      </c>
      <c r="AK152" s="106">
        <f t="shared" si="48"/>
        <v>0</v>
      </c>
      <c r="AL152" s="106">
        <f t="shared" si="49"/>
        <v>0</v>
      </c>
      <c r="AN152" s="85" t="s">
        <v>215</v>
      </c>
      <c r="AO152" s="85">
        <v>0.61613041205265906</v>
      </c>
      <c r="AQ152" s="107"/>
      <c r="AS152" s="108"/>
    </row>
    <row r="153" spans="1:45" x14ac:dyDescent="0.2">
      <c r="C153" s="92"/>
      <c r="D153" s="92"/>
      <c r="F153" s="109"/>
      <c r="G153" s="109"/>
      <c r="H153" s="109"/>
      <c r="I153" s="109"/>
      <c r="J153" s="105"/>
      <c r="K153" s="105"/>
      <c r="L153" s="105"/>
      <c r="M153" s="105">
        <f t="shared" si="52"/>
        <v>0</v>
      </c>
      <c r="N153" s="105"/>
      <c r="O153" s="105"/>
      <c r="P153" s="105">
        <f t="shared" si="53"/>
        <v>0</v>
      </c>
      <c r="Q153" s="105"/>
      <c r="R153" s="105">
        <f t="shared" si="54"/>
        <v>0</v>
      </c>
      <c r="S153" s="105"/>
      <c r="T153" s="105">
        <f t="shared" si="55"/>
        <v>0</v>
      </c>
      <c r="U153" s="105"/>
      <c r="V153" s="91">
        <f t="shared" si="56"/>
        <v>0</v>
      </c>
      <c r="W153" s="105"/>
      <c r="X153" s="105">
        <f t="shared" si="57"/>
        <v>0</v>
      </c>
      <c r="Y153" s="105"/>
      <c r="Z153" s="105">
        <f t="shared" si="58"/>
        <v>0</v>
      </c>
      <c r="AA153" s="105"/>
      <c r="AB153" s="105">
        <f t="shared" si="59"/>
        <v>0</v>
      </c>
      <c r="AC153" s="105"/>
      <c r="AD153" s="105">
        <f t="shared" si="50"/>
        <v>0</v>
      </c>
      <c r="AE153" s="105"/>
      <c r="AF153" s="105">
        <f t="shared" si="51"/>
        <v>0</v>
      </c>
      <c r="AG153" s="105"/>
      <c r="AH153" s="106"/>
      <c r="AK153" s="106">
        <f t="shared" si="48"/>
        <v>0</v>
      </c>
      <c r="AL153" s="106">
        <f t="shared" si="49"/>
        <v>0</v>
      </c>
      <c r="AN153" s="85" t="s">
        <v>216</v>
      </c>
      <c r="AO153" s="85">
        <v>0.52780463617205908</v>
      </c>
      <c r="AQ153" s="107"/>
      <c r="AS153" s="108"/>
    </row>
    <row r="154" spans="1:45" x14ac:dyDescent="0.2">
      <c r="A154" s="85" t="s">
        <v>76</v>
      </c>
      <c r="B154" s="101" t="s">
        <v>77</v>
      </c>
      <c r="C154" s="86" t="s">
        <v>599</v>
      </c>
      <c r="F154" s="102">
        <f>E154</f>
        <v>0</v>
      </c>
      <c r="G154" s="102"/>
      <c r="H154" s="102"/>
      <c r="I154" s="102"/>
      <c r="J154" s="105"/>
      <c r="K154" s="105"/>
      <c r="L154" s="105"/>
      <c r="M154" s="105">
        <f t="shared" si="52"/>
        <v>0</v>
      </c>
      <c r="N154" s="105"/>
      <c r="O154" s="105"/>
      <c r="P154" s="105">
        <f t="shared" si="53"/>
        <v>0</v>
      </c>
      <c r="Q154" s="105"/>
      <c r="R154" s="105">
        <f t="shared" si="54"/>
        <v>0</v>
      </c>
      <c r="S154" s="105"/>
      <c r="T154" s="105">
        <f t="shared" si="55"/>
        <v>0</v>
      </c>
      <c r="U154" s="105"/>
      <c r="V154" s="91">
        <f t="shared" si="56"/>
        <v>0</v>
      </c>
      <c r="W154" s="105"/>
      <c r="X154" s="105">
        <f t="shared" si="57"/>
        <v>0</v>
      </c>
      <c r="Y154" s="105"/>
      <c r="Z154" s="105">
        <f t="shared" si="58"/>
        <v>0</v>
      </c>
      <c r="AA154" s="105"/>
      <c r="AB154" s="105">
        <f t="shared" si="59"/>
        <v>0</v>
      </c>
      <c r="AC154" s="105"/>
      <c r="AD154" s="105">
        <f t="shared" si="50"/>
        <v>0</v>
      </c>
      <c r="AE154" s="105"/>
      <c r="AF154" s="105">
        <f t="shared" si="51"/>
        <v>0</v>
      </c>
      <c r="AG154" s="105"/>
      <c r="AH154" s="106"/>
      <c r="AK154" s="106">
        <f t="shared" si="48"/>
        <v>0</v>
      </c>
      <c r="AL154" s="106">
        <f t="shared" si="49"/>
        <v>0</v>
      </c>
      <c r="AN154" s="85" t="s">
        <v>217</v>
      </c>
      <c r="AO154" s="85">
        <v>0.62779816025947788</v>
      </c>
      <c r="AQ154" s="107"/>
      <c r="AS154" s="108"/>
    </row>
    <row r="155" spans="1:45" x14ac:dyDescent="0.2">
      <c r="A155" s="85" t="s">
        <v>76</v>
      </c>
      <c r="B155" s="101" t="s">
        <v>81</v>
      </c>
      <c r="C155" s="86" t="s">
        <v>599</v>
      </c>
      <c r="F155" s="102">
        <f>E155</f>
        <v>0</v>
      </c>
      <c r="G155" s="102"/>
      <c r="H155" s="102"/>
      <c r="I155" s="102"/>
      <c r="J155" s="105"/>
      <c r="K155" s="105"/>
      <c r="L155" s="105"/>
      <c r="M155" s="105">
        <f t="shared" si="52"/>
        <v>0</v>
      </c>
      <c r="N155" s="105"/>
      <c r="O155" s="105"/>
      <c r="P155" s="105">
        <f t="shared" si="53"/>
        <v>0</v>
      </c>
      <c r="Q155" s="105"/>
      <c r="R155" s="105">
        <f t="shared" si="54"/>
        <v>0</v>
      </c>
      <c r="S155" s="105"/>
      <c r="T155" s="105">
        <f t="shared" si="55"/>
        <v>0</v>
      </c>
      <c r="U155" s="105"/>
      <c r="V155" s="91">
        <f t="shared" si="56"/>
        <v>0</v>
      </c>
      <c r="W155" s="105"/>
      <c r="X155" s="105">
        <f t="shared" si="57"/>
        <v>0</v>
      </c>
      <c r="Y155" s="105"/>
      <c r="Z155" s="105">
        <f t="shared" si="58"/>
        <v>0</v>
      </c>
      <c r="AA155" s="105"/>
      <c r="AB155" s="105">
        <f t="shared" si="59"/>
        <v>0</v>
      </c>
      <c r="AC155" s="105"/>
      <c r="AD155" s="105">
        <f t="shared" si="50"/>
        <v>0</v>
      </c>
      <c r="AE155" s="105"/>
      <c r="AF155" s="105">
        <f t="shared" si="51"/>
        <v>0</v>
      </c>
      <c r="AG155" s="105"/>
      <c r="AH155" s="106"/>
      <c r="AK155" s="106">
        <f t="shared" si="48"/>
        <v>0</v>
      </c>
      <c r="AL155" s="106">
        <f t="shared" si="49"/>
        <v>0</v>
      </c>
      <c r="AN155" s="85" t="s">
        <v>219</v>
      </c>
      <c r="AO155" s="85">
        <v>0.50271526907499231</v>
      </c>
      <c r="AQ155" s="107"/>
      <c r="AS155" s="108"/>
    </row>
    <row r="156" spans="1:45" x14ac:dyDescent="0.2">
      <c r="A156" s="85" t="s">
        <v>76</v>
      </c>
      <c r="C156" s="92" t="s">
        <v>600</v>
      </c>
      <c r="D156" s="92"/>
      <c r="F156" s="104">
        <f>SUM(F154:F155)</f>
        <v>0</v>
      </c>
      <c r="G156" s="104">
        <f>F156</f>
        <v>0</v>
      </c>
      <c r="H156" s="105">
        <f>VLOOKUP(A156,Data!$A$2:$Z$179,24,FALSE)</f>
        <v>27</v>
      </c>
      <c r="I156" s="105">
        <f>VLOOKUP(A156,Data!$A$2:$Z$179,25,FALSE)</f>
        <v>0.56000000000000005</v>
      </c>
      <c r="J156" s="105">
        <f>VLOOKUP(A156,Data!$A$2:$Z$179,7,FALSE)</f>
        <v>26.44</v>
      </c>
      <c r="K156" s="105">
        <f>$F156*J156</f>
        <v>0</v>
      </c>
      <c r="L156" s="105">
        <f>VLOOKUP(A156,Data!$A$2:$Z$179,8,FALSE)</f>
        <v>0</v>
      </c>
      <c r="M156" s="105">
        <f>L156*F156</f>
        <v>0</v>
      </c>
      <c r="N156" s="105">
        <f>VLOOKUP(A156,Data!$A$2:$Z$179,9,FALSE)</f>
        <v>0</v>
      </c>
      <c r="O156" s="105">
        <f>VLOOKUP(A155,Data!$A$2:$Z$179,10,FALSE)</f>
        <v>0</v>
      </c>
      <c r="P156" s="105">
        <f>O156*F156</f>
        <v>0</v>
      </c>
      <c r="Q156" s="105">
        <f>VLOOKUP(A156,Data!$A$2:$Z$179,11,FALSE)</f>
        <v>0</v>
      </c>
      <c r="R156" s="105">
        <f t="shared" si="54"/>
        <v>0</v>
      </c>
      <c r="S156" s="105">
        <f>VLOOKUP(A156,Data!$A$2:$Z$179,12,FALSE)</f>
        <v>9.08</v>
      </c>
      <c r="T156" s="105">
        <f>S156*F156</f>
        <v>0</v>
      </c>
      <c r="U156" s="105">
        <f>VLOOKUP(A156,Data!$A$2:$Z$179,13,FALSE)</f>
        <v>0.19475965529765613</v>
      </c>
      <c r="V156" s="91">
        <f t="shared" si="56"/>
        <v>0</v>
      </c>
      <c r="W156" s="105">
        <f>VLOOKUP(A156,Data!$A$2:$Z$179,22,FALSE)</f>
        <v>0</v>
      </c>
      <c r="X156" s="105">
        <f>W156*F156</f>
        <v>0</v>
      </c>
      <c r="Y156" s="105">
        <f>VLOOKUP(A156,Data!$A$2:$Z$179,19,FALSE)</f>
        <v>0</v>
      </c>
      <c r="Z156" s="105">
        <f t="shared" si="58"/>
        <v>0</v>
      </c>
      <c r="AA156" s="105">
        <f>VLOOKUP(A156,Data!$A$2:$Z$179,20,FALSE)</f>
        <v>0</v>
      </c>
      <c r="AB156" s="105">
        <f>$F156*AA156</f>
        <v>0</v>
      </c>
      <c r="AC156" s="105">
        <f>VLOOKUP(A156,Data!$A$2:$Z$179,21,FALSE)</f>
        <v>0</v>
      </c>
      <c r="AD156" s="105">
        <f t="shared" si="50"/>
        <v>0</v>
      </c>
      <c r="AE156" s="105">
        <f>J156+L156+N156+O156+Q156+S156+U156+W156+Y156+AA156+AC156</f>
        <v>35.714759655297662</v>
      </c>
      <c r="AF156" s="105">
        <f t="shared" si="51"/>
        <v>0</v>
      </c>
      <c r="AG156" s="105"/>
      <c r="AH156" s="106">
        <f>AE156-S156-W156</f>
        <v>26.634759655297664</v>
      </c>
      <c r="AI156" s="85">
        <f>AH156/AE156</f>
        <v>0.74576337380858904</v>
      </c>
      <c r="AK156" s="106">
        <f t="shared" si="48"/>
        <v>9.08</v>
      </c>
      <c r="AL156" s="106">
        <f t="shared" si="49"/>
        <v>9.08</v>
      </c>
      <c r="AN156" s="85" t="s">
        <v>220</v>
      </c>
      <c r="AO156" s="85">
        <v>0.69980072979477748</v>
      </c>
      <c r="AQ156" s="107"/>
      <c r="AS156" s="108"/>
    </row>
    <row r="157" spans="1:45" x14ac:dyDescent="0.2">
      <c r="C157" s="92"/>
      <c r="D157" s="92"/>
      <c r="F157" s="109"/>
      <c r="G157" s="109"/>
      <c r="H157" s="109"/>
      <c r="I157" s="109"/>
      <c r="J157" s="105"/>
      <c r="K157" s="105"/>
      <c r="L157" s="105"/>
      <c r="M157" s="105">
        <f t="shared" si="52"/>
        <v>0</v>
      </c>
      <c r="N157" s="105"/>
      <c r="O157" s="105"/>
      <c r="P157" s="105">
        <f t="shared" si="53"/>
        <v>0</v>
      </c>
      <c r="Q157" s="105"/>
      <c r="R157" s="105">
        <f t="shared" si="54"/>
        <v>0</v>
      </c>
      <c r="S157" s="105"/>
      <c r="T157" s="105">
        <f t="shared" ref="T157:T220" si="60">S157*F157</f>
        <v>0</v>
      </c>
      <c r="U157" s="105"/>
      <c r="V157" s="91">
        <f t="shared" si="56"/>
        <v>0</v>
      </c>
      <c r="W157" s="105"/>
      <c r="X157" s="105">
        <f t="shared" si="57"/>
        <v>0</v>
      </c>
      <c r="Y157" s="105"/>
      <c r="Z157" s="105">
        <f t="shared" si="58"/>
        <v>0</v>
      </c>
      <c r="AA157" s="105"/>
      <c r="AB157" s="105">
        <f t="shared" si="59"/>
        <v>0</v>
      </c>
      <c r="AC157" s="105"/>
      <c r="AD157" s="105">
        <f t="shared" si="50"/>
        <v>0</v>
      </c>
      <c r="AE157" s="105"/>
      <c r="AF157" s="105">
        <f t="shared" si="51"/>
        <v>0</v>
      </c>
      <c r="AG157" s="105"/>
      <c r="AH157" s="106"/>
      <c r="AK157" s="106">
        <f t="shared" si="48"/>
        <v>0</v>
      </c>
      <c r="AL157" s="106">
        <f t="shared" si="49"/>
        <v>0</v>
      </c>
      <c r="AN157" s="85" t="s">
        <v>221</v>
      </c>
      <c r="AO157" s="85">
        <v>0.81794364769458106</v>
      </c>
      <c r="AQ157" s="107"/>
      <c r="AS157" s="108"/>
    </row>
    <row r="158" spans="1:45" x14ac:dyDescent="0.2">
      <c r="A158" s="112" t="s">
        <v>78</v>
      </c>
      <c r="B158" s="101" t="s">
        <v>79</v>
      </c>
      <c r="C158" s="86" t="s">
        <v>601</v>
      </c>
      <c r="F158" s="102">
        <f>E158</f>
        <v>0</v>
      </c>
      <c r="G158" s="102"/>
      <c r="H158" s="102"/>
      <c r="I158" s="102"/>
      <c r="J158" s="105"/>
      <c r="K158" s="105"/>
      <c r="L158" s="105"/>
      <c r="M158" s="105">
        <f t="shared" si="52"/>
        <v>0</v>
      </c>
      <c r="N158" s="105"/>
      <c r="O158" s="105"/>
      <c r="P158" s="105">
        <f t="shared" si="53"/>
        <v>0</v>
      </c>
      <c r="Q158" s="105"/>
      <c r="R158" s="105">
        <f t="shared" si="54"/>
        <v>0</v>
      </c>
      <c r="S158" s="105"/>
      <c r="T158" s="105">
        <f t="shared" si="60"/>
        <v>0</v>
      </c>
      <c r="U158" s="105"/>
      <c r="V158" s="91">
        <f t="shared" si="56"/>
        <v>0</v>
      </c>
      <c r="W158" s="105"/>
      <c r="X158" s="105">
        <f t="shared" si="57"/>
        <v>0</v>
      </c>
      <c r="Y158" s="105"/>
      <c r="Z158" s="105">
        <f t="shared" si="58"/>
        <v>0</v>
      </c>
      <c r="AA158" s="105"/>
      <c r="AB158" s="105">
        <f t="shared" si="59"/>
        <v>0</v>
      </c>
      <c r="AC158" s="105"/>
      <c r="AD158" s="105">
        <f t="shared" si="50"/>
        <v>0</v>
      </c>
      <c r="AE158" s="105"/>
      <c r="AF158" s="105">
        <f t="shared" si="51"/>
        <v>0</v>
      </c>
      <c r="AG158" s="105"/>
      <c r="AH158" s="106"/>
      <c r="AK158" s="106">
        <f t="shared" si="48"/>
        <v>0</v>
      </c>
      <c r="AL158" s="106">
        <f t="shared" si="49"/>
        <v>0</v>
      </c>
      <c r="AN158" s="85" t="s">
        <v>223</v>
      </c>
      <c r="AO158" s="85">
        <v>0.56867709557826218</v>
      </c>
      <c r="AQ158" s="107"/>
      <c r="AS158" s="108"/>
    </row>
    <row r="159" spans="1:45" x14ac:dyDescent="0.2">
      <c r="A159" s="112" t="s">
        <v>78</v>
      </c>
      <c r="B159" s="101" t="s">
        <v>214</v>
      </c>
      <c r="C159" s="86" t="s">
        <v>601</v>
      </c>
      <c r="F159" s="102">
        <f>E159</f>
        <v>0</v>
      </c>
      <c r="G159" s="102"/>
      <c r="H159" s="102"/>
      <c r="I159" s="102"/>
      <c r="J159" s="105"/>
      <c r="K159" s="105"/>
      <c r="L159" s="105"/>
      <c r="M159" s="105">
        <f t="shared" si="52"/>
        <v>0</v>
      </c>
      <c r="N159" s="105"/>
      <c r="O159" s="105"/>
      <c r="P159" s="105">
        <f t="shared" si="53"/>
        <v>0</v>
      </c>
      <c r="Q159" s="105"/>
      <c r="R159" s="105">
        <f t="shared" si="54"/>
        <v>0</v>
      </c>
      <c r="S159" s="105"/>
      <c r="T159" s="105">
        <f t="shared" si="60"/>
        <v>0</v>
      </c>
      <c r="U159" s="105"/>
      <c r="V159" s="91">
        <f t="shared" si="56"/>
        <v>0</v>
      </c>
      <c r="W159" s="105"/>
      <c r="X159" s="105">
        <f t="shared" si="57"/>
        <v>0</v>
      </c>
      <c r="Y159" s="105"/>
      <c r="Z159" s="105">
        <f t="shared" si="58"/>
        <v>0</v>
      </c>
      <c r="AA159" s="105"/>
      <c r="AB159" s="105">
        <f>$F159*AA159</f>
        <v>0</v>
      </c>
      <c r="AC159" s="105"/>
      <c r="AD159" s="105">
        <f t="shared" si="50"/>
        <v>0</v>
      </c>
      <c r="AE159" s="105"/>
      <c r="AF159" s="105">
        <f t="shared" si="51"/>
        <v>0</v>
      </c>
      <c r="AG159" s="105"/>
      <c r="AH159" s="106"/>
      <c r="AK159" s="106">
        <f t="shared" si="48"/>
        <v>0</v>
      </c>
      <c r="AL159" s="106">
        <f t="shared" si="49"/>
        <v>0</v>
      </c>
      <c r="AN159" s="85" t="s">
        <v>225</v>
      </c>
      <c r="AO159" s="85">
        <v>0.1912818762494515</v>
      </c>
      <c r="AQ159" s="107"/>
      <c r="AS159" s="108"/>
    </row>
    <row r="160" spans="1:45" x14ac:dyDescent="0.2">
      <c r="A160" s="112" t="s">
        <v>78</v>
      </c>
      <c r="B160" s="101" t="s">
        <v>109</v>
      </c>
      <c r="C160" s="86" t="s">
        <v>601</v>
      </c>
      <c r="F160" s="102">
        <f>E160</f>
        <v>0</v>
      </c>
      <c r="G160" s="102"/>
      <c r="H160" s="102"/>
      <c r="I160" s="102"/>
      <c r="J160" s="105"/>
      <c r="K160" s="105"/>
      <c r="L160" s="105"/>
      <c r="M160" s="105">
        <f t="shared" si="52"/>
        <v>0</v>
      </c>
      <c r="N160" s="105"/>
      <c r="O160" s="105"/>
      <c r="P160" s="105">
        <f t="shared" si="53"/>
        <v>0</v>
      </c>
      <c r="Q160" s="105"/>
      <c r="R160" s="105">
        <f t="shared" si="54"/>
        <v>0</v>
      </c>
      <c r="S160" s="105"/>
      <c r="T160" s="105">
        <f t="shared" si="60"/>
        <v>0</v>
      </c>
      <c r="U160" s="105"/>
      <c r="V160" s="91">
        <f t="shared" si="56"/>
        <v>0</v>
      </c>
      <c r="W160" s="105"/>
      <c r="X160" s="105">
        <f t="shared" si="57"/>
        <v>0</v>
      </c>
      <c r="Y160" s="105"/>
      <c r="Z160" s="105">
        <f t="shared" si="58"/>
        <v>0</v>
      </c>
      <c r="AA160" s="105"/>
      <c r="AB160" s="105">
        <f>$F158*AA160</f>
        <v>0</v>
      </c>
      <c r="AC160" s="105"/>
      <c r="AD160" s="105">
        <f t="shared" si="50"/>
        <v>0</v>
      </c>
      <c r="AE160" s="105"/>
      <c r="AF160" s="105">
        <f t="shared" si="51"/>
        <v>0</v>
      </c>
      <c r="AG160" s="105"/>
      <c r="AH160" s="106"/>
      <c r="AK160" s="106">
        <f t="shared" si="48"/>
        <v>0</v>
      </c>
      <c r="AL160" s="106">
        <f t="shared" si="49"/>
        <v>0</v>
      </c>
      <c r="AN160" s="85" t="s">
        <v>226</v>
      </c>
      <c r="AO160" s="85">
        <v>1</v>
      </c>
      <c r="AQ160" s="107"/>
      <c r="AS160" s="108"/>
    </row>
    <row r="161" spans="1:45" x14ac:dyDescent="0.2">
      <c r="A161" s="112" t="s">
        <v>78</v>
      </c>
      <c r="C161" s="92" t="s">
        <v>602</v>
      </c>
      <c r="D161" s="92"/>
      <c r="F161" s="104">
        <f>SUM(F158:F160)</f>
        <v>0</v>
      </c>
      <c r="G161" s="104">
        <f>F161</f>
        <v>0</v>
      </c>
      <c r="H161" s="105">
        <f>VLOOKUP(A161,Data!$A$2:$Z$179,24,FALSE)</f>
        <v>12.138</v>
      </c>
      <c r="I161" s="105">
        <f>VLOOKUP(A161,Data!$A$2:$Z$179,25,FALSE)</f>
        <v>0</v>
      </c>
      <c r="J161" s="105">
        <f>VLOOKUP(A161,Data!$A$2:$Z$179,7,FALSE)</f>
        <v>12.138</v>
      </c>
      <c r="K161" s="105">
        <f>$F161*J161</f>
        <v>0</v>
      </c>
      <c r="L161" s="105">
        <f>VLOOKUP(A161,Data!$A$2:$Z$179,8,FALSE)</f>
        <v>0</v>
      </c>
      <c r="M161" s="105">
        <f>L161*F161</f>
        <v>0</v>
      </c>
      <c r="N161" s="105">
        <f>VLOOKUP(A161,Data!$A$2:$Z$179,9,FALSE)</f>
        <v>0</v>
      </c>
      <c r="O161" s="105">
        <f>VLOOKUP(A160,Data!$A$2:$Z$179,10,FALSE)</f>
        <v>0.64899999999999991</v>
      </c>
      <c r="P161" s="105">
        <f>O161*F161</f>
        <v>0</v>
      </c>
      <c r="Q161" s="105">
        <f>VLOOKUP(A161,Data!$A$2:$Z$179,11,FALSE)</f>
        <v>0</v>
      </c>
      <c r="R161" s="105">
        <f t="shared" si="54"/>
        <v>0</v>
      </c>
      <c r="S161" s="105">
        <f>VLOOKUP(A161,Data!$A$2:$Z$179,12,FALSE)</f>
        <v>2.7729999999999997</v>
      </c>
      <c r="T161" s="105">
        <f>S161*F161</f>
        <v>0</v>
      </c>
      <c r="U161" s="105">
        <f>VLOOKUP(A161,Data!$A$2:$Z$179,13,FALSE)</f>
        <v>0.22051141696310522</v>
      </c>
      <c r="V161" s="91">
        <f t="shared" si="56"/>
        <v>0</v>
      </c>
      <c r="W161" s="105">
        <f>VLOOKUP(A161,Data!$A$2:$Z$179,22,FALSE)</f>
        <v>0</v>
      </c>
      <c r="X161" s="105">
        <f>W161*F161</f>
        <v>0</v>
      </c>
      <c r="Y161" s="105">
        <f>VLOOKUP(A161,Data!$A$2:$Z$179,19,FALSE)</f>
        <v>0</v>
      </c>
      <c r="Z161" s="105">
        <f t="shared" si="58"/>
        <v>0</v>
      </c>
      <c r="AA161" s="105">
        <f>VLOOKUP(A161,Data!$A$2:$Z$179,20,FALSE)</f>
        <v>0</v>
      </c>
      <c r="AB161" s="105">
        <f>$F161*AA161</f>
        <v>0</v>
      </c>
      <c r="AC161" s="105">
        <f>VLOOKUP(A161,Data!$A$2:$Z$179,21,FALSE)</f>
        <v>0</v>
      </c>
      <c r="AD161" s="105">
        <f t="shared" si="50"/>
        <v>0</v>
      </c>
      <c r="AE161" s="105">
        <f>J161+L161+N161+O161+Q161+S161+U161+W161+Y161+AA161+AC161</f>
        <v>15.780511416963105</v>
      </c>
      <c r="AF161" s="105">
        <f t="shared" si="51"/>
        <v>0</v>
      </c>
      <c r="AG161" s="105"/>
      <c r="AH161" s="106">
        <f>AE161-S161-W161</f>
        <v>13.007511416963105</v>
      </c>
      <c r="AI161" s="85">
        <f>AH161/AE161</f>
        <v>0.82427692444623879</v>
      </c>
      <c r="AK161" s="106">
        <f t="shared" si="48"/>
        <v>3.4219999999999997</v>
      </c>
      <c r="AL161" s="106">
        <f t="shared" si="49"/>
        <v>3.4219999999999997</v>
      </c>
      <c r="AN161" s="85" t="s">
        <v>228</v>
      </c>
      <c r="AO161" s="85">
        <v>1</v>
      </c>
      <c r="AQ161" s="107"/>
      <c r="AS161" s="108"/>
    </row>
    <row r="162" spans="1:45" x14ac:dyDescent="0.2">
      <c r="C162" s="92"/>
      <c r="D162" s="92"/>
      <c r="F162" s="109"/>
      <c r="G162" s="109"/>
      <c r="H162" s="109"/>
      <c r="I162" s="109"/>
      <c r="J162" s="105"/>
      <c r="K162" s="105"/>
      <c r="L162" s="105"/>
      <c r="M162" s="105">
        <f t="shared" si="52"/>
        <v>0</v>
      </c>
      <c r="N162" s="105"/>
      <c r="O162" s="105"/>
      <c r="P162" s="105">
        <f t="shared" si="53"/>
        <v>0</v>
      </c>
      <c r="Q162" s="105"/>
      <c r="R162" s="105">
        <f t="shared" si="54"/>
        <v>0</v>
      </c>
      <c r="S162" s="105"/>
      <c r="T162" s="105">
        <f t="shared" si="60"/>
        <v>0</v>
      </c>
      <c r="U162" s="105"/>
      <c r="V162" s="91">
        <f t="shared" si="56"/>
        <v>0</v>
      </c>
      <c r="W162" s="105"/>
      <c r="X162" s="105">
        <f t="shared" si="57"/>
        <v>0</v>
      </c>
      <c r="Y162" s="105"/>
      <c r="Z162" s="105">
        <f t="shared" si="58"/>
        <v>0</v>
      </c>
      <c r="AA162" s="105"/>
      <c r="AB162" s="105">
        <f>$F160*AA162</f>
        <v>0</v>
      </c>
      <c r="AC162" s="105"/>
      <c r="AD162" s="105">
        <f t="shared" si="50"/>
        <v>0</v>
      </c>
      <c r="AE162" s="105"/>
      <c r="AF162" s="105">
        <f t="shared" si="51"/>
        <v>0</v>
      </c>
      <c r="AG162" s="105"/>
      <c r="AH162" s="106"/>
      <c r="AK162" s="106">
        <f t="shared" si="48"/>
        <v>0</v>
      </c>
      <c r="AL162" s="106">
        <f t="shared" si="49"/>
        <v>0</v>
      </c>
      <c r="AN162" s="85" t="s">
        <v>229</v>
      </c>
      <c r="AO162" s="85">
        <v>0.65247259439707672</v>
      </c>
      <c r="AQ162" s="107"/>
      <c r="AS162" s="108"/>
    </row>
    <row r="163" spans="1:45" x14ac:dyDescent="0.2">
      <c r="A163" s="85" t="s">
        <v>80</v>
      </c>
      <c r="B163" s="101" t="s">
        <v>81</v>
      </c>
      <c r="C163" s="86" t="s">
        <v>603</v>
      </c>
      <c r="F163" s="102">
        <f>E163</f>
        <v>0</v>
      </c>
      <c r="G163" s="103"/>
      <c r="H163" s="103"/>
      <c r="I163" s="103"/>
      <c r="J163" s="105"/>
      <c r="K163" s="105"/>
      <c r="L163" s="105"/>
      <c r="M163" s="105">
        <f t="shared" si="52"/>
        <v>0</v>
      </c>
      <c r="N163" s="105"/>
      <c r="O163" s="105"/>
      <c r="P163" s="105">
        <f t="shared" si="53"/>
        <v>0</v>
      </c>
      <c r="Q163" s="105"/>
      <c r="R163" s="105">
        <f t="shared" si="54"/>
        <v>0</v>
      </c>
      <c r="S163" s="105"/>
      <c r="T163" s="105">
        <f t="shared" si="60"/>
        <v>0</v>
      </c>
      <c r="U163" s="105"/>
      <c r="V163" s="91">
        <f t="shared" si="56"/>
        <v>0</v>
      </c>
      <c r="W163" s="105"/>
      <c r="X163" s="105">
        <f t="shared" si="57"/>
        <v>0</v>
      </c>
      <c r="Y163" s="105"/>
      <c r="Z163" s="105">
        <f t="shared" si="58"/>
        <v>0</v>
      </c>
      <c r="AA163" s="105"/>
      <c r="AB163" s="105">
        <f>$F161*AA163</f>
        <v>0</v>
      </c>
      <c r="AC163" s="105"/>
      <c r="AD163" s="105">
        <f t="shared" si="50"/>
        <v>0</v>
      </c>
      <c r="AE163" s="105"/>
      <c r="AF163" s="105">
        <f t="shared" si="51"/>
        <v>0</v>
      </c>
      <c r="AG163" s="105"/>
      <c r="AH163" s="106"/>
      <c r="AK163" s="106">
        <f t="shared" si="48"/>
        <v>0</v>
      </c>
      <c r="AL163" s="106">
        <f t="shared" si="49"/>
        <v>0</v>
      </c>
      <c r="AN163" s="85" t="s">
        <v>231</v>
      </c>
      <c r="AO163" s="85">
        <v>0.66512568621785617</v>
      </c>
      <c r="AQ163" s="107"/>
      <c r="AS163" s="108"/>
    </row>
    <row r="164" spans="1:45" x14ac:dyDescent="0.2">
      <c r="A164" s="85" t="s">
        <v>80</v>
      </c>
      <c r="B164" s="101"/>
      <c r="C164" s="92" t="s">
        <v>604</v>
      </c>
      <c r="D164" s="92"/>
      <c r="F164" s="104">
        <f>SUM(F163)</f>
        <v>0</v>
      </c>
      <c r="G164" s="104">
        <f>F164</f>
        <v>0</v>
      </c>
      <c r="H164" s="105">
        <f>VLOOKUP(A164,Data!$A$2:$Z$179,24,FALSE)</f>
        <v>27</v>
      </c>
      <c r="I164" s="105">
        <f>VLOOKUP(A164,Data!$A$2:$Z$179,25,FALSE)</f>
        <v>0</v>
      </c>
      <c r="J164" s="105">
        <f>VLOOKUP(A164,Data!$A$2:$Z$179,7,FALSE)</f>
        <v>27</v>
      </c>
      <c r="K164" s="105">
        <f>$F164*J164</f>
        <v>0</v>
      </c>
      <c r="L164" s="105">
        <f>VLOOKUP(A164,Data!$A$2:$Z$179,8,FALSE)</f>
        <v>0</v>
      </c>
      <c r="M164" s="105">
        <f>L164*F164</f>
        <v>0</v>
      </c>
      <c r="N164" s="105">
        <f>VLOOKUP(A164,Data!$A$2:$Z$179,9,FALSE)</f>
        <v>0</v>
      </c>
      <c r="O164" s="105">
        <f>VLOOKUP(A163,Data!$A$2:$Z$179,10,FALSE)</f>
        <v>0</v>
      </c>
      <c r="P164" s="105">
        <f>O164*F164</f>
        <v>0</v>
      </c>
      <c r="Q164" s="105">
        <f>VLOOKUP(A164,Data!$A$2:$Z$179,11,FALSE)</f>
        <v>0</v>
      </c>
      <c r="R164" s="105">
        <f t="shared" si="54"/>
        <v>0</v>
      </c>
      <c r="S164" s="105">
        <f>VLOOKUP(A164,Data!$A$2:$Z$179,12,FALSE)</f>
        <v>0</v>
      </c>
      <c r="T164" s="105">
        <f>S164*F164</f>
        <v>0</v>
      </c>
      <c r="U164" s="105">
        <f>VLOOKUP(A164,Data!$A$2:$Z$179,13,FALSE)</f>
        <v>1.6217867519255844E-2</v>
      </c>
      <c r="V164" s="91">
        <f t="shared" si="56"/>
        <v>0</v>
      </c>
      <c r="W164" s="105">
        <f>VLOOKUP(A164,Data!$A$2:$Z$179,22,FALSE)</f>
        <v>0</v>
      </c>
      <c r="X164" s="105">
        <f>W164*F164</f>
        <v>0</v>
      </c>
      <c r="Y164" s="105">
        <f>VLOOKUP(A164,Data!$A$2:$Z$179,19,FALSE)</f>
        <v>0</v>
      </c>
      <c r="Z164" s="105">
        <f t="shared" si="58"/>
        <v>0</v>
      </c>
      <c r="AA164" s="105">
        <f>VLOOKUP(A164,Data!$A$2:$Z$179,20,FALSE)</f>
        <v>0</v>
      </c>
      <c r="AB164" s="105">
        <f t="shared" ref="AB164:AB169" si="61">$F164*AA164</f>
        <v>0</v>
      </c>
      <c r="AC164" s="105">
        <f>VLOOKUP(A164,Data!$A$2:$Z$179,21,FALSE)</f>
        <v>0</v>
      </c>
      <c r="AD164" s="105">
        <f t="shared" si="50"/>
        <v>0</v>
      </c>
      <c r="AE164" s="105">
        <f>J164+L164+N164+O164+Q164+S164+U164+W164+Y164+AA164+AC164</f>
        <v>27.016217867519256</v>
      </c>
      <c r="AF164" s="105">
        <f t="shared" si="51"/>
        <v>0</v>
      </c>
      <c r="AG164" s="105"/>
      <c r="AH164" s="106">
        <f>AE164-S164-W164</f>
        <v>27.016217867519256</v>
      </c>
      <c r="AI164" s="85">
        <f>AH164/AE164</f>
        <v>1</v>
      </c>
      <c r="AK164" s="106">
        <f t="shared" si="48"/>
        <v>0</v>
      </c>
      <c r="AL164" s="106">
        <f t="shared" si="49"/>
        <v>0</v>
      </c>
      <c r="AN164" s="85" t="s">
        <v>233</v>
      </c>
      <c r="AO164" s="85">
        <v>0.84005056513979781</v>
      </c>
      <c r="AQ164" s="107"/>
      <c r="AS164" s="108"/>
    </row>
    <row r="165" spans="1:45" x14ac:dyDescent="0.2">
      <c r="B165" s="101"/>
      <c r="C165" s="92"/>
      <c r="D165" s="92"/>
      <c r="F165" s="109"/>
      <c r="G165" s="109"/>
      <c r="H165" s="109"/>
      <c r="I165" s="109"/>
      <c r="J165" s="105"/>
      <c r="K165" s="105"/>
      <c r="L165" s="105"/>
      <c r="M165" s="105">
        <f t="shared" si="52"/>
        <v>0</v>
      </c>
      <c r="N165" s="105"/>
      <c r="O165" s="105"/>
      <c r="P165" s="105">
        <f t="shared" si="53"/>
        <v>0</v>
      </c>
      <c r="Q165" s="105"/>
      <c r="R165" s="105">
        <f t="shared" si="54"/>
        <v>0</v>
      </c>
      <c r="S165" s="105"/>
      <c r="T165" s="105">
        <f t="shared" si="60"/>
        <v>0</v>
      </c>
      <c r="U165" s="105"/>
      <c r="V165" s="91">
        <f t="shared" si="56"/>
        <v>0</v>
      </c>
      <c r="W165" s="105"/>
      <c r="X165" s="105">
        <f t="shared" si="57"/>
        <v>0</v>
      </c>
      <c r="Y165" s="105"/>
      <c r="Z165" s="105">
        <f t="shared" si="58"/>
        <v>0</v>
      </c>
      <c r="AA165" s="105"/>
      <c r="AB165" s="105">
        <f t="shared" si="61"/>
        <v>0</v>
      </c>
      <c r="AC165" s="105"/>
      <c r="AD165" s="105">
        <f t="shared" si="50"/>
        <v>0</v>
      </c>
      <c r="AE165" s="105"/>
      <c r="AF165" s="105">
        <f t="shared" si="51"/>
        <v>0</v>
      </c>
      <c r="AG165" s="105"/>
      <c r="AH165" s="106"/>
      <c r="AK165" s="106">
        <f t="shared" si="48"/>
        <v>0</v>
      </c>
      <c r="AL165" s="106">
        <f t="shared" si="49"/>
        <v>0</v>
      </c>
      <c r="AN165" s="85" t="s">
        <v>234</v>
      </c>
      <c r="AO165" s="85">
        <v>0.64083917547347491</v>
      </c>
      <c r="AQ165" s="107"/>
      <c r="AS165" s="108"/>
    </row>
    <row r="166" spans="1:45" x14ac:dyDescent="0.2">
      <c r="A166" s="85" t="s">
        <v>82</v>
      </c>
      <c r="B166" s="101" t="s">
        <v>81</v>
      </c>
      <c r="C166" s="86" t="s">
        <v>605</v>
      </c>
      <c r="F166" s="102">
        <f>E166</f>
        <v>0</v>
      </c>
      <c r="G166" s="103"/>
      <c r="H166" s="103"/>
      <c r="I166" s="103"/>
      <c r="J166" s="105"/>
      <c r="K166" s="105"/>
      <c r="L166" s="105"/>
      <c r="M166" s="105">
        <f t="shared" si="52"/>
        <v>0</v>
      </c>
      <c r="N166" s="105"/>
      <c r="O166" s="105"/>
      <c r="P166" s="105">
        <f t="shared" si="53"/>
        <v>0</v>
      </c>
      <c r="Q166" s="105"/>
      <c r="R166" s="105">
        <f t="shared" si="54"/>
        <v>0</v>
      </c>
      <c r="S166" s="105"/>
      <c r="T166" s="105">
        <f t="shared" si="60"/>
        <v>0</v>
      </c>
      <c r="U166" s="105"/>
      <c r="V166" s="91">
        <f t="shared" si="56"/>
        <v>0</v>
      </c>
      <c r="W166" s="105"/>
      <c r="X166" s="105">
        <f t="shared" si="57"/>
        <v>0</v>
      </c>
      <c r="Y166" s="105"/>
      <c r="Z166" s="105">
        <f t="shared" si="58"/>
        <v>0</v>
      </c>
      <c r="AA166" s="105"/>
      <c r="AB166" s="105">
        <f t="shared" si="61"/>
        <v>0</v>
      </c>
      <c r="AC166" s="105"/>
      <c r="AD166" s="105">
        <f t="shared" si="50"/>
        <v>0</v>
      </c>
      <c r="AE166" s="105"/>
      <c r="AF166" s="105">
        <f t="shared" si="51"/>
        <v>0</v>
      </c>
      <c r="AG166" s="105"/>
      <c r="AH166" s="106"/>
      <c r="AK166" s="106">
        <f t="shared" si="48"/>
        <v>0</v>
      </c>
      <c r="AL166" s="106">
        <f t="shared" si="49"/>
        <v>0</v>
      </c>
      <c r="AN166" s="85" t="s">
        <v>236</v>
      </c>
      <c r="AO166" s="85">
        <v>0.66227022058823526</v>
      </c>
      <c r="AQ166" s="107"/>
      <c r="AR166" s="112"/>
      <c r="AS166" s="108"/>
    </row>
    <row r="167" spans="1:45" x14ac:dyDescent="0.2">
      <c r="A167" s="85" t="s">
        <v>82</v>
      </c>
      <c r="C167" s="92" t="s">
        <v>606</v>
      </c>
      <c r="D167" s="92"/>
      <c r="F167" s="104">
        <f>SUM(F166)</f>
        <v>0</v>
      </c>
      <c r="G167" s="104">
        <f>F167</f>
        <v>0</v>
      </c>
      <c r="H167" s="105">
        <f>VLOOKUP(A167,Data!$A$2:$Z$179,24,FALSE)</f>
        <v>27</v>
      </c>
      <c r="I167" s="105">
        <f>VLOOKUP(A167,Data!$A$2:$Z$179,25,FALSE)</f>
        <v>6.8120000000000003</v>
      </c>
      <c r="J167" s="105">
        <f>VLOOKUP(A167,Data!$A$2:$Z$179,7,FALSE)</f>
        <v>20.187999999999999</v>
      </c>
      <c r="K167" s="105">
        <f>$F167*J167</f>
        <v>0</v>
      </c>
      <c r="L167" s="105">
        <f>VLOOKUP(A167,Data!$A$2:$Z$179,8,FALSE)</f>
        <v>0</v>
      </c>
      <c r="M167" s="105">
        <f>L167*F167</f>
        <v>0</v>
      </c>
      <c r="N167" s="105">
        <f>VLOOKUP(A167,Data!$A$2:$Z$179,9,FALSE)</f>
        <v>0</v>
      </c>
      <c r="O167" s="105">
        <f>VLOOKUP(A166,Data!$A$2:$Z$179,10,FALSE)</f>
        <v>0</v>
      </c>
      <c r="P167" s="105">
        <f>O167*F167</f>
        <v>0</v>
      </c>
      <c r="Q167" s="105">
        <f>VLOOKUP(A167,Data!$A$2:$Z$179,11,FALSE)</f>
        <v>0</v>
      </c>
      <c r="R167" s="105">
        <f t="shared" si="54"/>
        <v>0</v>
      </c>
      <c r="S167" s="105">
        <f>VLOOKUP(A167,Data!$A$2:$Z$179,12,FALSE)</f>
        <v>0</v>
      </c>
      <c r="T167" s="105">
        <f>S167*F167</f>
        <v>0</v>
      </c>
      <c r="U167" s="105">
        <f>VLOOKUP(A167,Data!$A$2:$Z$179,13,FALSE)</f>
        <v>0</v>
      </c>
      <c r="V167" s="91">
        <f t="shared" si="56"/>
        <v>0</v>
      </c>
      <c r="W167" s="105">
        <f>VLOOKUP(A167,Data!$A$2:$Z$179,22,FALSE)</f>
        <v>0</v>
      </c>
      <c r="X167" s="105">
        <f>W167*F167</f>
        <v>0</v>
      </c>
      <c r="Y167" s="105">
        <f>VLOOKUP(A167,Data!$A$2:$Z$179,19,FALSE)</f>
        <v>0</v>
      </c>
      <c r="Z167" s="105">
        <f t="shared" si="58"/>
        <v>0</v>
      </c>
      <c r="AA167" s="105">
        <f>VLOOKUP(A167,Data!$A$2:$Z$179,20,FALSE)</f>
        <v>0</v>
      </c>
      <c r="AB167" s="105">
        <f t="shared" si="61"/>
        <v>0</v>
      </c>
      <c r="AC167" s="105">
        <f>VLOOKUP(A167,Data!$A$2:$Z$179,21,FALSE)</f>
        <v>0</v>
      </c>
      <c r="AD167" s="105">
        <f t="shared" si="50"/>
        <v>0</v>
      </c>
      <c r="AE167" s="105">
        <f>J167+L167+N167+O167+Q167+S167+U167+W167+Y167+AA167+AC167</f>
        <v>20.187999999999999</v>
      </c>
      <c r="AF167" s="105">
        <f t="shared" si="51"/>
        <v>0</v>
      </c>
      <c r="AG167" s="105"/>
      <c r="AH167" s="106">
        <f>AE167-S167-W167</f>
        <v>20.187999999999999</v>
      </c>
      <c r="AI167" s="85">
        <f>AH167/AE167</f>
        <v>1</v>
      </c>
      <c r="AK167" s="106">
        <f t="shared" si="48"/>
        <v>0</v>
      </c>
      <c r="AL167" s="106">
        <f t="shared" si="49"/>
        <v>0</v>
      </c>
      <c r="AN167" s="85" t="s">
        <v>237</v>
      </c>
      <c r="AO167" s="85">
        <v>0.71793648268914689</v>
      </c>
      <c r="AQ167" s="107"/>
      <c r="AS167" s="108"/>
    </row>
    <row r="168" spans="1:45" x14ac:dyDescent="0.2">
      <c r="C168" s="92"/>
      <c r="D168" s="92"/>
      <c r="F168" s="109"/>
      <c r="G168" s="109"/>
      <c r="H168" s="109"/>
      <c r="I168" s="109"/>
      <c r="J168" s="105"/>
      <c r="K168" s="105"/>
      <c r="L168" s="105"/>
      <c r="M168" s="105">
        <f t="shared" si="52"/>
        <v>0</v>
      </c>
      <c r="N168" s="105"/>
      <c r="O168" s="105"/>
      <c r="P168" s="105">
        <f t="shared" si="53"/>
        <v>0</v>
      </c>
      <c r="Q168" s="105"/>
      <c r="R168" s="105">
        <f t="shared" si="54"/>
        <v>0</v>
      </c>
      <c r="S168" s="105"/>
      <c r="T168" s="105">
        <f t="shared" si="60"/>
        <v>0</v>
      </c>
      <c r="U168" s="105"/>
      <c r="V168" s="91">
        <f t="shared" si="56"/>
        <v>0</v>
      </c>
      <c r="W168" s="105"/>
      <c r="X168" s="105">
        <f t="shared" si="57"/>
        <v>0</v>
      </c>
      <c r="Y168" s="105"/>
      <c r="Z168" s="105">
        <f t="shared" si="58"/>
        <v>0</v>
      </c>
      <c r="AA168" s="105"/>
      <c r="AB168" s="105">
        <f t="shared" si="61"/>
        <v>0</v>
      </c>
      <c r="AC168" s="105"/>
      <c r="AD168" s="105">
        <f t="shared" si="50"/>
        <v>0</v>
      </c>
      <c r="AE168" s="105"/>
      <c r="AF168" s="105">
        <f t="shared" si="51"/>
        <v>0</v>
      </c>
      <c r="AG168" s="105"/>
      <c r="AH168" s="106"/>
      <c r="AK168" s="106">
        <f t="shared" si="48"/>
        <v>0</v>
      </c>
      <c r="AL168" s="106">
        <f t="shared" si="49"/>
        <v>0</v>
      </c>
      <c r="AN168" s="85" t="s">
        <v>238</v>
      </c>
      <c r="AO168" s="85">
        <v>1</v>
      </c>
      <c r="AQ168" s="107"/>
      <c r="AS168" s="108"/>
    </row>
    <row r="169" spans="1:45" x14ac:dyDescent="0.2">
      <c r="A169" s="85" t="s">
        <v>84</v>
      </c>
      <c r="B169" s="101" t="s">
        <v>81</v>
      </c>
      <c r="C169" s="86" t="s">
        <v>607</v>
      </c>
      <c r="F169" s="102">
        <f>E169</f>
        <v>0</v>
      </c>
      <c r="G169" s="102"/>
      <c r="H169" s="102"/>
      <c r="I169" s="102"/>
      <c r="J169" s="105"/>
      <c r="K169" s="105"/>
      <c r="L169" s="105"/>
      <c r="M169" s="105">
        <f t="shared" si="52"/>
        <v>0</v>
      </c>
      <c r="N169" s="105"/>
      <c r="O169" s="105"/>
      <c r="P169" s="105">
        <f t="shared" si="53"/>
        <v>0</v>
      </c>
      <c r="Q169" s="105"/>
      <c r="R169" s="105">
        <f t="shared" si="54"/>
        <v>0</v>
      </c>
      <c r="S169" s="105"/>
      <c r="T169" s="105">
        <f t="shared" si="60"/>
        <v>0</v>
      </c>
      <c r="U169" s="105"/>
      <c r="V169" s="91">
        <f t="shared" si="56"/>
        <v>0</v>
      </c>
      <c r="W169" s="105"/>
      <c r="X169" s="105">
        <f t="shared" si="57"/>
        <v>0</v>
      </c>
      <c r="Y169" s="105"/>
      <c r="Z169" s="105">
        <f t="shared" si="58"/>
        <v>0</v>
      </c>
      <c r="AA169" s="105"/>
      <c r="AB169" s="105">
        <f t="shared" si="61"/>
        <v>0</v>
      </c>
      <c r="AC169" s="105"/>
      <c r="AD169" s="105">
        <f t="shared" si="50"/>
        <v>0</v>
      </c>
      <c r="AE169" s="105"/>
      <c r="AF169" s="105">
        <f t="shared" si="51"/>
        <v>0</v>
      </c>
      <c r="AG169" s="105"/>
      <c r="AH169" s="106"/>
      <c r="AK169" s="106">
        <f t="shared" si="48"/>
        <v>0</v>
      </c>
      <c r="AL169" s="106">
        <f t="shared" si="49"/>
        <v>0</v>
      </c>
      <c r="AN169" s="85" t="s">
        <v>239</v>
      </c>
      <c r="AO169" s="85">
        <v>0.84599517397057677</v>
      </c>
      <c r="AQ169" s="107"/>
      <c r="AS169" s="108"/>
    </row>
    <row r="170" spans="1:45" x14ac:dyDescent="0.2">
      <c r="A170" s="85" t="s">
        <v>84</v>
      </c>
      <c r="B170" s="101" t="s">
        <v>88</v>
      </c>
      <c r="C170" s="86" t="s">
        <v>607</v>
      </c>
      <c r="F170" s="102">
        <f>E170</f>
        <v>0</v>
      </c>
      <c r="G170" s="102"/>
      <c r="H170" s="102"/>
      <c r="I170" s="102"/>
      <c r="J170" s="105"/>
      <c r="K170" s="105"/>
      <c r="L170" s="105"/>
      <c r="M170" s="105">
        <f t="shared" si="52"/>
        <v>0</v>
      </c>
      <c r="N170" s="105"/>
      <c r="O170" s="105"/>
      <c r="P170" s="105">
        <f t="shared" si="53"/>
        <v>0</v>
      </c>
      <c r="Q170" s="105"/>
      <c r="R170" s="105">
        <f t="shared" si="54"/>
        <v>0</v>
      </c>
      <c r="S170" s="105"/>
      <c r="T170" s="105">
        <f t="shared" si="60"/>
        <v>0</v>
      </c>
      <c r="U170" s="105"/>
      <c r="V170" s="91">
        <f t="shared" si="56"/>
        <v>0</v>
      </c>
      <c r="W170" s="105"/>
      <c r="X170" s="105">
        <f t="shared" si="57"/>
        <v>0</v>
      </c>
      <c r="Y170" s="105"/>
      <c r="Z170" s="105">
        <f t="shared" si="58"/>
        <v>0</v>
      </c>
      <c r="AA170" s="105"/>
      <c r="AB170" s="105">
        <f>$F169*AA170</f>
        <v>0</v>
      </c>
      <c r="AC170" s="105"/>
      <c r="AD170" s="105">
        <f t="shared" si="50"/>
        <v>0</v>
      </c>
      <c r="AE170" s="105"/>
      <c r="AF170" s="105">
        <f t="shared" si="51"/>
        <v>0</v>
      </c>
      <c r="AG170" s="105"/>
      <c r="AH170" s="106"/>
      <c r="AK170" s="106">
        <f t="shared" si="48"/>
        <v>0</v>
      </c>
      <c r="AL170" s="106">
        <f t="shared" si="49"/>
        <v>0</v>
      </c>
      <c r="AN170" s="85" t="s">
        <v>240</v>
      </c>
      <c r="AO170" s="85">
        <v>0.39903536977491966</v>
      </c>
      <c r="AQ170" s="107"/>
      <c r="AS170" s="108"/>
    </row>
    <row r="171" spans="1:45" x14ac:dyDescent="0.2">
      <c r="A171" s="85" t="s">
        <v>84</v>
      </c>
      <c r="C171" s="92" t="s">
        <v>608</v>
      </c>
      <c r="D171" s="92"/>
      <c r="F171" s="104">
        <f>SUM(F169:F170)</f>
        <v>0</v>
      </c>
      <c r="G171" s="104">
        <f>F171</f>
        <v>0</v>
      </c>
      <c r="H171" s="105">
        <f>VLOOKUP(A171,Data!$A$2:$Z$179,24,FALSE)</f>
        <v>27</v>
      </c>
      <c r="I171" s="105">
        <f>VLOOKUP(A171,Data!$A$2:$Z$179,25,FALSE)</f>
        <v>0.64100000000000001</v>
      </c>
      <c r="J171" s="105">
        <f>VLOOKUP(A171,Data!$A$2:$Z$179,7,FALSE)</f>
        <v>26.359000000000002</v>
      </c>
      <c r="K171" s="105">
        <f>$F171*J171</f>
        <v>0</v>
      </c>
      <c r="L171" s="105">
        <f>VLOOKUP(A171,Data!$A$2:$Z$179,8,FALSE)</f>
        <v>0</v>
      </c>
      <c r="M171" s="105">
        <f>L171*F171</f>
        <v>0</v>
      </c>
      <c r="N171" s="105">
        <f>VLOOKUP(A171,Data!$A$2:$Z$179,9,FALSE)</f>
        <v>0</v>
      </c>
      <c r="O171" s="105">
        <f>VLOOKUP(A170,Data!$A$2:$Z$179,10,FALSE)</f>
        <v>0</v>
      </c>
      <c r="P171" s="105">
        <f>O171*F171</f>
        <v>0</v>
      </c>
      <c r="Q171" s="105">
        <f>VLOOKUP(A171,Data!$A$2:$Z$179,11,FALSE)</f>
        <v>0</v>
      </c>
      <c r="R171" s="105">
        <f t="shared" si="54"/>
        <v>0</v>
      </c>
      <c r="S171" s="105">
        <f>VLOOKUP(A171,Data!$A$2:$Z$179,12,FALSE)</f>
        <v>0</v>
      </c>
      <c r="T171" s="105">
        <f>S171*F171</f>
        <v>0</v>
      </c>
      <c r="U171" s="105">
        <f>VLOOKUP(A171,Data!$A$2:$Z$179,13,FALSE)</f>
        <v>1.4047024277497223E-2</v>
      </c>
      <c r="V171" s="91">
        <f t="shared" si="56"/>
        <v>0</v>
      </c>
      <c r="W171" s="105">
        <f>VLOOKUP(A171,Data!$A$2:$Z$179,22,FALSE)</f>
        <v>0</v>
      </c>
      <c r="X171" s="105">
        <f>W171*F171</f>
        <v>0</v>
      </c>
      <c r="Y171" s="105">
        <f>VLOOKUP(A171,Data!$A$2:$Z$179,19,FALSE)</f>
        <v>0</v>
      </c>
      <c r="Z171" s="105">
        <f t="shared" si="58"/>
        <v>0</v>
      </c>
      <c r="AA171" s="105">
        <f>VLOOKUP(A171,Data!$A$2:$Z$179,20,FALSE)</f>
        <v>0</v>
      </c>
      <c r="AB171" s="105">
        <f>$F171*AA171</f>
        <v>0</v>
      </c>
      <c r="AC171" s="105">
        <f>VLOOKUP(A171,Data!$A$2:$Z$179,21,FALSE)</f>
        <v>0</v>
      </c>
      <c r="AD171" s="105">
        <f t="shared" si="50"/>
        <v>0</v>
      </c>
      <c r="AE171" s="105">
        <f>J171+L171+N171+O171+Q171+S171+U171+W171+Y171+AA171+AC171</f>
        <v>26.373047024277501</v>
      </c>
      <c r="AF171" s="105">
        <f t="shared" si="51"/>
        <v>0</v>
      </c>
      <c r="AG171" s="105"/>
      <c r="AH171" s="106">
        <f>AE171-S171-W171</f>
        <v>26.373047024277501</v>
      </c>
      <c r="AI171" s="85">
        <f>AH171/AE171</f>
        <v>1</v>
      </c>
      <c r="AK171" s="106">
        <f t="shared" si="48"/>
        <v>0</v>
      </c>
      <c r="AL171" s="106">
        <f t="shared" si="49"/>
        <v>0</v>
      </c>
      <c r="AN171" s="85" t="s">
        <v>242</v>
      </c>
      <c r="AO171" s="85">
        <v>0.78139739387640894</v>
      </c>
      <c r="AQ171" s="107"/>
      <c r="AS171" s="108"/>
    </row>
    <row r="172" spans="1:45" x14ac:dyDescent="0.2">
      <c r="C172" s="92"/>
      <c r="D172" s="92"/>
      <c r="F172" s="109"/>
      <c r="G172" s="109"/>
      <c r="H172" s="109"/>
      <c r="I172" s="109"/>
      <c r="J172" s="105"/>
      <c r="K172" s="105"/>
      <c r="L172" s="105"/>
      <c r="M172" s="105">
        <f t="shared" si="52"/>
        <v>0</v>
      </c>
      <c r="N172" s="105"/>
      <c r="O172" s="105"/>
      <c r="P172" s="105">
        <f t="shared" si="53"/>
        <v>0</v>
      </c>
      <c r="Q172" s="105"/>
      <c r="R172" s="105">
        <f t="shared" si="54"/>
        <v>0</v>
      </c>
      <c r="S172" s="105"/>
      <c r="T172" s="105">
        <f t="shared" si="60"/>
        <v>0</v>
      </c>
      <c r="U172" s="105"/>
      <c r="V172" s="91">
        <f t="shared" si="56"/>
        <v>0</v>
      </c>
      <c r="W172" s="105"/>
      <c r="X172" s="105">
        <f t="shared" si="57"/>
        <v>0</v>
      </c>
      <c r="Y172" s="105"/>
      <c r="Z172" s="105">
        <f t="shared" si="58"/>
        <v>0</v>
      </c>
      <c r="AA172" s="105"/>
      <c r="AB172" s="105">
        <f>$F171*AA172</f>
        <v>0</v>
      </c>
      <c r="AC172" s="105"/>
      <c r="AD172" s="105">
        <f t="shared" si="50"/>
        <v>0</v>
      </c>
      <c r="AE172" s="105"/>
      <c r="AF172" s="105">
        <f t="shared" si="51"/>
        <v>0</v>
      </c>
      <c r="AG172" s="105"/>
      <c r="AH172" s="106"/>
      <c r="AK172" s="106">
        <f t="shared" si="48"/>
        <v>0</v>
      </c>
      <c r="AL172" s="106">
        <f t="shared" si="49"/>
        <v>0</v>
      </c>
      <c r="AN172" s="85" t="s">
        <v>243</v>
      </c>
      <c r="AO172" s="85">
        <v>0.54420784919962095</v>
      </c>
      <c r="AQ172" s="107"/>
      <c r="AS172" s="108"/>
    </row>
    <row r="173" spans="1:45" x14ac:dyDescent="0.2">
      <c r="A173" s="85" t="s">
        <v>85</v>
      </c>
      <c r="B173" s="101" t="s">
        <v>81</v>
      </c>
      <c r="C173" s="86" t="s">
        <v>609</v>
      </c>
      <c r="F173" s="102">
        <f>E173</f>
        <v>0</v>
      </c>
      <c r="G173" s="103"/>
      <c r="H173" s="103"/>
      <c r="I173" s="103"/>
      <c r="J173" s="105"/>
      <c r="K173" s="105"/>
      <c r="L173" s="105"/>
      <c r="M173" s="105">
        <f t="shared" si="52"/>
        <v>0</v>
      </c>
      <c r="N173" s="105"/>
      <c r="O173" s="105"/>
      <c r="P173" s="105">
        <f t="shared" si="53"/>
        <v>0</v>
      </c>
      <c r="Q173" s="105"/>
      <c r="R173" s="105">
        <f t="shared" si="54"/>
        <v>0</v>
      </c>
      <c r="S173" s="105"/>
      <c r="T173" s="105">
        <f t="shared" si="60"/>
        <v>0</v>
      </c>
      <c r="U173" s="105"/>
      <c r="V173" s="91">
        <f t="shared" si="56"/>
        <v>0</v>
      </c>
      <c r="W173" s="105"/>
      <c r="X173" s="105">
        <f t="shared" si="57"/>
        <v>0</v>
      </c>
      <c r="Y173" s="105"/>
      <c r="Z173" s="105">
        <f t="shared" si="58"/>
        <v>0</v>
      </c>
      <c r="AA173" s="105"/>
      <c r="AB173" s="105">
        <f>$F172*AA173</f>
        <v>0</v>
      </c>
      <c r="AC173" s="105"/>
      <c r="AD173" s="105">
        <f t="shared" si="50"/>
        <v>0</v>
      </c>
      <c r="AE173" s="105"/>
      <c r="AF173" s="105">
        <f t="shared" si="51"/>
        <v>0</v>
      </c>
      <c r="AG173" s="105"/>
      <c r="AH173" s="106"/>
      <c r="AK173" s="106">
        <f t="shared" si="48"/>
        <v>0</v>
      </c>
      <c r="AL173" s="106">
        <f t="shared" si="49"/>
        <v>0</v>
      </c>
      <c r="AN173" s="85" t="s">
        <v>244</v>
      </c>
      <c r="AO173" s="85">
        <v>0.55527546249237647</v>
      </c>
      <c r="AQ173" s="107"/>
      <c r="AS173" s="108"/>
    </row>
    <row r="174" spans="1:45" x14ac:dyDescent="0.2">
      <c r="A174" s="85" t="s">
        <v>85</v>
      </c>
      <c r="B174" s="101"/>
      <c r="C174" s="92" t="s">
        <v>610</v>
      </c>
      <c r="D174" s="92"/>
      <c r="F174" s="104">
        <f>SUM(F173)</f>
        <v>0</v>
      </c>
      <c r="G174" s="104">
        <f>F174</f>
        <v>0</v>
      </c>
      <c r="H174" s="105">
        <f>VLOOKUP(A174,Data!$A$2:$Z$179,24,FALSE)</f>
        <v>24.431000000000001</v>
      </c>
      <c r="I174" s="105">
        <f>VLOOKUP(A174,Data!$A$2:$Z$179,25,FALSE)</f>
        <v>2.835</v>
      </c>
      <c r="J174" s="105">
        <f>VLOOKUP(A174,Data!$A$2:$Z$179,7,FALSE)</f>
        <v>21.596</v>
      </c>
      <c r="K174" s="105">
        <f>$F174*J174</f>
        <v>0</v>
      </c>
      <c r="L174" s="105">
        <f>VLOOKUP(A174,Data!$A$2:$Z$179,8,FALSE)</f>
        <v>0</v>
      </c>
      <c r="M174" s="105">
        <f>L174*F174</f>
        <v>0</v>
      </c>
      <c r="N174" s="105">
        <f>VLOOKUP(A174,Data!$A$2:$Z$179,9,FALSE)</f>
        <v>0</v>
      </c>
      <c r="O174" s="105">
        <f>VLOOKUP(A173,Data!$A$2:$Z$179,10,FALSE)</f>
        <v>0</v>
      </c>
      <c r="P174" s="105">
        <f>O174*F174</f>
        <v>0</v>
      </c>
      <c r="Q174" s="105">
        <f>VLOOKUP(A174,Data!$A$2:$Z$179,11,FALSE)</f>
        <v>0</v>
      </c>
      <c r="R174" s="105">
        <f t="shared" si="54"/>
        <v>0</v>
      </c>
      <c r="S174" s="105">
        <f>VLOOKUP(A174,Data!$A$2:$Z$179,12,FALSE)</f>
        <v>0</v>
      </c>
      <c r="T174" s="105">
        <f>S174*F174</f>
        <v>0</v>
      </c>
      <c r="U174" s="105">
        <f>VLOOKUP(A174,Data!$A$2:$Z$179,13,FALSE)</f>
        <v>4.173339285281066E-3</v>
      </c>
      <c r="V174" s="91">
        <f t="shared" si="56"/>
        <v>0</v>
      </c>
      <c r="W174" s="105">
        <f>VLOOKUP(A174,Data!$A$2:$Z$179,22,FALSE)</f>
        <v>0</v>
      </c>
      <c r="X174" s="105">
        <f>W174*F174</f>
        <v>0</v>
      </c>
      <c r="Y174" s="105">
        <f>VLOOKUP(A174,Data!$A$2:$Z$179,19,FALSE)</f>
        <v>0</v>
      </c>
      <c r="Z174" s="105">
        <f t="shared" si="58"/>
        <v>0</v>
      </c>
      <c r="AA174" s="105">
        <f>VLOOKUP(A174,Data!$A$2:$Z$179,20,FALSE)</f>
        <v>0</v>
      </c>
      <c r="AB174" s="105">
        <f t="shared" ref="AB174:AB179" si="62">$F174*AA174</f>
        <v>0</v>
      </c>
      <c r="AC174" s="105">
        <f>VLOOKUP(A174,Data!$A$2:$Z$179,21,FALSE)</f>
        <v>0</v>
      </c>
      <c r="AD174" s="105">
        <f t="shared" si="50"/>
        <v>0</v>
      </c>
      <c r="AE174" s="105">
        <f>J174+L174+N174+O174+Q174+S174+U174+W174+Y174+AA174+AC174</f>
        <v>21.600173339285281</v>
      </c>
      <c r="AF174" s="105">
        <f t="shared" si="51"/>
        <v>0</v>
      </c>
      <c r="AG174" s="105"/>
      <c r="AH174" s="106">
        <f>AE174-S174-W174</f>
        <v>21.600173339285281</v>
      </c>
      <c r="AI174" s="85">
        <f>AH174/AE174</f>
        <v>1</v>
      </c>
      <c r="AK174" s="106">
        <f t="shared" si="48"/>
        <v>0</v>
      </c>
      <c r="AL174" s="106">
        <f t="shared" si="49"/>
        <v>0</v>
      </c>
      <c r="AN174" s="85" t="s">
        <v>245</v>
      </c>
      <c r="AO174" s="85">
        <v>0.75543125810635536</v>
      </c>
      <c r="AQ174" s="107"/>
      <c r="AS174" s="108"/>
    </row>
    <row r="175" spans="1:45" x14ac:dyDescent="0.2">
      <c r="B175" s="101"/>
      <c r="C175" s="92"/>
      <c r="D175" s="92"/>
      <c r="F175" s="109"/>
      <c r="G175" s="109"/>
      <c r="H175" s="109"/>
      <c r="I175" s="109"/>
      <c r="J175" s="105"/>
      <c r="K175" s="105"/>
      <c r="L175" s="105"/>
      <c r="M175" s="105">
        <f t="shared" si="52"/>
        <v>0</v>
      </c>
      <c r="N175" s="105"/>
      <c r="O175" s="105"/>
      <c r="P175" s="105">
        <f t="shared" si="53"/>
        <v>0</v>
      </c>
      <c r="Q175" s="105"/>
      <c r="R175" s="105">
        <f t="shared" si="54"/>
        <v>0</v>
      </c>
      <c r="S175" s="105"/>
      <c r="T175" s="105">
        <f t="shared" si="60"/>
        <v>0</v>
      </c>
      <c r="U175" s="105"/>
      <c r="V175" s="91">
        <f t="shared" si="56"/>
        <v>0</v>
      </c>
      <c r="W175" s="105"/>
      <c r="X175" s="105">
        <f t="shared" si="57"/>
        <v>0</v>
      </c>
      <c r="Y175" s="105"/>
      <c r="Z175" s="105">
        <f t="shared" si="58"/>
        <v>0</v>
      </c>
      <c r="AA175" s="105"/>
      <c r="AB175" s="105">
        <f t="shared" si="62"/>
        <v>0</v>
      </c>
      <c r="AC175" s="105"/>
      <c r="AD175" s="105">
        <f t="shared" si="50"/>
        <v>0</v>
      </c>
      <c r="AE175" s="105"/>
      <c r="AF175" s="105">
        <f t="shared" si="51"/>
        <v>0</v>
      </c>
      <c r="AG175" s="105"/>
      <c r="AH175" s="106"/>
      <c r="AK175" s="106">
        <f t="shared" si="48"/>
        <v>0</v>
      </c>
      <c r="AL175" s="106">
        <f t="shared" si="49"/>
        <v>0</v>
      </c>
      <c r="AN175" s="85" t="s">
        <v>246</v>
      </c>
      <c r="AO175" s="85">
        <v>0.59459104058911205</v>
      </c>
      <c r="AQ175" s="107"/>
      <c r="AS175" s="108"/>
    </row>
    <row r="176" spans="1:45" x14ac:dyDescent="0.2">
      <c r="A176" s="85" t="s">
        <v>86</v>
      </c>
      <c r="B176" s="101" t="s">
        <v>81</v>
      </c>
      <c r="C176" s="86" t="s">
        <v>611</v>
      </c>
      <c r="F176" s="102">
        <f>E176</f>
        <v>0</v>
      </c>
      <c r="G176" s="103"/>
      <c r="H176" s="103"/>
      <c r="I176" s="103"/>
      <c r="J176" s="105"/>
      <c r="K176" s="105"/>
      <c r="L176" s="105"/>
      <c r="M176" s="105">
        <f t="shared" si="52"/>
        <v>0</v>
      </c>
      <c r="N176" s="105"/>
      <c r="O176" s="105"/>
      <c r="P176" s="105">
        <f t="shared" si="53"/>
        <v>0</v>
      </c>
      <c r="Q176" s="105"/>
      <c r="R176" s="105">
        <f t="shared" si="54"/>
        <v>0</v>
      </c>
      <c r="S176" s="105"/>
      <c r="T176" s="105">
        <f t="shared" si="60"/>
        <v>0</v>
      </c>
      <c r="U176" s="105"/>
      <c r="V176" s="91">
        <f t="shared" si="56"/>
        <v>0</v>
      </c>
      <c r="W176" s="105"/>
      <c r="X176" s="105">
        <f t="shared" si="57"/>
        <v>0</v>
      </c>
      <c r="Y176" s="105"/>
      <c r="Z176" s="105">
        <f t="shared" si="58"/>
        <v>0</v>
      </c>
      <c r="AA176" s="105"/>
      <c r="AB176" s="105">
        <f t="shared" si="62"/>
        <v>0</v>
      </c>
      <c r="AC176" s="105"/>
      <c r="AD176" s="105">
        <f t="shared" si="50"/>
        <v>0</v>
      </c>
      <c r="AE176" s="105"/>
      <c r="AF176" s="105">
        <f t="shared" si="51"/>
        <v>0</v>
      </c>
      <c r="AG176" s="105"/>
      <c r="AH176" s="106"/>
      <c r="AK176" s="106">
        <f t="shared" si="48"/>
        <v>0</v>
      </c>
      <c r="AL176" s="106">
        <f t="shared" si="49"/>
        <v>0</v>
      </c>
      <c r="AN176" s="85" t="s">
        <v>247</v>
      </c>
      <c r="AO176" s="85">
        <v>0.53025747040030058</v>
      </c>
      <c r="AQ176" s="107"/>
      <c r="AS176" s="108"/>
    </row>
    <row r="177" spans="1:45" x14ac:dyDescent="0.2">
      <c r="A177" s="85" t="s">
        <v>86</v>
      </c>
      <c r="C177" s="92" t="s">
        <v>612</v>
      </c>
      <c r="D177" s="92"/>
      <c r="F177" s="104">
        <f>SUM(F176)</f>
        <v>0</v>
      </c>
      <c r="G177" s="104">
        <f>F177</f>
        <v>0</v>
      </c>
      <c r="H177" s="105">
        <f>VLOOKUP(A177,Data!$A$2:$Z$179,24,FALSE)</f>
        <v>27</v>
      </c>
      <c r="I177" s="105">
        <f>VLOOKUP(A177,Data!$A$2:$Z$179,25,FALSE)</f>
        <v>9.202</v>
      </c>
      <c r="J177" s="105">
        <f>VLOOKUP(A177,Data!$A$2:$Z$179,7,FALSE)</f>
        <v>17.797999999999998</v>
      </c>
      <c r="K177" s="105">
        <f>$F177*J177</f>
        <v>0</v>
      </c>
      <c r="L177" s="105">
        <f>VLOOKUP(A177,Data!$A$2:$Z$179,8,FALSE)</f>
        <v>0</v>
      </c>
      <c r="M177" s="105">
        <f>L177*F177</f>
        <v>0</v>
      </c>
      <c r="N177" s="105">
        <f>VLOOKUP(A177,Data!$A$2:$Z$179,9,FALSE)</f>
        <v>0</v>
      </c>
      <c r="O177" s="105">
        <f>VLOOKUP(A176,Data!$A$2:$Z$179,10,FALSE)</f>
        <v>0</v>
      </c>
      <c r="P177" s="105">
        <f>O177*F177</f>
        <v>0</v>
      </c>
      <c r="Q177" s="105">
        <f>VLOOKUP(A177,Data!$A$2:$Z$179,11,FALSE)</f>
        <v>0</v>
      </c>
      <c r="R177" s="105">
        <f t="shared" si="54"/>
        <v>0</v>
      </c>
      <c r="S177" s="105">
        <f>VLOOKUP(A177,Data!$A$2:$Z$179,12,FALSE)</f>
        <v>0</v>
      </c>
      <c r="T177" s="105">
        <f>S177*F177</f>
        <v>0</v>
      </c>
      <c r="U177" s="105">
        <f>VLOOKUP(A177,Data!$A$2:$Z$179,13,FALSE)</f>
        <v>3.4450004461458177E-2</v>
      </c>
      <c r="V177" s="91">
        <f t="shared" si="56"/>
        <v>0</v>
      </c>
      <c r="W177" s="105">
        <f>VLOOKUP(A177,Data!$A$2:$Z$179,22,FALSE)</f>
        <v>0</v>
      </c>
      <c r="X177" s="105">
        <f>W177*F177</f>
        <v>0</v>
      </c>
      <c r="Y177" s="105">
        <f>VLOOKUP(A177,Data!$A$2:$Z$179,19,FALSE)</f>
        <v>0</v>
      </c>
      <c r="Z177" s="105">
        <f t="shared" si="58"/>
        <v>0</v>
      </c>
      <c r="AA177" s="105">
        <f>VLOOKUP(A177,Data!$A$2:$Z$179,20,FALSE)</f>
        <v>0</v>
      </c>
      <c r="AB177" s="105">
        <f t="shared" si="62"/>
        <v>0</v>
      </c>
      <c r="AC177" s="105">
        <f>VLOOKUP(A177,Data!$A$2:$Z$179,21,FALSE)</f>
        <v>0</v>
      </c>
      <c r="AD177" s="105">
        <f t="shared" si="50"/>
        <v>0</v>
      </c>
      <c r="AE177" s="105">
        <f>J177+L177+N177+O177+Q177+S177+U177+W177+Y177+AA177+AC177</f>
        <v>17.832450004461457</v>
      </c>
      <c r="AF177" s="105">
        <f t="shared" si="51"/>
        <v>0</v>
      </c>
      <c r="AG177" s="105"/>
      <c r="AH177" s="106">
        <f>AE177-S177-W177</f>
        <v>17.832450004461457</v>
      </c>
      <c r="AI177" s="85">
        <f>AH177/AE177</f>
        <v>1</v>
      </c>
      <c r="AK177" s="106">
        <f t="shared" si="48"/>
        <v>0</v>
      </c>
      <c r="AL177" s="106">
        <f t="shared" si="49"/>
        <v>0</v>
      </c>
      <c r="AN177" s="85" t="s">
        <v>248</v>
      </c>
      <c r="AO177" s="85">
        <v>0.55192811342906167</v>
      </c>
      <c r="AQ177" s="107"/>
      <c r="AS177" s="108"/>
    </row>
    <row r="178" spans="1:45" x14ac:dyDescent="0.2">
      <c r="C178" s="92"/>
      <c r="D178" s="92"/>
      <c r="F178" s="109"/>
      <c r="G178" s="109"/>
      <c r="H178" s="109"/>
      <c r="I178" s="109"/>
      <c r="J178" s="105"/>
      <c r="K178" s="105"/>
      <c r="L178" s="105"/>
      <c r="M178" s="105">
        <f t="shared" ref="M178:M208" si="63">L178*F178</f>
        <v>0</v>
      </c>
      <c r="N178" s="105"/>
      <c r="O178" s="105"/>
      <c r="P178" s="105">
        <f t="shared" ref="P178:P208" si="64">O178*F178</f>
        <v>0</v>
      </c>
      <c r="Q178" s="105"/>
      <c r="R178" s="105">
        <f t="shared" si="54"/>
        <v>0</v>
      </c>
      <c r="S178" s="105"/>
      <c r="T178" s="105">
        <f t="shared" si="60"/>
        <v>0</v>
      </c>
      <c r="U178" s="105"/>
      <c r="V178" s="91">
        <f t="shared" si="56"/>
        <v>0</v>
      </c>
      <c r="W178" s="105"/>
      <c r="X178" s="105">
        <f t="shared" ref="X178:X208" si="65">W178*F178</f>
        <v>0</v>
      </c>
      <c r="Y178" s="105"/>
      <c r="Z178" s="105">
        <f t="shared" si="58"/>
        <v>0</v>
      </c>
      <c r="AA178" s="105"/>
      <c r="AB178" s="105">
        <f t="shared" si="62"/>
        <v>0</v>
      </c>
      <c r="AC178" s="105"/>
      <c r="AD178" s="105">
        <f t="shared" si="50"/>
        <v>0</v>
      </c>
      <c r="AE178" s="105"/>
      <c r="AF178" s="105">
        <f t="shared" si="51"/>
        <v>0</v>
      </c>
      <c r="AG178" s="105"/>
      <c r="AH178" s="106"/>
      <c r="AK178" s="106">
        <f t="shared" si="48"/>
        <v>0</v>
      </c>
      <c r="AL178" s="106">
        <f t="shared" si="49"/>
        <v>0</v>
      </c>
      <c r="AN178" s="85" t="s">
        <v>249</v>
      </c>
      <c r="AO178" s="85">
        <v>0.62110020945871458</v>
      </c>
      <c r="AQ178" s="107"/>
      <c r="AS178" s="108"/>
    </row>
    <row r="179" spans="1:45" x14ac:dyDescent="0.2">
      <c r="A179" s="112" t="s">
        <v>87</v>
      </c>
      <c r="B179" s="101" t="s">
        <v>88</v>
      </c>
      <c r="C179" s="113" t="s">
        <v>613</v>
      </c>
      <c r="F179" s="102">
        <f>E179</f>
        <v>0</v>
      </c>
      <c r="G179" s="102"/>
      <c r="H179" s="102"/>
      <c r="I179" s="102"/>
      <c r="J179" s="105"/>
      <c r="K179" s="105"/>
      <c r="L179" s="105"/>
      <c r="M179" s="105">
        <f t="shared" si="63"/>
        <v>0</v>
      </c>
      <c r="N179" s="105"/>
      <c r="O179" s="105"/>
      <c r="P179" s="105">
        <f t="shared" si="64"/>
        <v>0</v>
      </c>
      <c r="Q179" s="105"/>
      <c r="R179" s="105">
        <f t="shared" si="54"/>
        <v>0</v>
      </c>
      <c r="S179" s="105"/>
      <c r="T179" s="105">
        <f t="shared" si="60"/>
        <v>0</v>
      </c>
      <c r="U179" s="105"/>
      <c r="V179" s="91">
        <f t="shared" si="56"/>
        <v>0</v>
      </c>
      <c r="W179" s="105"/>
      <c r="X179" s="105">
        <f t="shared" si="65"/>
        <v>0</v>
      </c>
      <c r="Y179" s="105"/>
      <c r="Z179" s="105">
        <f t="shared" si="58"/>
        <v>0</v>
      </c>
      <c r="AA179" s="105"/>
      <c r="AB179" s="105">
        <f t="shared" si="62"/>
        <v>0</v>
      </c>
      <c r="AC179" s="105"/>
      <c r="AD179" s="105">
        <f t="shared" si="50"/>
        <v>0</v>
      </c>
      <c r="AE179" s="105"/>
      <c r="AF179" s="105">
        <f t="shared" si="51"/>
        <v>0</v>
      </c>
      <c r="AG179" s="105"/>
      <c r="AH179" s="106"/>
      <c r="AK179" s="106">
        <f t="shared" si="48"/>
        <v>0</v>
      </c>
      <c r="AL179" s="106">
        <f t="shared" si="49"/>
        <v>0</v>
      </c>
      <c r="AN179" s="85" t="s">
        <v>250</v>
      </c>
      <c r="AO179" s="85">
        <v>0.76161377225836124</v>
      </c>
      <c r="AQ179" s="107"/>
      <c r="AR179" s="112"/>
      <c r="AS179" s="108"/>
    </row>
    <row r="180" spans="1:45" x14ac:dyDescent="0.2">
      <c r="A180" s="112" t="s">
        <v>87</v>
      </c>
      <c r="B180" s="101" t="s">
        <v>81</v>
      </c>
      <c r="C180" s="113" t="s">
        <v>613</v>
      </c>
      <c r="F180" s="102">
        <f>E180</f>
        <v>0</v>
      </c>
      <c r="G180" s="102"/>
      <c r="H180" s="102"/>
      <c r="I180" s="102"/>
      <c r="J180" s="105"/>
      <c r="K180" s="105"/>
      <c r="L180" s="105"/>
      <c r="M180" s="105">
        <f t="shared" si="63"/>
        <v>0</v>
      </c>
      <c r="N180" s="105"/>
      <c r="O180" s="105"/>
      <c r="P180" s="105">
        <f t="shared" si="64"/>
        <v>0</v>
      </c>
      <c r="Q180" s="105"/>
      <c r="R180" s="105">
        <f t="shared" si="54"/>
        <v>0</v>
      </c>
      <c r="S180" s="105"/>
      <c r="T180" s="105">
        <f t="shared" si="60"/>
        <v>0</v>
      </c>
      <c r="U180" s="105"/>
      <c r="V180" s="91">
        <f t="shared" si="56"/>
        <v>0</v>
      </c>
      <c r="W180" s="105"/>
      <c r="X180" s="105">
        <f t="shared" si="65"/>
        <v>0</v>
      </c>
      <c r="Y180" s="105"/>
      <c r="Z180" s="105">
        <f t="shared" si="58"/>
        <v>0</v>
      </c>
      <c r="AA180" s="105"/>
      <c r="AB180" s="105">
        <f>$F179*AA180</f>
        <v>0</v>
      </c>
      <c r="AC180" s="105"/>
      <c r="AD180" s="105">
        <f t="shared" si="50"/>
        <v>0</v>
      </c>
      <c r="AE180" s="105"/>
      <c r="AF180" s="105">
        <f t="shared" si="51"/>
        <v>0</v>
      </c>
      <c r="AG180" s="105"/>
      <c r="AH180" s="106"/>
      <c r="AK180" s="106">
        <f t="shared" si="48"/>
        <v>0</v>
      </c>
      <c r="AL180" s="106">
        <f t="shared" si="49"/>
        <v>0</v>
      </c>
      <c r="AN180" s="85" t="s">
        <v>251</v>
      </c>
      <c r="AO180" s="85">
        <v>0.79340117175454827</v>
      </c>
      <c r="AQ180" s="107"/>
      <c r="AR180" s="112"/>
      <c r="AS180" s="108"/>
    </row>
    <row r="181" spans="1:45" x14ac:dyDescent="0.2">
      <c r="A181" s="112" t="s">
        <v>87</v>
      </c>
      <c r="C181" s="92" t="s">
        <v>614</v>
      </c>
      <c r="D181" s="92"/>
      <c r="F181" s="104">
        <f>SUM(F179:F180)</f>
        <v>0</v>
      </c>
      <c r="G181" s="104">
        <f>F181</f>
        <v>0</v>
      </c>
      <c r="H181" s="105">
        <f>VLOOKUP(A181,Data!$A$2:$Z$179,24,FALSE)</f>
        <v>27</v>
      </c>
      <c r="I181" s="105">
        <f>VLOOKUP(A181,Data!$A$2:$Z$179,25,FALSE)</f>
        <v>0</v>
      </c>
      <c r="J181" s="105">
        <f>VLOOKUP(A181,Data!$A$2:$Z$179,7,FALSE)</f>
        <v>27</v>
      </c>
      <c r="K181" s="105">
        <f>$F181*J181</f>
        <v>0</v>
      </c>
      <c r="L181" s="105">
        <f>VLOOKUP(A181,Data!$A$2:$Z$179,8,FALSE)</f>
        <v>0</v>
      </c>
      <c r="M181" s="105">
        <f>L181*F181</f>
        <v>0</v>
      </c>
      <c r="N181" s="105">
        <f>VLOOKUP(A181,Data!$A$2:$Z$179,9,FALSE)</f>
        <v>0</v>
      </c>
      <c r="O181" s="105">
        <f>VLOOKUP(A180,Data!$A$2:$Z$179,10,FALSE)</f>
        <v>0</v>
      </c>
      <c r="P181" s="105">
        <f>O181*F181</f>
        <v>0</v>
      </c>
      <c r="Q181" s="105">
        <f>VLOOKUP(A181,Data!$A$2:$Z$179,11,FALSE)</f>
        <v>0</v>
      </c>
      <c r="R181" s="105">
        <f t="shared" si="54"/>
        <v>0</v>
      </c>
      <c r="S181" s="105">
        <f>VLOOKUP(A181,Data!$A$2:$Z$179,12,FALSE)</f>
        <v>0</v>
      </c>
      <c r="T181" s="105">
        <f>S181*F181</f>
        <v>0</v>
      </c>
      <c r="U181" s="105">
        <f>VLOOKUP(A181,Data!$A$2:$Z$179,13,FALSE)</f>
        <v>0.342043429314634</v>
      </c>
      <c r="V181" s="91">
        <f t="shared" si="56"/>
        <v>0</v>
      </c>
      <c r="W181" s="105">
        <f>VLOOKUP(A181,Data!$A$2:$Z$179,22,FALSE)</f>
        <v>0</v>
      </c>
      <c r="X181" s="105">
        <f>W181*F181</f>
        <v>0</v>
      </c>
      <c r="Y181" s="105">
        <f>VLOOKUP(A181,Data!$A$2:$Z$179,19,FALSE)</f>
        <v>0</v>
      </c>
      <c r="Z181" s="105">
        <f t="shared" si="58"/>
        <v>0</v>
      </c>
      <c r="AA181" s="105">
        <f>VLOOKUP(A181,Data!$A$2:$Z$179,20,FALSE)</f>
        <v>0</v>
      </c>
      <c r="AB181" s="105">
        <f>$F181*AA181</f>
        <v>0</v>
      </c>
      <c r="AC181" s="105">
        <f>VLOOKUP(A181,Data!$A$2:$Z$179,21,FALSE)</f>
        <v>0</v>
      </c>
      <c r="AD181" s="105">
        <f t="shared" si="50"/>
        <v>0</v>
      </c>
      <c r="AE181" s="105">
        <f>J181+L181+N181+O181+Q181+S181+U181+W181+Y181+AA181+AC181</f>
        <v>27.342043429314636</v>
      </c>
      <c r="AF181" s="105">
        <f t="shared" si="51"/>
        <v>0</v>
      </c>
      <c r="AG181" s="105"/>
      <c r="AH181" s="106">
        <f>AE181-S181-W181</f>
        <v>27.342043429314636</v>
      </c>
      <c r="AI181" s="85">
        <f>AH181/AE181</f>
        <v>1</v>
      </c>
      <c r="AK181" s="106">
        <f t="shared" si="48"/>
        <v>0</v>
      </c>
      <c r="AL181" s="106">
        <f t="shared" si="49"/>
        <v>0</v>
      </c>
      <c r="AN181" s="85" t="s">
        <v>252</v>
      </c>
      <c r="AO181" s="85">
        <v>0.40773102858771004</v>
      </c>
      <c r="AQ181" s="107"/>
      <c r="AS181" s="108"/>
    </row>
    <row r="182" spans="1:45" x14ac:dyDescent="0.2">
      <c r="C182" s="92"/>
      <c r="D182" s="92"/>
      <c r="F182" s="109"/>
      <c r="G182" s="109"/>
      <c r="H182" s="109"/>
      <c r="I182" s="109"/>
      <c r="J182" s="105"/>
      <c r="K182" s="105"/>
      <c r="L182" s="105"/>
      <c r="M182" s="105">
        <f t="shared" si="63"/>
        <v>0</v>
      </c>
      <c r="N182" s="105"/>
      <c r="O182" s="105"/>
      <c r="P182" s="105">
        <f t="shared" si="64"/>
        <v>0</v>
      </c>
      <c r="Q182" s="105"/>
      <c r="R182" s="105">
        <f t="shared" si="54"/>
        <v>0</v>
      </c>
      <c r="S182" s="105"/>
      <c r="T182" s="105">
        <f t="shared" si="60"/>
        <v>0</v>
      </c>
      <c r="U182" s="105"/>
      <c r="V182" s="91">
        <f t="shared" si="56"/>
        <v>0</v>
      </c>
      <c r="W182" s="105"/>
      <c r="X182" s="105">
        <f t="shared" si="65"/>
        <v>0</v>
      </c>
      <c r="Y182" s="105"/>
      <c r="Z182" s="105">
        <f t="shared" si="58"/>
        <v>0</v>
      </c>
      <c r="AA182" s="105"/>
      <c r="AB182" s="105">
        <f>$F181*AA182</f>
        <v>0</v>
      </c>
      <c r="AC182" s="105"/>
      <c r="AD182" s="105">
        <f t="shared" si="50"/>
        <v>0</v>
      </c>
      <c r="AE182" s="105"/>
      <c r="AF182" s="105">
        <f t="shared" si="51"/>
        <v>0</v>
      </c>
      <c r="AG182" s="105"/>
      <c r="AH182" s="106"/>
      <c r="AK182" s="106">
        <f t="shared" si="48"/>
        <v>0</v>
      </c>
      <c r="AL182" s="106">
        <f t="shared" si="49"/>
        <v>0</v>
      </c>
      <c r="AN182" s="85" t="s">
        <v>253</v>
      </c>
      <c r="AO182" s="85">
        <v>0.54743570685298049</v>
      </c>
      <c r="AQ182" s="107"/>
      <c r="AS182" s="108"/>
    </row>
    <row r="183" spans="1:45" x14ac:dyDescent="0.2">
      <c r="A183" s="85" t="s">
        <v>89</v>
      </c>
      <c r="B183" s="101" t="s">
        <v>88</v>
      </c>
      <c r="C183" s="86" t="s">
        <v>615</v>
      </c>
      <c r="F183" s="102">
        <f>E183</f>
        <v>0</v>
      </c>
      <c r="G183" s="103"/>
      <c r="H183" s="103"/>
      <c r="I183" s="103"/>
      <c r="J183" s="105"/>
      <c r="K183" s="105"/>
      <c r="L183" s="105"/>
      <c r="M183" s="105">
        <f t="shared" si="63"/>
        <v>0</v>
      </c>
      <c r="N183" s="105"/>
      <c r="O183" s="105"/>
      <c r="P183" s="105">
        <f t="shared" si="64"/>
        <v>0</v>
      </c>
      <c r="Q183" s="105"/>
      <c r="R183" s="105">
        <f t="shared" si="54"/>
        <v>0</v>
      </c>
      <c r="S183" s="105"/>
      <c r="T183" s="105">
        <f t="shared" si="60"/>
        <v>0</v>
      </c>
      <c r="U183" s="105"/>
      <c r="V183" s="91">
        <f t="shared" si="56"/>
        <v>0</v>
      </c>
      <c r="W183" s="105"/>
      <c r="X183" s="105">
        <f t="shared" si="65"/>
        <v>0</v>
      </c>
      <c r="Y183" s="105"/>
      <c r="Z183" s="105">
        <f t="shared" si="58"/>
        <v>0</v>
      </c>
      <c r="AA183" s="105"/>
      <c r="AB183" s="105">
        <f>$F182*AA183</f>
        <v>0</v>
      </c>
      <c r="AC183" s="105"/>
      <c r="AD183" s="105">
        <f t="shared" si="50"/>
        <v>0</v>
      </c>
      <c r="AE183" s="105"/>
      <c r="AF183" s="105">
        <f t="shared" si="51"/>
        <v>0</v>
      </c>
      <c r="AG183" s="105"/>
      <c r="AH183" s="106"/>
      <c r="AK183" s="106">
        <f t="shared" si="48"/>
        <v>0</v>
      </c>
      <c r="AL183" s="106">
        <f t="shared" si="49"/>
        <v>0</v>
      </c>
      <c r="AN183" s="85" t="s">
        <v>256</v>
      </c>
      <c r="AO183" s="85">
        <v>0.43676580138674009</v>
      </c>
      <c r="AQ183" s="107"/>
      <c r="AS183" s="108"/>
    </row>
    <row r="184" spans="1:45" x14ac:dyDescent="0.2">
      <c r="A184" s="85" t="s">
        <v>89</v>
      </c>
      <c r="B184" s="101"/>
      <c r="C184" s="92" t="s">
        <v>616</v>
      </c>
      <c r="D184" s="92"/>
      <c r="F184" s="104">
        <f>SUM(F183)</f>
        <v>0</v>
      </c>
      <c r="G184" s="104">
        <f>F184</f>
        <v>0</v>
      </c>
      <c r="H184" s="105">
        <f>VLOOKUP(A184,Data!$A$2:$Z$179,24,FALSE)</f>
        <v>15.72</v>
      </c>
      <c r="I184" s="105">
        <f>VLOOKUP(A184,Data!$A$2:$Z$179,25,FALSE)</f>
        <v>0</v>
      </c>
      <c r="J184" s="105">
        <f>VLOOKUP(A184,Data!$A$2:$Z$179,7,FALSE)</f>
        <v>15.72</v>
      </c>
      <c r="K184" s="105">
        <f>$F184*J184</f>
        <v>0</v>
      </c>
      <c r="L184" s="105">
        <f>VLOOKUP(A184,Data!$A$2:$Z$179,8,FALSE)</f>
        <v>0</v>
      </c>
      <c r="M184" s="105">
        <f>L184*F184</f>
        <v>0</v>
      </c>
      <c r="N184" s="105">
        <f>VLOOKUP(A184,Data!$A$2:$Z$179,9,FALSE)</f>
        <v>0</v>
      </c>
      <c r="O184" s="105">
        <f>VLOOKUP(A183,Data!$A$2:$Z$179,10,FALSE)</f>
        <v>0</v>
      </c>
      <c r="P184" s="105">
        <f>O184*F184</f>
        <v>0</v>
      </c>
      <c r="Q184" s="105">
        <f>VLOOKUP(A184,Data!$A$2:$Z$179,11,FALSE)</f>
        <v>0</v>
      </c>
      <c r="R184" s="105">
        <f t="shared" si="54"/>
        <v>0</v>
      </c>
      <c r="S184" s="105">
        <f>VLOOKUP(A184,Data!$A$2:$Z$179,12,FALSE)</f>
        <v>7.0179999999999998</v>
      </c>
      <c r="T184" s="105">
        <f>S184*F184</f>
        <v>0</v>
      </c>
      <c r="U184" s="105">
        <f>VLOOKUP(A184,Data!$A$2:$Z$179,13,FALSE)</f>
        <v>0.52749106108494492</v>
      </c>
      <c r="V184" s="91">
        <f t="shared" si="56"/>
        <v>0</v>
      </c>
      <c r="W184" s="105">
        <f>VLOOKUP(A184,Data!$A$2:$Z$179,22,FALSE)</f>
        <v>0</v>
      </c>
      <c r="X184" s="105">
        <f>W184*F184</f>
        <v>0</v>
      </c>
      <c r="Y184" s="105">
        <f>VLOOKUP(A184,Data!$A$2:$Z$179,19,FALSE)</f>
        <v>0</v>
      </c>
      <c r="Z184" s="105">
        <f t="shared" si="58"/>
        <v>0</v>
      </c>
      <c r="AA184" s="105">
        <f>VLOOKUP(A184,Data!$A$2:$Z$179,20,FALSE)</f>
        <v>0</v>
      </c>
      <c r="AB184" s="105">
        <f>$F184*AA184</f>
        <v>0</v>
      </c>
      <c r="AC184" s="105">
        <f>VLOOKUP(A184,Data!$A$2:$Z$179,21,FALSE)</f>
        <v>0</v>
      </c>
      <c r="AD184" s="105">
        <f t="shared" si="50"/>
        <v>0</v>
      </c>
      <c r="AE184" s="105">
        <f>J184+L184+N184+O184+Q184+S184+U184+W184+Y184+AA184+AC184</f>
        <v>23.265491061084944</v>
      </c>
      <c r="AF184" s="105">
        <f t="shared" si="51"/>
        <v>0</v>
      </c>
      <c r="AG184" s="105"/>
      <c r="AH184" s="106">
        <f>AE184-S184-W184</f>
        <v>16.247491061084943</v>
      </c>
      <c r="AI184" s="85">
        <f>AH184/AE184</f>
        <v>0.69835152064601513</v>
      </c>
      <c r="AK184" s="106">
        <f t="shared" si="48"/>
        <v>7.0179999999999998</v>
      </c>
      <c r="AL184" s="106">
        <f t="shared" si="49"/>
        <v>7.0179999999999998</v>
      </c>
      <c r="AN184" s="85" t="s">
        <v>258</v>
      </c>
      <c r="AO184" s="85">
        <v>0.56198770491803285</v>
      </c>
      <c r="AQ184" s="107"/>
      <c r="AS184" s="108"/>
    </row>
    <row r="185" spans="1:45" x14ac:dyDescent="0.2">
      <c r="B185" s="101"/>
      <c r="C185" s="92"/>
      <c r="D185" s="92"/>
      <c r="F185" s="109"/>
      <c r="G185" s="109"/>
      <c r="H185" s="109"/>
      <c r="I185" s="109"/>
      <c r="J185" s="105"/>
      <c r="K185" s="105"/>
      <c r="L185" s="105"/>
      <c r="M185" s="105">
        <f t="shared" si="63"/>
        <v>0</v>
      </c>
      <c r="N185" s="105"/>
      <c r="O185" s="105"/>
      <c r="P185" s="105">
        <f t="shared" si="64"/>
        <v>0</v>
      </c>
      <c r="Q185" s="105"/>
      <c r="R185" s="105">
        <f t="shared" si="54"/>
        <v>0</v>
      </c>
      <c r="S185" s="105"/>
      <c r="T185" s="105">
        <f t="shared" si="60"/>
        <v>0</v>
      </c>
      <c r="U185" s="105"/>
      <c r="V185" s="91">
        <f t="shared" si="56"/>
        <v>0</v>
      </c>
      <c r="W185" s="105"/>
      <c r="X185" s="105">
        <f t="shared" si="65"/>
        <v>0</v>
      </c>
      <c r="Y185" s="105"/>
      <c r="Z185" s="105">
        <f t="shared" si="58"/>
        <v>0</v>
      </c>
      <c r="AA185" s="105"/>
      <c r="AB185" s="105">
        <f t="shared" ref="AB185:AB207" si="66">$F185*AA185</f>
        <v>0</v>
      </c>
      <c r="AC185" s="105"/>
      <c r="AD185" s="105">
        <f t="shared" si="50"/>
        <v>0</v>
      </c>
      <c r="AE185" s="105"/>
      <c r="AF185" s="105">
        <f t="shared" si="51"/>
        <v>0</v>
      </c>
      <c r="AG185" s="105"/>
      <c r="AH185" s="106"/>
      <c r="AK185" s="106">
        <f t="shared" si="48"/>
        <v>0</v>
      </c>
      <c r="AL185" s="106">
        <f t="shared" si="49"/>
        <v>0</v>
      </c>
      <c r="AN185" s="85" t="s">
        <v>260</v>
      </c>
      <c r="AO185" s="85">
        <v>0.46519600889014995</v>
      </c>
      <c r="AQ185" s="107"/>
      <c r="AS185" s="108"/>
    </row>
    <row r="186" spans="1:45" x14ac:dyDescent="0.2">
      <c r="A186" s="85" t="s">
        <v>90</v>
      </c>
      <c r="B186" s="101" t="s">
        <v>88</v>
      </c>
      <c r="C186" s="86" t="s">
        <v>617</v>
      </c>
      <c r="F186" s="102">
        <f>E186</f>
        <v>0</v>
      </c>
      <c r="G186" s="103"/>
      <c r="H186" s="103"/>
      <c r="I186" s="103"/>
      <c r="J186" s="105"/>
      <c r="K186" s="105"/>
      <c r="L186" s="105"/>
      <c r="M186" s="105">
        <f t="shared" si="63"/>
        <v>0</v>
      </c>
      <c r="N186" s="105"/>
      <c r="O186" s="105"/>
      <c r="P186" s="105">
        <f t="shared" si="64"/>
        <v>0</v>
      </c>
      <c r="Q186" s="105"/>
      <c r="R186" s="105">
        <f t="shared" si="54"/>
        <v>0</v>
      </c>
      <c r="S186" s="105"/>
      <c r="T186" s="105">
        <f t="shared" si="60"/>
        <v>0</v>
      </c>
      <c r="U186" s="105"/>
      <c r="V186" s="91">
        <f t="shared" si="56"/>
        <v>0</v>
      </c>
      <c r="W186" s="105"/>
      <c r="X186" s="105">
        <f t="shared" si="65"/>
        <v>0</v>
      </c>
      <c r="Y186" s="105"/>
      <c r="Z186" s="105">
        <f t="shared" si="58"/>
        <v>0</v>
      </c>
      <c r="AA186" s="105"/>
      <c r="AB186" s="105">
        <f t="shared" si="66"/>
        <v>0</v>
      </c>
      <c r="AC186" s="105"/>
      <c r="AD186" s="105">
        <f t="shared" si="50"/>
        <v>0</v>
      </c>
      <c r="AE186" s="105"/>
      <c r="AF186" s="105">
        <f t="shared" si="51"/>
        <v>0</v>
      </c>
      <c r="AG186" s="105"/>
      <c r="AH186" s="106"/>
      <c r="AK186" s="106">
        <f t="shared" si="48"/>
        <v>0</v>
      </c>
      <c r="AL186" s="106">
        <f t="shared" si="49"/>
        <v>0</v>
      </c>
      <c r="AQ186" s="107"/>
      <c r="AS186" s="108"/>
    </row>
    <row r="187" spans="1:45" x14ac:dyDescent="0.2">
      <c r="A187" s="85" t="s">
        <v>90</v>
      </c>
      <c r="C187" s="92" t="s">
        <v>618</v>
      </c>
      <c r="D187" s="92"/>
      <c r="F187" s="104">
        <f>SUM(F186)</f>
        <v>0</v>
      </c>
      <c r="G187" s="104">
        <f>F187</f>
        <v>0</v>
      </c>
      <c r="H187" s="105">
        <f>VLOOKUP(A187,Data!$A$2:$Z$179,24,FALSE)</f>
        <v>27</v>
      </c>
      <c r="I187" s="105">
        <f>VLOOKUP(A187,Data!$A$2:$Z$179,25,FALSE)</f>
        <v>4.1059999999999999</v>
      </c>
      <c r="J187" s="105">
        <f>VLOOKUP(A187,Data!$A$2:$Z$179,7,FALSE)</f>
        <v>22.893999999999998</v>
      </c>
      <c r="K187" s="105">
        <f>$F187*J187</f>
        <v>0</v>
      </c>
      <c r="L187" s="105">
        <f>VLOOKUP(A187,Data!$A$2:$Z$179,8,FALSE)</f>
        <v>0</v>
      </c>
      <c r="M187" s="105">
        <f>L187*F187</f>
        <v>0</v>
      </c>
      <c r="N187" s="105">
        <f>VLOOKUP(A187,Data!$A$2:$Z$179,9,FALSE)</f>
        <v>0</v>
      </c>
      <c r="O187" s="105">
        <f>VLOOKUP(A186,Data!$A$2:$Z$179,10,FALSE)</f>
        <v>0</v>
      </c>
      <c r="P187" s="105">
        <f>O187*F187</f>
        <v>0</v>
      </c>
      <c r="Q187" s="105">
        <f>VLOOKUP(A187,Data!$A$2:$Z$179,11,FALSE)</f>
        <v>0</v>
      </c>
      <c r="R187" s="105">
        <f t="shared" si="54"/>
        <v>0</v>
      </c>
      <c r="S187" s="105">
        <f>VLOOKUP(A187,Data!$A$2:$Z$179,12,FALSE)</f>
        <v>6.2940000000000005</v>
      </c>
      <c r="T187" s="105">
        <f>S187*F187</f>
        <v>0</v>
      </c>
      <c r="U187" s="105">
        <f>VLOOKUP(A187,Data!$A$2:$Z$179,13,FALSE)</f>
        <v>2.3866156730663949E-2</v>
      </c>
      <c r="V187" s="91">
        <f t="shared" si="56"/>
        <v>0</v>
      </c>
      <c r="W187" s="105">
        <f>VLOOKUP(A187,Data!$A$2:$Z$179,22,FALSE)</f>
        <v>0</v>
      </c>
      <c r="X187" s="105">
        <f>W187*F187</f>
        <v>0</v>
      </c>
      <c r="Y187" s="105">
        <f>VLOOKUP(A187,Data!$A$2:$Z$179,19,FALSE)</f>
        <v>0</v>
      </c>
      <c r="Z187" s="105">
        <f t="shared" si="58"/>
        <v>0</v>
      </c>
      <c r="AA187" s="105">
        <f>VLOOKUP(A187,Data!$A$2:$Z$179,20,FALSE)</f>
        <v>0</v>
      </c>
      <c r="AB187" s="105">
        <f t="shared" si="66"/>
        <v>0</v>
      </c>
      <c r="AC187" s="105">
        <f>VLOOKUP(A187,Data!$A$2:$Z$179,21,FALSE)</f>
        <v>0</v>
      </c>
      <c r="AD187" s="105">
        <f t="shared" si="50"/>
        <v>0</v>
      </c>
      <c r="AE187" s="105">
        <f>J187+L187+N187+O187+Q187+S187+U187+W187+Y187+AA187+AC187</f>
        <v>29.211866156730665</v>
      </c>
      <c r="AF187" s="105">
        <f t="shared" si="51"/>
        <v>0</v>
      </c>
      <c r="AG187" s="105"/>
      <c r="AH187" s="106" t="e">
        <f>AE187-S187-W187-#REF!</f>
        <v>#REF!</v>
      </c>
      <c r="AI187" s="85" t="e">
        <f>AH187/AE187</f>
        <v>#REF!</v>
      </c>
      <c r="AK187" s="106">
        <f t="shared" si="48"/>
        <v>6.2940000000000005</v>
      </c>
      <c r="AL187" s="106">
        <f t="shared" si="49"/>
        <v>6.2940000000000005</v>
      </c>
      <c r="AQ187" s="107"/>
      <c r="AS187" s="108"/>
    </row>
    <row r="188" spans="1:45" x14ac:dyDescent="0.2">
      <c r="C188" s="92"/>
      <c r="D188" s="92"/>
      <c r="F188" s="109"/>
      <c r="G188" s="109"/>
      <c r="H188" s="109"/>
      <c r="I188" s="109"/>
      <c r="J188" s="105"/>
      <c r="K188" s="105"/>
      <c r="L188" s="105"/>
      <c r="M188" s="105">
        <f t="shared" si="63"/>
        <v>0</v>
      </c>
      <c r="N188" s="105"/>
      <c r="O188" s="105"/>
      <c r="P188" s="105">
        <f t="shared" si="64"/>
        <v>0</v>
      </c>
      <c r="Q188" s="105"/>
      <c r="R188" s="105">
        <f t="shared" si="54"/>
        <v>0</v>
      </c>
      <c r="S188" s="105"/>
      <c r="T188" s="105">
        <f t="shared" si="60"/>
        <v>0</v>
      </c>
      <c r="U188" s="105"/>
      <c r="V188" s="91">
        <f t="shared" si="56"/>
        <v>0</v>
      </c>
      <c r="W188" s="105"/>
      <c r="X188" s="105">
        <f t="shared" si="65"/>
        <v>0</v>
      </c>
      <c r="Y188" s="105"/>
      <c r="Z188" s="105">
        <f t="shared" si="58"/>
        <v>0</v>
      </c>
      <c r="AA188" s="105"/>
      <c r="AB188" s="105">
        <f t="shared" si="66"/>
        <v>0</v>
      </c>
      <c r="AC188" s="105"/>
      <c r="AD188" s="105">
        <f t="shared" si="50"/>
        <v>0</v>
      </c>
      <c r="AE188" s="105"/>
      <c r="AF188" s="105">
        <f t="shared" si="51"/>
        <v>0</v>
      </c>
      <c r="AG188" s="105"/>
      <c r="AH188" s="106"/>
      <c r="AK188" s="106">
        <f t="shared" si="48"/>
        <v>0</v>
      </c>
      <c r="AL188" s="106">
        <f t="shared" si="49"/>
        <v>0</v>
      </c>
      <c r="AQ188" s="107"/>
      <c r="AS188" s="108"/>
    </row>
    <row r="189" spans="1:45" x14ac:dyDescent="0.2">
      <c r="A189" s="85" t="s">
        <v>91</v>
      </c>
      <c r="B189" s="101" t="s">
        <v>88</v>
      </c>
      <c r="C189" s="86" t="s">
        <v>619</v>
      </c>
      <c r="F189" s="102">
        <f>E189</f>
        <v>0</v>
      </c>
      <c r="G189" s="103"/>
      <c r="H189" s="103"/>
      <c r="I189" s="103"/>
      <c r="J189" s="105"/>
      <c r="K189" s="105"/>
      <c r="L189" s="105"/>
      <c r="M189" s="105">
        <f t="shared" si="63"/>
        <v>0</v>
      </c>
      <c r="N189" s="105"/>
      <c r="O189" s="105"/>
      <c r="P189" s="105">
        <f t="shared" si="64"/>
        <v>0</v>
      </c>
      <c r="Q189" s="105"/>
      <c r="R189" s="105">
        <f t="shared" si="54"/>
        <v>0</v>
      </c>
      <c r="S189" s="105"/>
      <c r="T189" s="105">
        <f t="shared" si="60"/>
        <v>0</v>
      </c>
      <c r="U189" s="105"/>
      <c r="V189" s="91">
        <f t="shared" si="56"/>
        <v>0</v>
      </c>
      <c r="W189" s="105"/>
      <c r="X189" s="105">
        <f t="shared" si="65"/>
        <v>0</v>
      </c>
      <c r="Y189" s="105"/>
      <c r="Z189" s="105">
        <f t="shared" si="58"/>
        <v>0</v>
      </c>
      <c r="AA189" s="105"/>
      <c r="AB189" s="105">
        <f t="shared" si="66"/>
        <v>0</v>
      </c>
      <c r="AC189" s="105"/>
      <c r="AD189" s="105">
        <f t="shared" si="50"/>
        <v>0</v>
      </c>
      <c r="AE189" s="105"/>
      <c r="AF189" s="105">
        <f t="shared" si="51"/>
        <v>0</v>
      </c>
      <c r="AG189" s="105"/>
      <c r="AH189" s="106"/>
      <c r="AK189" s="106">
        <f t="shared" si="48"/>
        <v>0</v>
      </c>
      <c r="AL189" s="106">
        <f t="shared" si="49"/>
        <v>0</v>
      </c>
      <c r="AQ189" s="107"/>
      <c r="AS189" s="108"/>
    </row>
    <row r="190" spans="1:45" x14ac:dyDescent="0.2">
      <c r="A190" s="85" t="s">
        <v>91</v>
      </c>
      <c r="B190" s="101"/>
      <c r="C190" s="92" t="s">
        <v>620</v>
      </c>
      <c r="D190" s="92"/>
      <c r="F190" s="104">
        <f>SUM(F189)</f>
        <v>0</v>
      </c>
      <c r="G190" s="104">
        <f>F190</f>
        <v>0</v>
      </c>
      <c r="H190" s="105">
        <f>VLOOKUP(A190,Data!$A$2:$Z$179,24,FALSE)</f>
        <v>27</v>
      </c>
      <c r="I190" s="105">
        <f>VLOOKUP(A190,Data!$A$2:$Z$179,25,FALSE)</f>
        <v>6.3159999999999998</v>
      </c>
      <c r="J190" s="105">
        <f>VLOOKUP(A190,Data!$A$2:$Z$179,7,FALSE)</f>
        <v>20.684000000000001</v>
      </c>
      <c r="K190" s="105">
        <f>$F190*J190</f>
        <v>0</v>
      </c>
      <c r="L190" s="105">
        <f>VLOOKUP(A190,Data!$A$2:$Z$179,8,FALSE)</f>
        <v>0</v>
      </c>
      <c r="M190" s="105">
        <f>L190*F190</f>
        <v>0</v>
      </c>
      <c r="N190" s="105">
        <f>VLOOKUP(A190,Data!$A$2:$Z$179,9,FALSE)</f>
        <v>0</v>
      </c>
      <c r="O190" s="105">
        <f>VLOOKUP(A189,Data!$A$2:$Z$179,10,FALSE)</f>
        <v>0</v>
      </c>
      <c r="P190" s="105">
        <f>O190*F190</f>
        <v>0</v>
      </c>
      <c r="Q190" s="105">
        <f>VLOOKUP(A190,Data!$A$2:$Z$179,11,FALSE)</f>
        <v>0</v>
      </c>
      <c r="R190" s="105">
        <f t="shared" si="54"/>
        <v>0</v>
      </c>
      <c r="S190" s="105">
        <f>VLOOKUP(A190,Data!$A$2:$Z$179,12,FALSE)</f>
        <v>5</v>
      </c>
      <c r="T190" s="105">
        <f>S190*F190</f>
        <v>0</v>
      </c>
      <c r="U190" s="105">
        <f>VLOOKUP(A190,Data!$A$2:$Z$179,13,FALSE)</f>
        <v>2.0211162972846121E-2</v>
      </c>
      <c r="V190" s="91">
        <f t="shared" si="56"/>
        <v>0</v>
      </c>
      <c r="W190" s="105">
        <f>VLOOKUP(A190,Data!$A$2:$Z$179,22,FALSE)</f>
        <v>0</v>
      </c>
      <c r="X190" s="105">
        <f>W190*F190</f>
        <v>0</v>
      </c>
      <c r="Y190" s="105">
        <f>VLOOKUP(A190,Data!$A$2:$Z$179,19,FALSE)</f>
        <v>0</v>
      </c>
      <c r="Z190" s="105">
        <f t="shared" si="58"/>
        <v>0</v>
      </c>
      <c r="AA190" s="105">
        <f>VLOOKUP(A190,Data!$A$2:$Z$179,20,FALSE)</f>
        <v>0</v>
      </c>
      <c r="AB190" s="105">
        <f t="shared" si="66"/>
        <v>0</v>
      </c>
      <c r="AC190" s="105">
        <f>VLOOKUP(A190,Data!$A$2:$Z$179,21,FALSE)</f>
        <v>0</v>
      </c>
      <c r="AD190" s="105">
        <f t="shared" si="50"/>
        <v>0</v>
      </c>
      <c r="AE190" s="105">
        <f>J190+L190+N190+O190+Q190+S190+U190+W190+Y190+AA190+AC190</f>
        <v>25.704211162972847</v>
      </c>
      <c r="AF190" s="105">
        <f t="shared" si="51"/>
        <v>0</v>
      </c>
      <c r="AG190" s="105"/>
      <c r="AH190" s="106">
        <f>AE190-S190-W190</f>
        <v>20.704211162972847</v>
      </c>
      <c r="AI190" s="85">
        <f>AH190/AE190</f>
        <v>0.80547934467630944</v>
      </c>
      <c r="AK190" s="106">
        <f t="shared" si="48"/>
        <v>5</v>
      </c>
      <c r="AL190" s="106">
        <f t="shared" si="49"/>
        <v>5</v>
      </c>
      <c r="AQ190" s="107"/>
      <c r="AS190" s="108"/>
    </row>
    <row r="191" spans="1:45" x14ac:dyDescent="0.2">
      <c r="B191" s="101"/>
      <c r="C191" s="92"/>
      <c r="D191" s="92"/>
      <c r="F191" s="109"/>
      <c r="G191" s="109"/>
      <c r="H191" s="109"/>
      <c r="I191" s="109"/>
      <c r="J191" s="105"/>
      <c r="K191" s="105"/>
      <c r="L191" s="105"/>
      <c r="M191" s="105">
        <f t="shared" si="63"/>
        <v>0</v>
      </c>
      <c r="N191" s="105"/>
      <c r="O191" s="105"/>
      <c r="P191" s="105">
        <f t="shared" si="64"/>
        <v>0</v>
      </c>
      <c r="Q191" s="105"/>
      <c r="R191" s="105">
        <f t="shared" si="54"/>
        <v>0</v>
      </c>
      <c r="S191" s="105"/>
      <c r="T191" s="105">
        <f t="shared" si="60"/>
        <v>0</v>
      </c>
      <c r="U191" s="105"/>
      <c r="V191" s="91">
        <f t="shared" si="56"/>
        <v>0</v>
      </c>
      <c r="W191" s="105"/>
      <c r="X191" s="105">
        <f t="shared" si="65"/>
        <v>0</v>
      </c>
      <c r="Y191" s="105"/>
      <c r="Z191" s="105">
        <f t="shared" si="58"/>
        <v>0</v>
      </c>
      <c r="AA191" s="105"/>
      <c r="AB191" s="105">
        <f t="shared" si="66"/>
        <v>0</v>
      </c>
      <c r="AC191" s="105"/>
      <c r="AD191" s="105">
        <f t="shared" si="50"/>
        <v>0</v>
      </c>
      <c r="AE191" s="105"/>
      <c r="AF191" s="105">
        <f t="shared" si="51"/>
        <v>0</v>
      </c>
      <c r="AG191" s="105"/>
      <c r="AH191" s="106"/>
      <c r="AK191" s="106">
        <f t="shared" si="48"/>
        <v>0</v>
      </c>
      <c r="AL191" s="106">
        <f t="shared" si="49"/>
        <v>0</v>
      </c>
      <c r="AQ191" s="107"/>
      <c r="AS191" s="108"/>
    </row>
    <row r="192" spans="1:45" x14ac:dyDescent="0.2">
      <c r="A192" s="85" t="s">
        <v>92</v>
      </c>
      <c r="B192" s="101" t="s">
        <v>88</v>
      </c>
      <c r="C192" s="86" t="s">
        <v>621</v>
      </c>
      <c r="F192" s="102">
        <f>E192</f>
        <v>0</v>
      </c>
      <c r="G192" s="103"/>
      <c r="H192" s="103"/>
      <c r="I192" s="103"/>
      <c r="J192" s="105"/>
      <c r="K192" s="105"/>
      <c r="L192" s="105"/>
      <c r="M192" s="105">
        <f t="shared" si="63"/>
        <v>0</v>
      </c>
      <c r="N192" s="105"/>
      <c r="O192" s="105"/>
      <c r="P192" s="105">
        <f t="shared" si="64"/>
        <v>0</v>
      </c>
      <c r="Q192" s="105"/>
      <c r="R192" s="105">
        <f t="shared" si="54"/>
        <v>0</v>
      </c>
      <c r="S192" s="105"/>
      <c r="T192" s="105">
        <f t="shared" si="60"/>
        <v>0</v>
      </c>
      <c r="U192" s="105"/>
      <c r="V192" s="91">
        <f t="shared" si="56"/>
        <v>0</v>
      </c>
      <c r="W192" s="105"/>
      <c r="X192" s="105">
        <f t="shared" si="65"/>
        <v>0</v>
      </c>
      <c r="Y192" s="105"/>
      <c r="Z192" s="105">
        <f t="shared" si="58"/>
        <v>0</v>
      </c>
      <c r="AA192" s="105"/>
      <c r="AB192" s="105">
        <f t="shared" si="66"/>
        <v>0</v>
      </c>
      <c r="AC192" s="105"/>
      <c r="AD192" s="105">
        <f t="shared" si="50"/>
        <v>0</v>
      </c>
      <c r="AE192" s="105"/>
      <c r="AF192" s="105">
        <f t="shared" si="51"/>
        <v>0</v>
      </c>
      <c r="AG192" s="105"/>
      <c r="AH192" s="106"/>
      <c r="AK192" s="106">
        <f t="shared" si="48"/>
        <v>0</v>
      </c>
      <c r="AL192" s="106">
        <f t="shared" si="49"/>
        <v>0</v>
      </c>
      <c r="AQ192" s="107"/>
      <c r="AS192" s="108"/>
    </row>
    <row r="193" spans="1:45" x14ac:dyDescent="0.2">
      <c r="A193" s="85" t="s">
        <v>92</v>
      </c>
      <c r="B193" s="101"/>
      <c r="C193" s="92" t="s">
        <v>622</v>
      </c>
      <c r="D193" s="92"/>
      <c r="F193" s="104">
        <f>SUM(F192)</f>
        <v>0</v>
      </c>
      <c r="G193" s="104">
        <f>F193</f>
        <v>0</v>
      </c>
      <c r="H193" s="105">
        <f>VLOOKUP(A193,Data!$A$2:$Z$179,24,FALSE)</f>
        <v>20.715</v>
      </c>
      <c r="I193" s="105">
        <f>VLOOKUP(A193,Data!$A$2:$Z$179,25,FALSE)</f>
        <v>0</v>
      </c>
      <c r="J193" s="105">
        <f>VLOOKUP(A193,Data!$A$2:$Z$179,7,FALSE)</f>
        <v>20.715</v>
      </c>
      <c r="K193" s="105">
        <f>$F193*J193</f>
        <v>0</v>
      </c>
      <c r="L193" s="105">
        <f>VLOOKUP(A193,Data!$A$2:$Z$179,8,FALSE)</f>
        <v>0</v>
      </c>
      <c r="M193" s="105">
        <f>L193*F193</f>
        <v>0</v>
      </c>
      <c r="N193" s="105">
        <f>VLOOKUP(A193,Data!$A$2:$Z$179,9,FALSE)</f>
        <v>0</v>
      </c>
      <c r="O193" s="105">
        <f>VLOOKUP(A192,Data!$A$2:$Z$179,10,FALSE)</f>
        <v>0</v>
      </c>
      <c r="P193" s="105">
        <f>O193*F193</f>
        <v>0</v>
      </c>
      <c r="Q193" s="105">
        <f>VLOOKUP(A193,Data!$A$2:$Z$179,11,FALSE)</f>
        <v>0</v>
      </c>
      <c r="R193" s="105">
        <f t="shared" si="54"/>
        <v>0</v>
      </c>
      <c r="S193" s="105">
        <f>VLOOKUP(A193,Data!$A$2:$Z$179,12,FALSE)</f>
        <v>20.310000000000002</v>
      </c>
      <c r="T193" s="105">
        <f>S193*F193</f>
        <v>0</v>
      </c>
      <c r="U193" s="105">
        <f>VLOOKUP(A193,Data!$A$2:$Z$179,13,FALSE)</f>
        <v>0.22114948844205828</v>
      </c>
      <c r="V193" s="91">
        <f t="shared" si="56"/>
        <v>0</v>
      </c>
      <c r="W193" s="105">
        <f>VLOOKUP(A193,Data!$A$2:$Z$179,22,FALSE)</f>
        <v>0</v>
      </c>
      <c r="X193" s="105">
        <f>W193*F193</f>
        <v>0</v>
      </c>
      <c r="Y193" s="105">
        <f>VLOOKUP(A193,Data!$A$2:$Z$179,19,FALSE)</f>
        <v>0</v>
      </c>
      <c r="Z193" s="105">
        <f t="shared" si="58"/>
        <v>0</v>
      </c>
      <c r="AA193" s="105">
        <f>VLOOKUP(A193,Data!$A$2:$Z$179,20,FALSE)</f>
        <v>0</v>
      </c>
      <c r="AB193" s="105">
        <f t="shared" si="66"/>
        <v>0</v>
      </c>
      <c r="AC193" s="105">
        <f>VLOOKUP(A193,Data!$A$2:$Z$179,21,FALSE)</f>
        <v>0</v>
      </c>
      <c r="AD193" s="105">
        <f t="shared" si="50"/>
        <v>0</v>
      </c>
      <c r="AE193" s="105">
        <f>J193+L193+N193+O193+Q193+S193+U193+W193+Y193+AA193+AC193</f>
        <v>41.246149488442065</v>
      </c>
      <c r="AF193" s="105">
        <f t="shared" si="51"/>
        <v>0</v>
      </c>
      <c r="AG193" s="105"/>
      <c r="AH193" s="106">
        <f>AE193-S193-W193</f>
        <v>20.936149488442062</v>
      </c>
      <c r="AI193" s="85">
        <f>AH193/AE193</f>
        <v>0.50759039930039429</v>
      </c>
      <c r="AK193" s="106">
        <f t="shared" si="48"/>
        <v>20.310000000000002</v>
      </c>
      <c r="AL193" s="106">
        <f t="shared" si="49"/>
        <v>20.310000000000002</v>
      </c>
      <c r="AQ193" s="107"/>
      <c r="AS193" s="108"/>
    </row>
    <row r="194" spans="1:45" x14ac:dyDescent="0.2">
      <c r="B194" s="101"/>
      <c r="C194" s="92"/>
      <c r="D194" s="92"/>
      <c r="F194" s="109"/>
      <c r="G194" s="109"/>
      <c r="H194" s="109"/>
      <c r="I194" s="109"/>
      <c r="J194" s="105"/>
      <c r="K194" s="105"/>
      <c r="L194" s="105"/>
      <c r="M194" s="105">
        <f t="shared" si="63"/>
        <v>0</v>
      </c>
      <c r="N194" s="105"/>
      <c r="O194" s="105"/>
      <c r="P194" s="105">
        <f t="shared" si="64"/>
        <v>0</v>
      </c>
      <c r="Q194" s="105"/>
      <c r="R194" s="105">
        <f t="shared" si="54"/>
        <v>0</v>
      </c>
      <c r="S194" s="105"/>
      <c r="T194" s="105">
        <f t="shared" si="60"/>
        <v>0</v>
      </c>
      <c r="U194" s="105"/>
      <c r="V194" s="91">
        <f t="shared" si="56"/>
        <v>0</v>
      </c>
      <c r="W194" s="105"/>
      <c r="X194" s="105">
        <f t="shared" si="65"/>
        <v>0</v>
      </c>
      <c r="Y194" s="105"/>
      <c r="Z194" s="105">
        <f t="shared" si="58"/>
        <v>0</v>
      </c>
      <c r="AA194" s="105"/>
      <c r="AB194" s="105">
        <f t="shared" si="66"/>
        <v>0</v>
      </c>
      <c r="AC194" s="105"/>
      <c r="AD194" s="105">
        <f t="shared" si="50"/>
        <v>0</v>
      </c>
      <c r="AE194" s="105"/>
      <c r="AF194" s="105">
        <f t="shared" si="51"/>
        <v>0</v>
      </c>
      <c r="AG194" s="105"/>
      <c r="AH194" s="106"/>
      <c r="AK194" s="106">
        <f t="shared" si="48"/>
        <v>0</v>
      </c>
      <c r="AL194" s="106">
        <f t="shared" si="49"/>
        <v>0</v>
      </c>
      <c r="AQ194" s="107"/>
      <c r="AS194" s="108"/>
    </row>
    <row r="195" spans="1:45" x14ac:dyDescent="0.2">
      <c r="A195" s="85" t="s">
        <v>93</v>
      </c>
      <c r="B195" s="101" t="s">
        <v>88</v>
      </c>
      <c r="C195" s="86" t="s">
        <v>623</v>
      </c>
      <c r="F195" s="102">
        <f>E195</f>
        <v>0</v>
      </c>
      <c r="G195" s="103"/>
      <c r="H195" s="103"/>
      <c r="I195" s="103"/>
      <c r="J195" s="105"/>
      <c r="K195" s="105"/>
      <c r="L195" s="105"/>
      <c r="M195" s="105">
        <f t="shared" si="63"/>
        <v>0</v>
      </c>
      <c r="N195" s="105"/>
      <c r="O195" s="105"/>
      <c r="P195" s="105">
        <f t="shared" si="64"/>
        <v>0</v>
      </c>
      <c r="Q195" s="105"/>
      <c r="R195" s="105">
        <f t="shared" si="54"/>
        <v>0</v>
      </c>
      <c r="S195" s="105"/>
      <c r="T195" s="105">
        <f t="shared" si="60"/>
        <v>0</v>
      </c>
      <c r="U195" s="105"/>
      <c r="V195" s="91">
        <f t="shared" si="56"/>
        <v>0</v>
      </c>
      <c r="W195" s="105"/>
      <c r="X195" s="105">
        <f t="shared" si="65"/>
        <v>0</v>
      </c>
      <c r="Y195" s="105"/>
      <c r="Z195" s="105">
        <f t="shared" si="58"/>
        <v>0</v>
      </c>
      <c r="AA195" s="105"/>
      <c r="AB195" s="105">
        <f t="shared" si="66"/>
        <v>0</v>
      </c>
      <c r="AC195" s="105"/>
      <c r="AD195" s="105">
        <f t="shared" si="50"/>
        <v>0</v>
      </c>
      <c r="AE195" s="105"/>
      <c r="AF195" s="105">
        <f t="shared" si="51"/>
        <v>0</v>
      </c>
      <c r="AG195" s="105"/>
      <c r="AH195" s="106"/>
      <c r="AK195" s="106">
        <f t="shared" si="48"/>
        <v>0</v>
      </c>
      <c r="AL195" s="106">
        <f t="shared" si="49"/>
        <v>0</v>
      </c>
      <c r="AQ195" s="107"/>
      <c r="AS195" s="108"/>
    </row>
    <row r="196" spans="1:45" x14ac:dyDescent="0.2">
      <c r="A196" s="85" t="s">
        <v>93</v>
      </c>
      <c r="C196" s="92" t="s">
        <v>624</v>
      </c>
      <c r="D196" s="92"/>
      <c r="F196" s="104">
        <f>SUM(F195)</f>
        <v>0</v>
      </c>
      <c r="G196" s="104">
        <f>F196</f>
        <v>0</v>
      </c>
      <c r="H196" s="105">
        <f>VLOOKUP(A196,Data!$A$2:$Z$179,24,FALSE)</f>
        <v>27</v>
      </c>
      <c r="I196" s="105">
        <f>VLOOKUP(A196,Data!$A$2:$Z$179,25,FALSE)</f>
        <v>0</v>
      </c>
      <c r="J196" s="105">
        <f>VLOOKUP(A196,Data!$A$2:$Z$179,7,FALSE)</f>
        <v>27</v>
      </c>
      <c r="K196" s="105">
        <f>$F196*J196</f>
        <v>0</v>
      </c>
      <c r="L196" s="105">
        <f>VLOOKUP(A196,Data!$A$2:$Z$179,8,FALSE)</f>
        <v>0</v>
      </c>
      <c r="M196" s="105">
        <f>L196*F196</f>
        <v>0</v>
      </c>
      <c r="N196" s="105">
        <f>VLOOKUP(A196,Data!$A$2:$Z$179,9,FALSE)</f>
        <v>0</v>
      </c>
      <c r="O196" s="105">
        <f>VLOOKUP(A195,Data!$A$2:$Z$179,10,FALSE)</f>
        <v>0</v>
      </c>
      <c r="P196" s="105">
        <f>O196*F196</f>
        <v>0</v>
      </c>
      <c r="Q196" s="105">
        <f>VLOOKUP(A196,Data!$A$2:$Z$179,11,FALSE)</f>
        <v>0</v>
      </c>
      <c r="R196" s="105">
        <f t="shared" si="54"/>
        <v>0</v>
      </c>
      <c r="S196" s="105">
        <f>VLOOKUP(A196,Data!$A$2:$Z$179,12,FALSE)</f>
        <v>10.871</v>
      </c>
      <c r="T196" s="105">
        <f>S196*F196</f>
        <v>0</v>
      </c>
      <c r="U196" s="105">
        <f>VLOOKUP(A196,Data!$A$2:$Z$179,13,FALSE)</f>
        <v>0.25909965903668303</v>
      </c>
      <c r="V196" s="91">
        <f t="shared" si="56"/>
        <v>0</v>
      </c>
      <c r="W196" s="105">
        <f>VLOOKUP(A196,Data!$A$2:$Z$179,22,FALSE)</f>
        <v>0</v>
      </c>
      <c r="X196" s="105">
        <f>W196*F196</f>
        <v>0</v>
      </c>
      <c r="Y196" s="105">
        <f>VLOOKUP(A196,Data!$A$2:$Z$179,19,FALSE)</f>
        <v>0</v>
      </c>
      <c r="Z196" s="105">
        <f t="shared" si="58"/>
        <v>0</v>
      </c>
      <c r="AA196" s="105">
        <f>VLOOKUP(A196,Data!$A$2:$Z$179,20,FALSE)</f>
        <v>0</v>
      </c>
      <c r="AB196" s="105">
        <f t="shared" si="66"/>
        <v>0</v>
      </c>
      <c r="AC196" s="105">
        <f>VLOOKUP(A196,Data!$A$2:$Z$179,21,FALSE)</f>
        <v>0</v>
      </c>
      <c r="AD196" s="105">
        <f t="shared" si="50"/>
        <v>0</v>
      </c>
      <c r="AE196" s="105">
        <f>J196+L196+N196+O196+Q196+S196+U196+W196+Y196+AA196+AC196</f>
        <v>38.130099659036688</v>
      </c>
      <c r="AF196" s="105">
        <f t="shared" si="51"/>
        <v>0</v>
      </c>
      <c r="AG196" s="105"/>
      <c r="AH196" s="106">
        <f>AE196-S196-W196</f>
        <v>27.259099659036686</v>
      </c>
      <c r="AI196" s="85">
        <f>AH196/AE196</f>
        <v>0.71489715219184813</v>
      </c>
      <c r="AK196" s="106">
        <f t="shared" si="48"/>
        <v>10.871</v>
      </c>
      <c r="AL196" s="106">
        <f t="shared" si="49"/>
        <v>10.871</v>
      </c>
      <c r="AQ196" s="107"/>
      <c r="AS196" s="108"/>
    </row>
    <row r="197" spans="1:45" x14ac:dyDescent="0.2">
      <c r="C197" s="92"/>
      <c r="D197" s="92"/>
      <c r="F197" s="109"/>
      <c r="G197" s="109"/>
      <c r="H197" s="109"/>
      <c r="I197" s="109"/>
      <c r="J197" s="105"/>
      <c r="K197" s="105"/>
      <c r="L197" s="105"/>
      <c r="M197" s="105">
        <f t="shared" si="63"/>
        <v>0</v>
      </c>
      <c r="N197" s="105"/>
      <c r="O197" s="105"/>
      <c r="P197" s="105">
        <f t="shared" si="64"/>
        <v>0</v>
      </c>
      <c r="Q197" s="105"/>
      <c r="R197" s="105">
        <f t="shared" si="54"/>
        <v>0</v>
      </c>
      <c r="S197" s="105"/>
      <c r="T197" s="105">
        <f t="shared" si="60"/>
        <v>0</v>
      </c>
      <c r="U197" s="105"/>
      <c r="V197" s="91">
        <f t="shared" si="56"/>
        <v>0</v>
      </c>
      <c r="W197" s="105"/>
      <c r="X197" s="105">
        <f t="shared" si="65"/>
        <v>0</v>
      </c>
      <c r="Y197" s="105"/>
      <c r="Z197" s="105">
        <f t="shared" si="58"/>
        <v>0</v>
      </c>
      <c r="AA197" s="105"/>
      <c r="AB197" s="105">
        <f t="shared" si="66"/>
        <v>0</v>
      </c>
      <c r="AC197" s="105"/>
      <c r="AD197" s="105">
        <f t="shared" si="50"/>
        <v>0</v>
      </c>
      <c r="AE197" s="105"/>
      <c r="AF197" s="105">
        <f t="shared" si="51"/>
        <v>0</v>
      </c>
      <c r="AG197" s="105"/>
      <c r="AH197" s="106"/>
      <c r="AK197" s="106">
        <f t="shared" si="48"/>
        <v>0</v>
      </c>
      <c r="AL197" s="106">
        <f t="shared" si="49"/>
        <v>0</v>
      </c>
      <c r="AQ197" s="107"/>
      <c r="AS197" s="108"/>
    </row>
    <row r="198" spans="1:45" x14ac:dyDescent="0.2">
      <c r="A198" s="85" t="s">
        <v>94</v>
      </c>
      <c r="B198" s="101" t="s">
        <v>88</v>
      </c>
      <c r="C198" s="86" t="s">
        <v>625</v>
      </c>
      <c r="F198" s="102">
        <f>E198</f>
        <v>0</v>
      </c>
      <c r="G198" s="103"/>
      <c r="H198" s="103"/>
      <c r="I198" s="103"/>
      <c r="J198" s="105"/>
      <c r="K198" s="105"/>
      <c r="L198" s="105"/>
      <c r="M198" s="105">
        <f t="shared" si="63"/>
        <v>0</v>
      </c>
      <c r="N198" s="105"/>
      <c r="O198" s="105"/>
      <c r="P198" s="105">
        <f t="shared" si="64"/>
        <v>0</v>
      </c>
      <c r="Q198" s="105"/>
      <c r="R198" s="105">
        <f t="shared" si="54"/>
        <v>0</v>
      </c>
      <c r="S198" s="105"/>
      <c r="T198" s="105">
        <f t="shared" si="60"/>
        <v>0</v>
      </c>
      <c r="U198" s="105"/>
      <c r="V198" s="91">
        <f t="shared" si="56"/>
        <v>0</v>
      </c>
      <c r="W198" s="105"/>
      <c r="X198" s="105">
        <f t="shared" si="65"/>
        <v>0</v>
      </c>
      <c r="Y198" s="105"/>
      <c r="Z198" s="105">
        <f t="shared" si="58"/>
        <v>0</v>
      </c>
      <c r="AA198" s="105"/>
      <c r="AB198" s="105">
        <f t="shared" si="66"/>
        <v>0</v>
      </c>
      <c r="AC198" s="105"/>
      <c r="AD198" s="105">
        <f t="shared" si="50"/>
        <v>0</v>
      </c>
      <c r="AE198" s="105"/>
      <c r="AF198" s="105">
        <f t="shared" si="51"/>
        <v>0</v>
      </c>
      <c r="AG198" s="105"/>
      <c r="AH198" s="106"/>
      <c r="AK198" s="106">
        <f t="shared" si="48"/>
        <v>0</v>
      </c>
      <c r="AL198" s="106">
        <f t="shared" si="49"/>
        <v>0</v>
      </c>
      <c r="AQ198" s="107"/>
      <c r="AS198" s="108"/>
    </row>
    <row r="199" spans="1:45" x14ac:dyDescent="0.2">
      <c r="A199" s="85" t="s">
        <v>94</v>
      </c>
      <c r="B199" s="101"/>
      <c r="C199" s="92" t="s">
        <v>626</v>
      </c>
      <c r="D199" s="92"/>
      <c r="F199" s="104">
        <f>SUM(F198)</f>
        <v>0</v>
      </c>
      <c r="G199" s="104">
        <f>F199</f>
        <v>0</v>
      </c>
      <c r="H199" s="105">
        <f>VLOOKUP(A199,Data!$A$2:$Z$179,24,FALSE)</f>
        <v>27</v>
      </c>
      <c r="I199" s="105">
        <f>VLOOKUP(A199,Data!$A$2:$Z$179,25,FALSE)</f>
        <v>3.1840000000000002</v>
      </c>
      <c r="J199" s="105">
        <f>VLOOKUP(A199,Data!$A$2:$Z$179,7,FALSE)</f>
        <v>23.815999999999999</v>
      </c>
      <c r="K199" s="105">
        <f>$F199*J199</f>
        <v>0</v>
      </c>
      <c r="L199" s="105">
        <f>VLOOKUP(A199,Data!$A$2:$Z$179,8,FALSE)</f>
        <v>0</v>
      </c>
      <c r="M199" s="105">
        <f>L199*F199</f>
        <v>0</v>
      </c>
      <c r="N199" s="105">
        <f>VLOOKUP(A199,Data!$A$2:$Z$179,9,FALSE)</f>
        <v>0</v>
      </c>
      <c r="O199" s="105">
        <f>VLOOKUP(A198,Data!$A$2:$Z$179,10,FALSE)</f>
        <v>0</v>
      </c>
      <c r="P199" s="105">
        <f>O199*F199</f>
        <v>0</v>
      </c>
      <c r="Q199" s="105">
        <f>VLOOKUP(A199,Data!$A$2:$Z$179,11,FALSE)</f>
        <v>0</v>
      </c>
      <c r="R199" s="105">
        <f t="shared" si="54"/>
        <v>0</v>
      </c>
      <c r="S199" s="105">
        <f>VLOOKUP(A199,Data!$A$2:$Z$179,12,FALSE)</f>
        <v>22.035</v>
      </c>
      <c r="T199" s="105">
        <f>S199*F199</f>
        <v>0</v>
      </c>
      <c r="U199" s="105">
        <f>VLOOKUP(A199,Data!$A$2:$Z$179,13,FALSE)</f>
        <v>0.51312778559268502</v>
      </c>
      <c r="V199" s="91">
        <f t="shared" si="56"/>
        <v>0</v>
      </c>
      <c r="W199" s="105">
        <f>VLOOKUP(A199,Data!$A$2:$Z$179,22,FALSE)</f>
        <v>0</v>
      </c>
      <c r="X199" s="105">
        <f>W199*F199</f>
        <v>0</v>
      </c>
      <c r="Y199" s="105">
        <f>VLOOKUP(A199,Data!$A$2:$Z$179,19,FALSE)</f>
        <v>0</v>
      </c>
      <c r="Z199" s="105">
        <f t="shared" si="58"/>
        <v>0</v>
      </c>
      <c r="AA199" s="105">
        <f>VLOOKUP(A199,Data!$A$2:$Z$179,20,FALSE)</f>
        <v>0</v>
      </c>
      <c r="AB199" s="105">
        <f t="shared" si="66"/>
        <v>0</v>
      </c>
      <c r="AC199" s="105">
        <f>VLOOKUP(A199,Data!$A$2:$Z$179,21,FALSE)</f>
        <v>0</v>
      </c>
      <c r="AD199" s="105">
        <f t="shared" si="50"/>
        <v>0</v>
      </c>
      <c r="AE199" s="105">
        <f>J199+L199+N199+O199+Q199+S199+U199+W199+Y199+AA199+AC199</f>
        <v>46.364127785592686</v>
      </c>
      <c r="AF199" s="105">
        <f t="shared" si="51"/>
        <v>0</v>
      </c>
      <c r="AG199" s="105"/>
      <c r="AH199" s="106">
        <f>AE199-S199-W199</f>
        <v>24.329127785592686</v>
      </c>
      <c r="AI199" s="85">
        <f>AH199/AE199</f>
        <v>0.52474033153607136</v>
      </c>
      <c r="AK199" s="106">
        <f t="shared" si="48"/>
        <v>22.035</v>
      </c>
      <c r="AL199" s="106">
        <f t="shared" si="49"/>
        <v>22.035</v>
      </c>
      <c r="AQ199" s="107"/>
      <c r="AR199" s="112"/>
      <c r="AS199" s="108"/>
    </row>
    <row r="200" spans="1:45" x14ac:dyDescent="0.2">
      <c r="B200" s="101"/>
      <c r="C200" s="92"/>
      <c r="D200" s="92"/>
      <c r="F200" s="109"/>
      <c r="G200" s="109"/>
      <c r="H200" s="109"/>
      <c r="I200" s="109"/>
      <c r="J200" s="105"/>
      <c r="K200" s="105"/>
      <c r="L200" s="105"/>
      <c r="M200" s="105">
        <f t="shared" si="63"/>
        <v>0</v>
      </c>
      <c r="N200" s="105"/>
      <c r="O200" s="105"/>
      <c r="P200" s="105">
        <f t="shared" si="64"/>
        <v>0</v>
      </c>
      <c r="Q200" s="105"/>
      <c r="R200" s="105">
        <f t="shared" si="54"/>
        <v>0</v>
      </c>
      <c r="S200" s="105"/>
      <c r="T200" s="105">
        <f t="shared" si="60"/>
        <v>0</v>
      </c>
      <c r="U200" s="105"/>
      <c r="V200" s="91">
        <f t="shared" si="56"/>
        <v>0</v>
      </c>
      <c r="W200" s="105"/>
      <c r="X200" s="105">
        <f t="shared" si="65"/>
        <v>0</v>
      </c>
      <c r="Y200" s="105"/>
      <c r="Z200" s="105">
        <f t="shared" si="58"/>
        <v>0</v>
      </c>
      <c r="AA200" s="105"/>
      <c r="AB200" s="105">
        <f t="shared" si="66"/>
        <v>0</v>
      </c>
      <c r="AC200" s="105"/>
      <c r="AD200" s="105">
        <f t="shared" si="50"/>
        <v>0</v>
      </c>
      <c r="AE200" s="105"/>
      <c r="AF200" s="105">
        <f t="shared" si="51"/>
        <v>0</v>
      </c>
      <c r="AG200" s="105"/>
      <c r="AH200" s="106"/>
      <c r="AK200" s="106">
        <f t="shared" ref="AK200:AK263" si="67">O200+Q200+S200</f>
        <v>0</v>
      </c>
      <c r="AL200" s="106">
        <f t="shared" ref="AL200:AL263" si="68">O200+Q200+S200</f>
        <v>0</v>
      </c>
      <c r="AQ200" s="107"/>
      <c r="AR200" s="112"/>
      <c r="AS200" s="108"/>
    </row>
    <row r="201" spans="1:45" x14ac:dyDescent="0.2">
      <c r="A201" s="85" t="s">
        <v>95</v>
      </c>
      <c r="B201" s="101" t="s">
        <v>88</v>
      </c>
      <c r="C201" s="86" t="s">
        <v>627</v>
      </c>
      <c r="F201" s="102">
        <f>E201</f>
        <v>0</v>
      </c>
      <c r="G201" s="103"/>
      <c r="H201" s="103"/>
      <c r="I201" s="103"/>
      <c r="J201" s="105"/>
      <c r="K201" s="105"/>
      <c r="L201" s="105"/>
      <c r="M201" s="105">
        <f t="shared" si="63"/>
        <v>0</v>
      </c>
      <c r="N201" s="105"/>
      <c r="O201" s="105"/>
      <c r="P201" s="105">
        <f t="shared" si="64"/>
        <v>0</v>
      </c>
      <c r="Q201" s="105"/>
      <c r="R201" s="105">
        <f t="shared" si="54"/>
        <v>0</v>
      </c>
      <c r="S201" s="105"/>
      <c r="T201" s="105">
        <f t="shared" si="60"/>
        <v>0</v>
      </c>
      <c r="U201" s="105"/>
      <c r="V201" s="91">
        <f t="shared" si="56"/>
        <v>0</v>
      </c>
      <c r="W201" s="105"/>
      <c r="X201" s="105">
        <f t="shared" si="65"/>
        <v>0</v>
      </c>
      <c r="Y201" s="105"/>
      <c r="Z201" s="105">
        <f t="shared" si="58"/>
        <v>0</v>
      </c>
      <c r="AA201" s="105"/>
      <c r="AB201" s="105">
        <f t="shared" si="66"/>
        <v>0</v>
      </c>
      <c r="AC201" s="105"/>
      <c r="AD201" s="105">
        <f t="shared" si="50"/>
        <v>0</v>
      </c>
      <c r="AE201" s="105"/>
      <c r="AF201" s="105">
        <f t="shared" si="51"/>
        <v>0</v>
      </c>
      <c r="AG201" s="105"/>
      <c r="AH201" s="106"/>
      <c r="AK201" s="106">
        <f t="shared" si="67"/>
        <v>0</v>
      </c>
      <c r="AL201" s="106">
        <f t="shared" si="68"/>
        <v>0</v>
      </c>
      <c r="AQ201" s="107"/>
      <c r="AR201" s="112"/>
      <c r="AS201" s="108"/>
    </row>
    <row r="202" spans="1:45" x14ac:dyDescent="0.2">
      <c r="A202" s="85" t="s">
        <v>95</v>
      </c>
      <c r="B202" s="101"/>
      <c r="C202" s="92" t="s">
        <v>628</v>
      </c>
      <c r="D202" s="92"/>
      <c r="F202" s="104">
        <f>SUM(F201)</f>
        <v>0</v>
      </c>
      <c r="G202" s="104">
        <f>F202</f>
        <v>0</v>
      </c>
      <c r="H202" s="105">
        <f>VLOOKUP(A202,Data!$A$2:$Z$179,24,FALSE)</f>
        <v>27</v>
      </c>
      <c r="I202" s="105">
        <f>VLOOKUP(A202,Data!$A$2:$Z$179,25,FALSE)</f>
        <v>0</v>
      </c>
      <c r="J202" s="105">
        <f>VLOOKUP(A202,Data!$A$2:$Z$179,7,FALSE)</f>
        <v>27</v>
      </c>
      <c r="K202" s="105">
        <f>$F202*J202</f>
        <v>0</v>
      </c>
      <c r="L202" s="105">
        <f>VLOOKUP(A202,Data!$A$2:$Z$179,8,FALSE)</f>
        <v>0</v>
      </c>
      <c r="M202" s="105">
        <f>L202*F202</f>
        <v>0</v>
      </c>
      <c r="N202" s="105">
        <f>VLOOKUP(A202,Data!$A$2:$Z$179,9,FALSE)</f>
        <v>0</v>
      </c>
      <c r="O202" s="105">
        <f>VLOOKUP(A201,Data!$A$2:$Z$179,10,FALSE)</f>
        <v>0</v>
      </c>
      <c r="P202" s="105">
        <f>O202*F202</f>
        <v>0</v>
      </c>
      <c r="Q202" s="105">
        <f>VLOOKUP(A202,Data!$A$2:$Z$179,11,FALSE)</f>
        <v>0</v>
      </c>
      <c r="R202" s="105">
        <f t="shared" si="54"/>
        <v>0</v>
      </c>
      <c r="S202" s="105">
        <f>VLOOKUP(A202,Data!$A$2:$Z$179,12,FALSE)</f>
        <v>12.218</v>
      </c>
      <c r="T202" s="105">
        <f>S202*F202</f>
        <v>0</v>
      </c>
      <c r="U202" s="105">
        <f>VLOOKUP(A202,Data!$A$2:$Z$179,13,FALSE)</f>
        <v>0.36650872141147506</v>
      </c>
      <c r="V202" s="91">
        <f t="shared" si="56"/>
        <v>0</v>
      </c>
      <c r="W202" s="105">
        <f>VLOOKUP(A202,Data!$A$2:$Z$179,22,FALSE)</f>
        <v>0</v>
      </c>
      <c r="X202" s="105">
        <f>W202*F202</f>
        <v>0</v>
      </c>
      <c r="Y202" s="105">
        <f>VLOOKUP(A202,Data!$A$2:$Z$179,19,FALSE)</f>
        <v>0</v>
      </c>
      <c r="Z202" s="105">
        <f t="shared" si="58"/>
        <v>0</v>
      </c>
      <c r="AA202" s="105">
        <f>VLOOKUP(A202,Data!$A$2:$Z$179,20,FALSE)</f>
        <v>0</v>
      </c>
      <c r="AB202" s="105">
        <f t="shared" si="66"/>
        <v>0</v>
      </c>
      <c r="AC202" s="105">
        <f>VLOOKUP(A202,Data!$A$2:$Z$179,21,FALSE)</f>
        <v>0</v>
      </c>
      <c r="AD202" s="105">
        <f t="shared" si="50"/>
        <v>0</v>
      </c>
      <c r="AE202" s="105">
        <f>J202+L202+N202+O202+Q202+S202+U202+W202+Y202+AA202+AC202</f>
        <v>39.584508721411481</v>
      </c>
      <c r="AF202" s="105">
        <f t="shared" si="51"/>
        <v>0</v>
      </c>
      <c r="AG202" s="105"/>
      <c r="AH202" s="106">
        <f>AE202-S202-W202</f>
        <v>27.366508721411481</v>
      </c>
      <c r="AI202" s="85">
        <f>AH202/AE202</f>
        <v>0.69134390208078511</v>
      </c>
      <c r="AK202" s="106">
        <f t="shared" si="67"/>
        <v>12.218</v>
      </c>
      <c r="AL202" s="106">
        <f t="shared" si="68"/>
        <v>12.218</v>
      </c>
      <c r="AQ202" s="107"/>
      <c r="AR202" s="112"/>
      <c r="AS202" s="108"/>
    </row>
    <row r="203" spans="1:45" x14ac:dyDescent="0.2">
      <c r="B203" s="101"/>
      <c r="C203" s="92"/>
      <c r="D203" s="92"/>
      <c r="F203" s="109"/>
      <c r="G203" s="109"/>
      <c r="H203" s="109"/>
      <c r="I203" s="109"/>
      <c r="J203" s="105"/>
      <c r="K203" s="105"/>
      <c r="L203" s="105"/>
      <c r="M203" s="105">
        <f t="shared" si="63"/>
        <v>0</v>
      </c>
      <c r="N203" s="105"/>
      <c r="O203" s="105"/>
      <c r="P203" s="105">
        <f t="shared" si="64"/>
        <v>0</v>
      </c>
      <c r="Q203" s="105"/>
      <c r="R203" s="105">
        <f t="shared" si="54"/>
        <v>0</v>
      </c>
      <c r="S203" s="105"/>
      <c r="T203" s="105">
        <f t="shared" si="60"/>
        <v>0</v>
      </c>
      <c r="U203" s="105"/>
      <c r="V203" s="91">
        <f t="shared" si="56"/>
        <v>0</v>
      </c>
      <c r="W203" s="105"/>
      <c r="X203" s="105">
        <f t="shared" si="65"/>
        <v>0</v>
      </c>
      <c r="Y203" s="105"/>
      <c r="Z203" s="105">
        <f t="shared" si="58"/>
        <v>0</v>
      </c>
      <c r="AA203" s="105"/>
      <c r="AB203" s="105">
        <f t="shared" si="66"/>
        <v>0</v>
      </c>
      <c r="AC203" s="105"/>
      <c r="AD203" s="105">
        <f t="shared" si="50"/>
        <v>0</v>
      </c>
      <c r="AE203" s="105"/>
      <c r="AF203" s="105">
        <f t="shared" si="51"/>
        <v>0</v>
      </c>
      <c r="AG203" s="105"/>
      <c r="AH203" s="106"/>
      <c r="AK203" s="106">
        <f t="shared" si="67"/>
        <v>0</v>
      </c>
      <c r="AL203" s="106">
        <f t="shared" si="68"/>
        <v>0</v>
      </c>
      <c r="AQ203" s="107"/>
      <c r="AS203" s="108"/>
    </row>
    <row r="204" spans="1:45" x14ac:dyDescent="0.2">
      <c r="A204" s="85" t="s">
        <v>96</v>
      </c>
      <c r="B204" s="101" t="s">
        <v>88</v>
      </c>
      <c r="C204" s="86" t="s">
        <v>629</v>
      </c>
      <c r="F204" s="102">
        <f>E204</f>
        <v>0</v>
      </c>
      <c r="G204" s="103"/>
      <c r="H204" s="103"/>
      <c r="I204" s="103"/>
      <c r="J204" s="105"/>
      <c r="K204" s="105"/>
      <c r="L204" s="105"/>
      <c r="M204" s="105">
        <f t="shared" si="63"/>
        <v>0</v>
      </c>
      <c r="N204" s="105"/>
      <c r="O204" s="105"/>
      <c r="P204" s="105">
        <f t="shared" si="64"/>
        <v>0</v>
      </c>
      <c r="Q204" s="105"/>
      <c r="R204" s="105">
        <f t="shared" si="54"/>
        <v>0</v>
      </c>
      <c r="S204" s="105"/>
      <c r="T204" s="105">
        <f t="shared" si="60"/>
        <v>0</v>
      </c>
      <c r="U204" s="105"/>
      <c r="V204" s="91">
        <f t="shared" si="56"/>
        <v>0</v>
      </c>
      <c r="W204" s="105"/>
      <c r="X204" s="105">
        <f t="shared" si="65"/>
        <v>0</v>
      </c>
      <c r="Y204" s="105"/>
      <c r="Z204" s="105">
        <f t="shared" si="58"/>
        <v>0</v>
      </c>
      <c r="AA204" s="105"/>
      <c r="AB204" s="105">
        <f t="shared" si="66"/>
        <v>0</v>
      </c>
      <c r="AC204" s="105"/>
      <c r="AD204" s="105">
        <f t="shared" si="50"/>
        <v>0</v>
      </c>
      <c r="AE204" s="105"/>
      <c r="AF204" s="105">
        <f t="shared" si="51"/>
        <v>0</v>
      </c>
      <c r="AG204" s="105"/>
      <c r="AH204" s="106"/>
      <c r="AK204" s="106">
        <f t="shared" si="67"/>
        <v>0</v>
      </c>
      <c r="AL204" s="106">
        <f t="shared" si="68"/>
        <v>0</v>
      </c>
      <c r="AQ204" s="107"/>
      <c r="AR204" s="112"/>
      <c r="AS204" s="108"/>
    </row>
    <row r="205" spans="1:45" x14ac:dyDescent="0.2">
      <c r="A205" s="85" t="s">
        <v>96</v>
      </c>
      <c r="C205" s="92" t="s">
        <v>630</v>
      </c>
      <c r="D205" s="92"/>
      <c r="F205" s="104">
        <f>SUM(F204)</f>
        <v>0</v>
      </c>
      <c r="G205" s="104">
        <f>F205</f>
        <v>0</v>
      </c>
      <c r="H205" s="105">
        <f>VLOOKUP(A205,Data!$A$2:$Z$179,24,FALSE)</f>
        <v>27</v>
      </c>
      <c r="I205" s="105">
        <f>VLOOKUP(A205,Data!$A$2:$Z$179,25,FALSE)</f>
        <v>0</v>
      </c>
      <c r="J205" s="105">
        <f>VLOOKUP(A205,Data!$A$2:$Z$179,7,FALSE)</f>
        <v>27</v>
      </c>
      <c r="K205" s="105">
        <f>$F205*J205</f>
        <v>0</v>
      </c>
      <c r="L205" s="105">
        <f>VLOOKUP(A205,Data!$A$2:$Z$179,8,FALSE)</f>
        <v>0</v>
      </c>
      <c r="M205" s="105">
        <f>L205*F205</f>
        <v>0</v>
      </c>
      <c r="N205" s="105">
        <f>VLOOKUP(A205,Data!$A$2:$Z$179,9,FALSE)</f>
        <v>0</v>
      </c>
      <c r="O205" s="105">
        <f>VLOOKUP(A204,Data!$A$2:$Z$179,10,FALSE)</f>
        <v>0</v>
      </c>
      <c r="P205" s="105">
        <f>O205*F205</f>
        <v>0</v>
      </c>
      <c r="Q205" s="105">
        <f>VLOOKUP(A205,Data!$A$2:$Z$179,11,FALSE)</f>
        <v>0</v>
      </c>
      <c r="R205" s="105">
        <f t="shared" si="54"/>
        <v>0</v>
      </c>
      <c r="S205" s="105">
        <f>VLOOKUP(A205,Data!$A$2:$Z$179,12,FALSE)</f>
        <v>0</v>
      </c>
      <c r="T205" s="105">
        <f>S205*F205</f>
        <v>0</v>
      </c>
      <c r="U205" s="105">
        <f>VLOOKUP(A205,Data!$A$2:$Z$179,13,FALSE)</f>
        <v>3.3779653514902516E-2</v>
      </c>
      <c r="V205" s="91">
        <f t="shared" si="56"/>
        <v>0</v>
      </c>
      <c r="W205" s="105">
        <f>VLOOKUP(A205,Data!$A$2:$Z$179,22,FALSE)</f>
        <v>0</v>
      </c>
      <c r="X205" s="105">
        <f>W205*F205</f>
        <v>0</v>
      </c>
      <c r="Y205" s="105">
        <f>VLOOKUP(A205,Data!$A$2:$Z$179,19,FALSE)</f>
        <v>0</v>
      </c>
      <c r="Z205" s="105">
        <f t="shared" si="58"/>
        <v>0</v>
      </c>
      <c r="AA205" s="105">
        <f>VLOOKUP(A205,Data!$A$2:$Z$179,20,FALSE)</f>
        <v>0</v>
      </c>
      <c r="AB205" s="105">
        <f t="shared" si="66"/>
        <v>0</v>
      </c>
      <c r="AC205" s="105">
        <f>VLOOKUP(A205,Data!$A$2:$Z$179,21,FALSE)</f>
        <v>0</v>
      </c>
      <c r="AD205" s="105">
        <f t="shared" si="50"/>
        <v>0</v>
      </c>
      <c r="AE205" s="105">
        <f>J205+L205+N205+O205+Q205+S205+U205+W205+Y205+AA205+AC205</f>
        <v>27.033779653514902</v>
      </c>
      <c r="AF205" s="105">
        <f t="shared" si="51"/>
        <v>0</v>
      </c>
      <c r="AG205" s="105"/>
      <c r="AH205" s="106">
        <f>AE205-S205-W205</f>
        <v>27.033779653514902</v>
      </c>
      <c r="AI205" s="85">
        <f>AH205/AE205</f>
        <v>1</v>
      </c>
      <c r="AK205" s="106">
        <f t="shared" si="67"/>
        <v>0</v>
      </c>
      <c r="AL205" s="106">
        <f t="shared" si="68"/>
        <v>0</v>
      </c>
      <c r="AQ205" s="107"/>
      <c r="AR205" s="112"/>
      <c r="AS205" s="108"/>
    </row>
    <row r="206" spans="1:45" x14ac:dyDescent="0.2">
      <c r="C206" s="92"/>
      <c r="D206" s="92"/>
      <c r="F206" s="109"/>
      <c r="G206" s="109"/>
      <c r="H206" s="109"/>
      <c r="I206" s="109"/>
      <c r="J206" s="105"/>
      <c r="K206" s="105"/>
      <c r="L206" s="105"/>
      <c r="M206" s="105">
        <f t="shared" si="63"/>
        <v>0</v>
      </c>
      <c r="N206" s="105"/>
      <c r="O206" s="105"/>
      <c r="P206" s="105">
        <f t="shared" si="64"/>
        <v>0</v>
      </c>
      <c r="Q206" s="105"/>
      <c r="R206" s="105">
        <f t="shared" si="54"/>
        <v>0</v>
      </c>
      <c r="S206" s="105"/>
      <c r="T206" s="105">
        <f t="shared" si="60"/>
        <v>0</v>
      </c>
      <c r="U206" s="105"/>
      <c r="V206" s="91">
        <f t="shared" si="56"/>
        <v>0</v>
      </c>
      <c r="W206" s="105"/>
      <c r="X206" s="105">
        <f t="shared" si="65"/>
        <v>0</v>
      </c>
      <c r="Y206" s="105"/>
      <c r="Z206" s="105">
        <f t="shared" si="58"/>
        <v>0</v>
      </c>
      <c r="AA206" s="105"/>
      <c r="AB206" s="105">
        <f t="shared" si="66"/>
        <v>0</v>
      </c>
      <c r="AC206" s="105"/>
      <c r="AD206" s="105">
        <f t="shared" si="50"/>
        <v>0</v>
      </c>
      <c r="AE206" s="105"/>
      <c r="AF206" s="105">
        <f t="shared" si="51"/>
        <v>0</v>
      </c>
      <c r="AG206" s="105"/>
      <c r="AH206" s="106"/>
      <c r="AK206" s="106">
        <f t="shared" si="67"/>
        <v>0</v>
      </c>
      <c r="AL206" s="106">
        <f t="shared" si="68"/>
        <v>0</v>
      </c>
      <c r="AQ206" s="107"/>
      <c r="AR206" s="112"/>
      <c r="AS206" s="108"/>
    </row>
    <row r="207" spans="1:45" x14ac:dyDescent="0.2">
      <c r="A207" s="112" t="s">
        <v>97</v>
      </c>
      <c r="B207" s="101" t="s">
        <v>88</v>
      </c>
      <c r="C207" s="113" t="s">
        <v>631</v>
      </c>
      <c r="F207" s="102">
        <f>E207</f>
        <v>0</v>
      </c>
      <c r="G207" s="102"/>
      <c r="H207" s="102"/>
      <c r="I207" s="102"/>
      <c r="J207" s="105"/>
      <c r="K207" s="105"/>
      <c r="L207" s="105"/>
      <c r="M207" s="105">
        <f t="shared" si="63"/>
        <v>0</v>
      </c>
      <c r="N207" s="105"/>
      <c r="O207" s="105"/>
      <c r="P207" s="105">
        <f t="shared" si="64"/>
        <v>0</v>
      </c>
      <c r="Q207" s="105"/>
      <c r="R207" s="105">
        <f t="shared" si="54"/>
        <v>0</v>
      </c>
      <c r="S207" s="105"/>
      <c r="T207" s="105">
        <f t="shared" si="60"/>
        <v>0</v>
      </c>
      <c r="U207" s="105"/>
      <c r="V207" s="91">
        <f t="shared" si="56"/>
        <v>0</v>
      </c>
      <c r="W207" s="105"/>
      <c r="X207" s="105">
        <f t="shared" si="65"/>
        <v>0</v>
      </c>
      <c r="Y207" s="105"/>
      <c r="Z207" s="105">
        <f t="shared" si="58"/>
        <v>0</v>
      </c>
      <c r="AA207" s="105"/>
      <c r="AB207" s="105">
        <f t="shared" si="66"/>
        <v>0</v>
      </c>
      <c r="AC207" s="105"/>
      <c r="AD207" s="105">
        <f t="shared" si="50"/>
        <v>0</v>
      </c>
      <c r="AE207" s="105"/>
      <c r="AF207" s="105">
        <f t="shared" si="51"/>
        <v>0</v>
      </c>
      <c r="AG207" s="105"/>
      <c r="AH207" s="106"/>
      <c r="AK207" s="106">
        <f t="shared" si="67"/>
        <v>0</v>
      </c>
      <c r="AL207" s="106">
        <f t="shared" si="68"/>
        <v>0</v>
      </c>
      <c r="AQ207" s="107"/>
      <c r="AS207" s="108"/>
    </row>
    <row r="208" spans="1:45" x14ac:dyDescent="0.2">
      <c r="A208" s="112" t="s">
        <v>97</v>
      </c>
      <c r="B208" s="101" t="s">
        <v>81</v>
      </c>
      <c r="C208" s="113" t="s">
        <v>631</v>
      </c>
      <c r="F208" s="102">
        <f>E208</f>
        <v>0</v>
      </c>
      <c r="G208" s="102"/>
      <c r="H208" s="102"/>
      <c r="I208" s="102"/>
      <c r="J208" s="105"/>
      <c r="K208" s="105"/>
      <c r="L208" s="105"/>
      <c r="M208" s="105">
        <f t="shared" si="63"/>
        <v>0</v>
      </c>
      <c r="N208" s="105"/>
      <c r="O208" s="105"/>
      <c r="P208" s="105">
        <f t="shared" si="64"/>
        <v>0</v>
      </c>
      <c r="Q208" s="105"/>
      <c r="R208" s="105">
        <f t="shared" si="54"/>
        <v>0</v>
      </c>
      <c r="S208" s="105"/>
      <c r="T208" s="105">
        <f t="shared" si="60"/>
        <v>0</v>
      </c>
      <c r="U208" s="105"/>
      <c r="V208" s="91">
        <f t="shared" si="56"/>
        <v>0</v>
      </c>
      <c r="W208" s="105"/>
      <c r="X208" s="105">
        <f t="shared" si="65"/>
        <v>0</v>
      </c>
      <c r="Y208" s="105"/>
      <c r="Z208" s="105">
        <f t="shared" si="58"/>
        <v>0</v>
      </c>
      <c r="AA208" s="105"/>
      <c r="AB208" s="105">
        <f>$F207*AA208</f>
        <v>0</v>
      </c>
      <c r="AC208" s="105"/>
      <c r="AD208" s="105">
        <f t="shared" si="50"/>
        <v>0</v>
      </c>
      <c r="AE208" s="105"/>
      <c r="AF208" s="105">
        <f t="shared" si="51"/>
        <v>0</v>
      </c>
      <c r="AG208" s="105"/>
      <c r="AH208" s="106"/>
      <c r="AK208" s="106">
        <f t="shared" si="67"/>
        <v>0</v>
      </c>
      <c r="AL208" s="106">
        <f t="shared" si="68"/>
        <v>0</v>
      </c>
      <c r="AQ208" s="107"/>
      <c r="AS208" s="108"/>
    </row>
    <row r="209" spans="1:45" x14ac:dyDescent="0.2">
      <c r="A209" s="112" t="s">
        <v>97</v>
      </c>
      <c r="C209" s="92" t="s">
        <v>632</v>
      </c>
      <c r="D209" s="92"/>
      <c r="F209" s="104">
        <f>SUM(F207:F208)</f>
        <v>0</v>
      </c>
      <c r="G209" s="104">
        <f>F209</f>
        <v>0</v>
      </c>
      <c r="H209" s="105">
        <f>VLOOKUP(A209,Data!$A$2:$Z$179,24,FALSE)</f>
        <v>27</v>
      </c>
      <c r="I209" s="105">
        <f>VLOOKUP(A209,Data!$A$2:$Z$179,25,FALSE)</f>
        <v>0</v>
      </c>
      <c r="J209" s="105">
        <f>VLOOKUP(A209,Data!$A$2:$Z$179,7,FALSE)</f>
        <v>22.419</v>
      </c>
      <c r="K209" s="105">
        <f>$F209*J209</f>
        <v>0</v>
      </c>
      <c r="L209" s="105">
        <f>VLOOKUP(A209,Data!$A$2:$Z$179,8,FALSE)</f>
        <v>0</v>
      </c>
      <c r="M209" s="105">
        <f>L209*F209</f>
        <v>0</v>
      </c>
      <c r="N209" s="105">
        <f>VLOOKUP(A209,Data!$A$2:$Z$179,9,FALSE)</f>
        <v>0</v>
      </c>
      <c r="O209" s="105">
        <f>VLOOKUP(A208,Data!$A$2:$Z$179,10,FALSE)</f>
        <v>0</v>
      </c>
      <c r="P209" s="105">
        <f>O209*F209</f>
        <v>0</v>
      </c>
      <c r="Q209" s="105">
        <f>VLOOKUP(A209,Data!$A$2:$Z$179,11,FALSE)</f>
        <v>0</v>
      </c>
      <c r="R209" s="105">
        <f t="shared" si="54"/>
        <v>0</v>
      </c>
      <c r="S209" s="105">
        <f>VLOOKUP(A209,Data!$A$2:$Z$179,12,FALSE)</f>
        <v>0</v>
      </c>
      <c r="T209" s="105">
        <f>S209*F209</f>
        <v>0</v>
      </c>
      <c r="U209" s="105">
        <f>VLOOKUP(A209,Data!$A$2:$Z$179,13,FALSE)</f>
        <v>5.2925311072964047E-2</v>
      </c>
      <c r="V209" s="91">
        <f>U209*F209/1000</f>
        <v>0</v>
      </c>
      <c r="W209" s="105">
        <f>VLOOKUP(A209,Data!$A$2:$Z$179,22,FALSE)</f>
        <v>0</v>
      </c>
      <c r="X209" s="105">
        <f>W209*F209</f>
        <v>0</v>
      </c>
      <c r="Y209" s="105">
        <f>VLOOKUP(A209,Data!$A$2:$Z$179,19,FALSE)</f>
        <v>0</v>
      </c>
      <c r="Z209" s="105">
        <f t="shared" si="58"/>
        <v>0</v>
      </c>
      <c r="AA209" s="105">
        <f>VLOOKUP(A209,Data!$A$2:$Z$179,20,FALSE)</f>
        <v>0</v>
      </c>
      <c r="AB209" s="105">
        <f>$F209*AA209</f>
        <v>0</v>
      </c>
      <c r="AC209" s="105">
        <f>VLOOKUP(A209,Data!$A$2:$Z$179,21,FALSE)</f>
        <v>0</v>
      </c>
      <c r="AD209" s="105">
        <f t="shared" ref="AD209:AD272" si="69">$F209*AC209</f>
        <v>0</v>
      </c>
      <c r="AE209" s="105">
        <f>J209+L209+N209+O209+Q209+S209+U209+W209+Y209+AA209+AC209</f>
        <v>22.471925311072965</v>
      </c>
      <c r="AF209" s="105">
        <f t="shared" ref="AF209:AF272" si="70">$F209*AE209</f>
        <v>0</v>
      </c>
      <c r="AG209" s="105"/>
      <c r="AH209" s="106">
        <f>AE209-S209-W209</f>
        <v>22.471925311072965</v>
      </c>
      <c r="AI209" s="85">
        <f>AH209/AE209</f>
        <v>1</v>
      </c>
      <c r="AK209" s="106">
        <f t="shared" si="67"/>
        <v>0</v>
      </c>
      <c r="AL209" s="106">
        <f t="shared" si="68"/>
        <v>0</v>
      </c>
      <c r="AQ209" s="107"/>
      <c r="AS209" s="108"/>
    </row>
    <row r="210" spans="1:45" x14ac:dyDescent="0.2">
      <c r="C210" s="92"/>
      <c r="D210" s="92"/>
      <c r="F210" s="109"/>
      <c r="G210" s="109"/>
      <c r="H210" s="109"/>
      <c r="I210" s="109"/>
      <c r="J210" s="105"/>
      <c r="K210" s="105"/>
      <c r="L210" s="105"/>
      <c r="M210" s="105">
        <f t="shared" ref="M210:M273" si="71">L210*F210</f>
        <v>0</v>
      </c>
      <c r="N210" s="105"/>
      <c r="O210" s="105"/>
      <c r="P210" s="105">
        <f t="shared" ref="P210:P273" si="72">O210*F210</f>
        <v>0</v>
      </c>
      <c r="Q210" s="105"/>
      <c r="R210" s="105">
        <f t="shared" ref="R210:R273" si="73">$F210*Q210</f>
        <v>0</v>
      </c>
      <c r="S210" s="105"/>
      <c r="T210" s="105">
        <f t="shared" si="60"/>
        <v>0</v>
      </c>
      <c r="U210" s="105"/>
      <c r="V210" s="91">
        <f t="shared" ref="V210:V273" si="74">U210*F210/1000</f>
        <v>0</v>
      </c>
      <c r="W210" s="105"/>
      <c r="X210" s="105">
        <f t="shared" ref="X210:X273" si="75">W210*F210</f>
        <v>0</v>
      </c>
      <c r="Y210" s="105"/>
      <c r="Z210" s="105">
        <f t="shared" ref="Z210:Z273" si="76">$F210*Y210</f>
        <v>0</v>
      </c>
      <c r="AA210" s="105"/>
      <c r="AB210" s="105">
        <f>$F209*AA210</f>
        <v>0</v>
      </c>
      <c r="AC210" s="105"/>
      <c r="AD210" s="105">
        <f t="shared" si="69"/>
        <v>0</v>
      </c>
      <c r="AE210" s="105"/>
      <c r="AF210" s="105">
        <f t="shared" si="70"/>
        <v>0</v>
      </c>
      <c r="AG210" s="105"/>
      <c r="AH210" s="106"/>
      <c r="AK210" s="106">
        <f t="shared" si="67"/>
        <v>0</v>
      </c>
      <c r="AL210" s="106">
        <f t="shared" si="68"/>
        <v>0</v>
      </c>
      <c r="AQ210" s="107"/>
      <c r="AR210" s="112"/>
      <c r="AS210" s="108"/>
    </row>
    <row r="211" spans="1:45" x14ac:dyDescent="0.2">
      <c r="A211" s="85" t="s">
        <v>98</v>
      </c>
      <c r="B211" s="101" t="s">
        <v>88</v>
      </c>
      <c r="C211" s="86" t="s">
        <v>633</v>
      </c>
      <c r="F211" s="102">
        <f>E211</f>
        <v>0</v>
      </c>
      <c r="G211" s="103"/>
      <c r="H211" s="103"/>
      <c r="I211" s="103"/>
      <c r="J211" s="105"/>
      <c r="K211" s="105"/>
      <c r="L211" s="105"/>
      <c r="M211" s="105">
        <f t="shared" si="71"/>
        <v>0</v>
      </c>
      <c r="N211" s="105"/>
      <c r="O211" s="105"/>
      <c r="P211" s="105">
        <f t="shared" si="72"/>
        <v>0</v>
      </c>
      <c r="Q211" s="105"/>
      <c r="R211" s="105">
        <f t="shared" si="73"/>
        <v>0</v>
      </c>
      <c r="S211" s="105"/>
      <c r="T211" s="105">
        <f t="shared" si="60"/>
        <v>0</v>
      </c>
      <c r="U211" s="105"/>
      <c r="V211" s="91">
        <f t="shared" si="74"/>
        <v>0</v>
      </c>
      <c r="W211" s="105"/>
      <c r="X211" s="105">
        <f t="shared" si="75"/>
        <v>0</v>
      </c>
      <c r="Y211" s="105"/>
      <c r="Z211" s="105">
        <f t="shared" si="76"/>
        <v>0</v>
      </c>
      <c r="AA211" s="105"/>
      <c r="AB211" s="105">
        <f>$F210*AA211</f>
        <v>0</v>
      </c>
      <c r="AC211" s="105"/>
      <c r="AD211" s="105">
        <f t="shared" si="69"/>
        <v>0</v>
      </c>
      <c r="AE211" s="105"/>
      <c r="AF211" s="105">
        <f t="shared" si="70"/>
        <v>0</v>
      </c>
      <c r="AG211" s="105"/>
      <c r="AH211" s="106"/>
      <c r="AK211" s="106">
        <f t="shared" si="67"/>
        <v>0</v>
      </c>
      <c r="AL211" s="106">
        <f t="shared" si="68"/>
        <v>0</v>
      </c>
      <c r="AQ211" s="107"/>
      <c r="AR211" s="112"/>
      <c r="AS211" s="108"/>
    </row>
    <row r="212" spans="1:45" x14ac:dyDescent="0.2">
      <c r="A212" s="85" t="s">
        <v>98</v>
      </c>
      <c r="B212" s="101"/>
      <c r="C212" s="92" t="s">
        <v>634</v>
      </c>
      <c r="D212" s="92"/>
      <c r="F212" s="104">
        <f>SUM(F211)</f>
        <v>0</v>
      </c>
      <c r="G212" s="104">
        <f>F212</f>
        <v>0</v>
      </c>
      <c r="H212" s="105">
        <f>VLOOKUP(A212,Data!$A$2:$Z$179,24,FALSE)</f>
        <v>26.128</v>
      </c>
      <c r="I212" s="105">
        <f>VLOOKUP(A212,Data!$A$2:$Z$179,25,FALSE)</f>
        <v>16.695</v>
      </c>
      <c r="J212" s="105">
        <f>VLOOKUP(A212,Data!$A$2:$Z$179,7,FALSE)</f>
        <v>9.4329999999999998</v>
      </c>
      <c r="K212" s="105">
        <f>$F212*J212</f>
        <v>0</v>
      </c>
      <c r="L212" s="105">
        <f>VLOOKUP(A212,Data!$A$2:$Z$179,8,FALSE)</f>
        <v>0</v>
      </c>
      <c r="M212" s="105">
        <f>L212*F212</f>
        <v>0</v>
      </c>
      <c r="N212" s="105">
        <f>VLOOKUP(A212,Data!$A$2:$Z$179,9,FALSE)</f>
        <v>0</v>
      </c>
      <c r="O212" s="105">
        <f>VLOOKUP(A211,Data!$A$2:$Z$179,10,FALSE)</f>
        <v>0</v>
      </c>
      <c r="P212" s="105">
        <f>O212*F212</f>
        <v>0</v>
      </c>
      <c r="Q212" s="105">
        <f>VLOOKUP(A212,Data!$A$2:$Z$179,11,FALSE)</f>
        <v>0</v>
      </c>
      <c r="R212" s="105">
        <f t="shared" si="73"/>
        <v>0</v>
      </c>
      <c r="S212" s="105">
        <f>VLOOKUP(A212,Data!$A$2:$Z$179,12,FALSE)</f>
        <v>0</v>
      </c>
      <c r="T212" s="105">
        <f>S212*F212</f>
        <v>0</v>
      </c>
      <c r="U212" s="105">
        <f>VLOOKUP(A212,Data!$A$2:$Z$179,13,FALSE)</f>
        <v>0.20994106166803908</v>
      </c>
      <c r="V212" s="91">
        <f t="shared" si="74"/>
        <v>0</v>
      </c>
      <c r="W212" s="105">
        <f>VLOOKUP(A212,Data!$A$2:$Z$179,22,FALSE)</f>
        <v>0</v>
      </c>
      <c r="X212" s="105">
        <f>W212*F212</f>
        <v>0</v>
      </c>
      <c r="Y212" s="105">
        <f>VLOOKUP(A212,Data!$A$2:$Z$179,19,FALSE)</f>
        <v>0</v>
      </c>
      <c r="Z212" s="105">
        <f t="shared" si="76"/>
        <v>0</v>
      </c>
      <c r="AA212" s="105">
        <f>VLOOKUP(A212,Data!$A$2:$Z$179,20,FALSE)</f>
        <v>0</v>
      </c>
      <c r="AB212" s="105">
        <f>$F212*AA212</f>
        <v>0</v>
      </c>
      <c r="AC212" s="105">
        <f>VLOOKUP(A212,Data!$A$2:$Z$179,21,FALSE)</f>
        <v>0</v>
      </c>
      <c r="AD212" s="105">
        <f t="shared" si="69"/>
        <v>0</v>
      </c>
      <c r="AE212" s="105">
        <f>J212+L212+N212+O212+Q212+S212+U212+W212+Y212+AA212+AC212</f>
        <v>9.6429410616680382</v>
      </c>
      <c r="AF212" s="105">
        <f t="shared" si="70"/>
        <v>0</v>
      </c>
      <c r="AG212" s="105"/>
      <c r="AH212" s="106">
        <f>AE212-S212-W212</f>
        <v>9.6429410616680382</v>
      </c>
      <c r="AI212" s="85">
        <f>AH212/AE212</f>
        <v>1</v>
      </c>
      <c r="AK212" s="106">
        <f t="shared" si="67"/>
        <v>0</v>
      </c>
      <c r="AL212" s="106">
        <f t="shared" si="68"/>
        <v>0</v>
      </c>
      <c r="AQ212" s="107"/>
      <c r="AS212" s="108"/>
    </row>
    <row r="213" spans="1:45" x14ac:dyDescent="0.2">
      <c r="B213" s="101"/>
      <c r="C213" s="92"/>
      <c r="D213" s="92"/>
      <c r="F213" s="109"/>
      <c r="G213" s="109"/>
      <c r="H213" s="109"/>
      <c r="I213" s="109"/>
      <c r="J213" s="105"/>
      <c r="K213" s="105"/>
      <c r="L213" s="105"/>
      <c r="M213" s="105">
        <f t="shared" si="71"/>
        <v>0</v>
      </c>
      <c r="N213" s="105"/>
      <c r="O213" s="105"/>
      <c r="P213" s="105">
        <f t="shared" si="72"/>
        <v>0</v>
      </c>
      <c r="Q213" s="105"/>
      <c r="R213" s="105">
        <f t="shared" si="73"/>
        <v>0</v>
      </c>
      <c r="S213" s="105"/>
      <c r="T213" s="105">
        <f t="shared" si="60"/>
        <v>0</v>
      </c>
      <c r="U213" s="105"/>
      <c r="V213" s="91">
        <f t="shared" si="74"/>
        <v>0</v>
      </c>
      <c r="W213" s="105"/>
      <c r="X213" s="105">
        <f t="shared" si="75"/>
        <v>0</v>
      </c>
      <c r="Y213" s="105"/>
      <c r="Z213" s="105">
        <f t="shared" si="76"/>
        <v>0</v>
      </c>
      <c r="AA213" s="105"/>
      <c r="AB213" s="105">
        <f t="shared" ref="AB213:AB221" si="77">$F213*AA213</f>
        <v>0</v>
      </c>
      <c r="AC213" s="105"/>
      <c r="AD213" s="105">
        <f t="shared" si="69"/>
        <v>0</v>
      </c>
      <c r="AE213" s="105"/>
      <c r="AF213" s="105">
        <f t="shared" si="70"/>
        <v>0</v>
      </c>
      <c r="AG213" s="105"/>
      <c r="AH213" s="106"/>
      <c r="AK213" s="106">
        <f t="shared" si="67"/>
        <v>0</v>
      </c>
      <c r="AL213" s="106">
        <f t="shared" si="68"/>
        <v>0</v>
      </c>
      <c r="AQ213" s="107"/>
      <c r="AS213" s="108"/>
    </row>
    <row r="214" spans="1:45" x14ac:dyDescent="0.2">
      <c r="A214" s="85" t="s">
        <v>99</v>
      </c>
      <c r="B214" s="101" t="s">
        <v>88</v>
      </c>
      <c r="C214" s="86" t="s">
        <v>635</v>
      </c>
      <c r="F214" s="102">
        <f>E214</f>
        <v>0</v>
      </c>
      <c r="G214" s="103"/>
      <c r="H214" s="103"/>
      <c r="I214" s="103"/>
      <c r="J214" s="105"/>
      <c r="K214" s="105"/>
      <c r="L214" s="105"/>
      <c r="M214" s="105">
        <f t="shared" si="71"/>
        <v>0</v>
      </c>
      <c r="N214" s="105"/>
      <c r="O214" s="105"/>
      <c r="P214" s="105">
        <f t="shared" si="72"/>
        <v>0</v>
      </c>
      <c r="Q214" s="105"/>
      <c r="R214" s="105">
        <f t="shared" si="73"/>
        <v>0</v>
      </c>
      <c r="S214" s="105"/>
      <c r="T214" s="105">
        <f t="shared" si="60"/>
        <v>0</v>
      </c>
      <c r="U214" s="105"/>
      <c r="V214" s="91">
        <f t="shared" si="74"/>
        <v>0</v>
      </c>
      <c r="W214" s="105"/>
      <c r="X214" s="105">
        <f t="shared" si="75"/>
        <v>0</v>
      </c>
      <c r="Y214" s="105"/>
      <c r="Z214" s="105">
        <f t="shared" si="76"/>
        <v>0</v>
      </c>
      <c r="AA214" s="105"/>
      <c r="AB214" s="105">
        <f t="shared" si="77"/>
        <v>0</v>
      </c>
      <c r="AC214" s="105"/>
      <c r="AD214" s="105">
        <f t="shared" si="69"/>
        <v>0</v>
      </c>
      <c r="AE214" s="105"/>
      <c r="AF214" s="105">
        <f t="shared" si="70"/>
        <v>0</v>
      </c>
      <c r="AG214" s="105"/>
      <c r="AH214" s="106"/>
      <c r="AK214" s="106">
        <f t="shared" si="67"/>
        <v>0</v>
      </c>
      <c r="AL214" s="106">
        <f t="shared" si="68"/>
        <v>0</v>
      </c>
      <c r="AQ214" s="107"/>
      <c r="AS214" s="108"/>
    </row>
    <row r="215" spans="1:45" x14ac:dyDescent="0.2">
      <c r="A215" s="85" t="s">
        <v>99</v>
      </c>
      <c r="C215" s="92" t="s">
        <v>636</v>
      </c>
      <c r="D215" s="92"/>
      <c r="F215" s="104">
        <f>SUM(F214)</f>
        <v>0</v>
      </c>
      <c r="G215" s="104">
        <f>F215</f>
        <v>0</v>
      </c>
      <c r="H215" s="105">
        <f>VLOOKUP(A215,Data!$A$2:$Z$179,24,FALSE)</f>
        <v>27</v>
      </c>
      <c r="I215" s="105">
        <f>VLOOKUP(A215,Data!$A$2:$Z$179,25,FALSE)</f>
        <v>2.8359999999999999</v>
      </c>
      <c r="J215" s="105">
        <f>VLOOKUP(A215,Data!$A$2:$Z$179,7,FALSE)</f>
        <v>24.164000000000001</v>
      </c>
      <c r="K215" s="105">
        <f>$F215*J215</f>
        <v>0</v>
      </c>
      <c r="L215" s="105">
        <f>VLOOKUP(A215,Data!$A$2:$Z$179,8,FALSE)</f>
        <v>0</v>
      </c>
      <c r="M215" s="105">
        <f>L215*F215</f>
        <v>0</v>
      </c>
      <c r="N215" s="105">
        <f>VLOOKUP(A215,Data!$A$2:$Z$179,9,FALSE)</f>
        <v>0</v>
      </c>
      <c r="O215" s="105">
        <f>VLOOKUP(A214,Data!$A$2:$Z$179,10,FALSE)</f>
        <v>0</v>
      </c>
      <c r="P215" s="105">
        <f>O215*F215</f>
        <v>0</v>
      </c>
      <c r="Q215" s="105">
        <f>VLOOKUP(A215,Data!$A$2:$Z$179,11,FALSE)</f>
        <v>0</v>
      </c>
      <c r="R215" s="105">
        <f t="shared" si="73"/>
        <v>0</v>
      </c>
      <c r="S215" s="105">
        <f>VLOOKUP(A215,Data!$A$2:$Z$179,12,FALSE)</f>
        <v>5.7429999999999994</v>
      </c>
      <c r="T215" s="105">
        <f>S215*F215</f>
        <v>0</v>
      </c>
      <c r="U215" s="105">
        <f>VLOOKUP(A215,Data!$A$2:$Z$179,13,FALSE)</f>
        <v>0</v>
      </c>
      <c r="V215" s="91">
        <f t="shared" si="74"/>
        <v>0</v>
      </c>
      <c r="W215" s="105">
        <f>VLOOKUP(A215,Data!$A$2:$Z$179,22,FALSE)</f>
        <v>0</v>
      </c>
      <c r="X215" s="105">
        <f>W215*F215</f>
        <v>0</v>
      </c>
      <c r="Y215" s="105">
        <f>VLOOKUP(A215,Data!$A$2:$Z$179,19,FALSE)</f>
        <v>0</v>
      </c>
      <c r="Z215" s="105">
        <f t="shared" si="76"/>
        <v>0</v>
      </c>
      <c r="AA215" s="105">
        <f>VLOOKUP(A215,Data!$A$2:$Z$179,20,FALSE)</f>
        <v>0</v>
      </c>
      <c r="AB215" s="105">
        <f t="shared" si="77"/>
        <v>0</v>
      </c>
      <c r="AC215" s="105">
        <f>VLOOKUP(A215,Data!$A$2:$Z$179,21,FALSE)</f>
        <v>0</v>
      </c>
      <c r="AD215" s="105">
        <f t="shared" si="69"/>
        <v>0</v>
      </c>
      <c r="AE215" s="105">
        <f>J215+L215+N215+O215+Q215+S215+U215+W215+Y215+AA215+AC215</f>
        <v>29.907</v>
      </c>
      <c r="AF215" s="105">
        <f t="shared" si="70"/>
        <v>0</v>
      </c>
      <c r="AG215" s="105"/>
      <c r="AH215" s="106">
        <f>AE215-S215-W215</f>
        <v>24.164000000000001</v>
      </c>
      <c r="AI215" s="85">
        <f>AH215/AE215</f>
        <v>0.80797137793827534</v>
      </c>
      <c r="AK215" s="106">
        <f t="shared" si="67"/>
        <v>5.7429999999999994</v>
      </c>
      <c r="AL215" s="106">
        <f t="shared" si="68"/>
        <v>5.7429999999999994</v>
      </c>
      <c r="AQ215" s="107"/>
      <c r="AR215" s="112"/>
      <c r="AS215" s="108"/>
    </row>
    <row r="216" spans="1:45" x14ac:dyDescent="0.2">
      <c r="C216" s="92"/>
      <c r="D216" s="92"/>
      <c r="F216" s="109"/>
      <c r="G216" s="109"/>
      <c r="H216" s="109"/>
      <c r="I216" s="109"/>
      <c r="J216" s="105"/>
      <c r="K216" s="105"/>
      <c r="L216" s="105"/>
      <c r="M216" s="105">
        <f t="shared" si="71"/>
        <v>0</v>
      </c>
      <c r="N216" s="105"/>
      <c r="O216" s="105"/>
      <c r="P216" s="105">
        <f t="shared" si="72"/>
        <v>0</v>
      </c>
      <c r="Q216" s="105"/>
      <c r="R216" s="105">
        <f t="shared" si="73"/>
        <v>0</v>
      </c>
      <c r="S216" s="105"/>
      <c r="T216" s="105">
        <f t="shared" si="60"/>
        <v>0</v>
      </c>
      <c r="U216" s="105"/>
      <c r="V216" s="91">
        <f t="shared" si="74"/>
        <v>0</v>
      </c>
      <c r="W216" s="105"/>
      <c r="X216" s="105">
        <f t="shared" si="75"/>
        <v>0</v>
      </c>
      <c r="Y216" s="105"/>
      <c r="Z216" s="105">
        <f t="shared" si="76"/>
        <v>0</v>
      </c>
      <c r="AA216" s="105"/>
      <c r="AB216" s="105">
        <f t="shared" si="77"/>
        <v>0</v>
      </c>
      <c r="AC216" s="105"/>
      <c r="AD216" s="105">
        <f t="shared" si="69"/>
        <v>0</v>
      </c>
      <c r="AE216" s="105"/>
      <c r="AF216" s="105">
        <f t="shared" si="70"/>
        <v>0</v>
      </c>
      <c r="AG216" s="105"/>
      <c r="AH216" s="106"/>
      <c r="AK216" s="106">
        <f t="shared" si="67"/>
        <v>0</v>
      </c>
      <c r="AL216" s="106">
        <f t="shared" si="68"/>
        <v>0</v>
      </c>
      <c r="AQ216" s="107"/>
      <c r="AS216" s="108"/>
    </row>
    <row r="217" spans="1:45" x14ac:dyDescent="0.2">
      <c r="A217" s="85" t="s">
        <v>100</v>
      </c>
      <c r="B217" s="101" t="s">
        <v>88</v>
      </c>
      <c r="C217" s="86" t="s">
        <v>462</v>
      </c>
      <c r="F217" s="102">
        <f>E217</f>
        <v>0</v>
      </c>
      <c r="G217" s="103"/>
      <c r="H217" s="103"/>
      <c r="I217" s="103"/>
      <c r="J217" s="105"/>
      <c r="K217" s="105"/>
      <c r="L217" s="105"/>
      <c r="M217" s="105">
        <f t="shared" si="71"/>
        <v>0</v>
      </c>
      <c r="N217" s="105"/>
      <c r="O217" s="105"/>
      <c r="P217" s="105">
        <f t="shared" si="72"/>
        <v>0</v>
      </c>
      <c r="Q217" s="105"/>
      <c r="R217" s="105">
        <f t="shared" si="73"/>
        <v>0</v>
      </c>
      <c r="S217" s="105"/>
      <c r="T217" s="105">
        <f t="shared" si="60"/>
        <v>0</v>
      </c>
      <c r="U217" s="105"/>
      <c r="V217" s="91">
        <f t="shared" si="74"/>
        <v>0</v>
      </c>
      <c r="W217" s="105"/>
      <c r="X217" s="105">
        <f t="shared" si="75"/>
        <v>0</v>
      </c>
      <c r="Y217" s="105"/>
      <c r="Z217" s="105">
        <f t="shared" si="76"/>
        <v>0</v>
      </c>
      <c r="AA217" s="105"/>
      <c r="AB217" s="105">
        <f t="shared" si="77"/>
        <v>0</v>
      </c>
      <c r="AC217" s="105"/>
      <c r="AD217" s="105">
        <f t="shared" si="69"/>
        <v>0</v>
      </c>
      <c r="AE217" s="105"/>
      <c r="AF217" s="105">
        <f t="shared" si="70"/>
        <v>0</v>
      </c>
      <c r="AG217" s="105"/>
      <c r="AH217" s="106"/>
      <c r="AK217" s="106">
        <f t="shared" si="67"/>
        <v>0</v>
      </c>
      <c r="AL217" s="106">
        <f t="shared" si="68"/>
        <v>0</v>
      </c>
      <c r="AQ217" s="107"/>
      <c r="AS217" s="108"/>
    </row>
    <row r="218" spans="1:45" x14ac:dyDescent="0.2">
      <c r="A218" s="85" t="s">
        <v>100</v>
      </c>
      <c r="B218" s="101"/>
      <c r="C218" s="92" t="s">
        <v>637</v>
      </c>
      <c r="D218" s="92"/>
      <c r="F218" s="104">
        <f>SUM(F217)</f>
        <v>0</v>
      </c>
      <c r="G218" s="104">
        <f>F218</f>
        <v>0</v>
      </c>
      <c r="H218" s="105">
        <f>VLOOKUP(A218,Data!$A$2:$Z$179,24,FALSE)</f>
        <v>27</v>
      </c>
      <c r="I218" s="105">
        <f>VLOOKUP(A218,Data!$A$2:$Z$179,25,FALSE)</f>
        <v>1.5409999999999999</v>
      </c>
      <c r="J218" s="105">
        <f>VLOOKUP(A218,Data!$A$2:$Z$179,7,FALSE)</f>
        <v>25.459</v>
      </c>
      <c r="K218" s="105">
        <f>$F218*J218</f>
        <v>0</v>
      </c>
      <c r="L218" s="105">
        <f>VLOOKUP(A218,Data!$A$2:$Z$179,8,FALSE)</f>
        <v>0</v>
      </c>
      <c r="M218" s="105">
        <f>L218*F218</f>
        <v>0</v>
      </c>
      <c r="N218" s="105">
        <f>VLOOKUP(A218,Data!$A$2:$Z$179,9,FALSE)</f>
        <v>0</v>
      </c>
      <c r="O218" s="105">
        <f>VLOOKUP(A217,Data!$A$2:$Z$179,10,FALSE)</f>
        <v>0</v>
      </c>
      <c r="P218" s="105">
        <f>O218*F218</f>
        <v>0</v>
      </c>
      <c r="Q218" s="105">
        <f>VLOOKUP(A218,Data!$A$2:$Z$179,11,FALSE)</f>
        <v>0</v>
      </c>
      <c r="R218" s="105">
        <f t="shared" si="73"/>
        <v>0</v>
      </c>
      <c r="S218" s="105">
        <f>VLOOKUP(A218,Data!$A$2:$Z$179,12,FALSE)</f>
        <v>5.8199999999999994</v>
      </c>
      <c r="T218" s="105">
        <f>S218*F218</f>
        <v>0</v>
      </c>
      <c r="U218" s="105">
        <f>VLOOKUP(A218,Data!$A$2:$Z$179,13,FALSE)</f>
        <v>0.18378833035528561</v>
      </c>
      <c r="V218" s="91">
        <f t="shared" si="74"/>
        <v>0</v>
      </c>
      <c r="W218" s="105">
        <f>VLOOKUP(A218,Data!$A$2:$Z$179,22,FALSE)</f>
        <v>0</v>
      </c>
      <c r="X218" s="105">
        <f>W218*F218</f>
        <v>0</v>
      </c>
      <c r="Y218" s="105">
        <f>VLOOKUP(A218,Data!$A$2:$Z$179,19,FALSE)</f>
        <v>0</v>
      </c>
      <c r="Z218" s="105">
        <f t="shared" si="76"/>
        <v>0</v>
      </c>
      <c r="AA218" s="105">
        <f>VLOOKUP(A218,Data!$A$2:$Z$179,20,FALSE)</f>
        <v>0</v>
      </c>
      <c r="AB218" s="105">
        <f t="shared" si="77"/>
        <v>0</v>
      </c>
      <c r="AC218" s="105">
        <f>VLOOKUP(A218,Data!$A$2:$Z$179,21,FALSE)</f>
        <v>0</v>
      </c>
      <c r="AD218" s="105">
        <f t="shared" si="69"/>
        <v>0</v>
      </c>
      <c r="AE218" s="105">
        <f>J218+L218+N218+O218+Q218+S218+U218+W218+Y218+AA218+AC218</f>
        <v>31.462788330355284</v>
      </c>
      <c r="AF218" s="105">
        <f t="shared" si="70"/>
        <v>0</v>
      </c>
      <c r="AG218" s="105"/>
      <c r="AH218" s="106">
        <f>AE218-S218-W218</f>
        <v>25.642788330355284</v>
      </c>
      <c r="AI218" s="85">
        <f>AH218/AE218</f>
        <v>0.81501957363439193</v>
      </c>
      <c r="AK218" s="106">
        <f t="shared" si="67"/>
        <v>5.8199999999999994</v>
      </c>
      <c r="AL218" s="106">
        <f t="shared" si="68"/>
        <v>5.8199999999999994</v>
      </c>
      <c r="AQ218" s="107"/>
      <c r="AS218" s="108"/>
    </row>
    <row r="219" spans="1:45" x14ac:dyDescent="0.2">
      <c r="B219" s="101"/>
      <c r="C219" s="92"/>
      <c r="D219" s="92"/>
      <c r="F219" s="109"/>
      <c r="G219" s="109"/>
      <c r="H219" s="109"/>
      <c r="I219" s="109"/>
      <c r="J219" s="105"/>
      <c r="K219" s="105"/>
      <c r="L219" s="105"/>
      <c r="M219" s="105">
        <f t="shared" si="71"/>
        <v>0</v>
      </c>
      <c r="N219" s="105"/>
      <c r="O219" s="105"/>
      <c r="P219" s="105">
        <f t="shared" si="72"/>
        <v>0</v>
      </c>
      <c r="Q219" s="105"/>
      <c r="R219" s="105">
        <f t="shared" si="73"/>
        <v>0</v>
      </c>
      <c r="S219" s="105"/>
      <c r="T219" s="105">
        <f t="shared" si="60"/>
        <v>0</v>
      </c>
      <c r="U219" s="105"/>
      <c r="V219" s="91">
        <f t="shared" si="74"/>
        <v>0</v>
      </c>
      <c r="W219" s="105"/>
      <c r="X219" s="105">
        <f t="shared" si="75"/>
        <v>0</v>
      </c>
      <c r="Y219" s="105"/>
      <c r="Z219" s="105">
        <f t="shared" si="76"/>
        <v>0</v>
      </c>
      <c r="AA219" s="105"/>
      <c r="AB219" s="105">
        <f t="shared" si="77"/>
        <v>0</v>
      </c>
      <c r="AC219" s="105"/>
      <c r="AD219" s="105">
        <f t="shared" si="69"/>
        <v>0</v>
      </c>
      <c r="AE219" s="105"/>
      <c r="AF219" s="105">
        <f t="shared" si="70"/>
        <v>0</v>
      </c>
      <c r="AG219" s="105"/>
      <c r="AH219" s="106"/>
      <c r="AK219" s="106">
        <f t="shared" si="67"/>
        <v>0</v>
      </c>
      <c r="AL219" s="106">
        <f t="shared" si="68"/>
        <v>0</v>
      </c>
      <c r="AQ219" s="107"/>
      <c r="AS219" s="108"/>
    </row>
    <row r="220" spans="1:45" x14ac:dyDescent="0.2">
      <c r="A220" s="112" t="s">
        <v>101</v>
      </c>
      <c r="B220" s="113" t="s">
        <v>88</v>
      </c>
      <c r="C220" s="113" t="s">
        <v>638</v>
      </c>
      <c r="F220" s="102">
        <f>E220</f>
        <v>0</v>
      </c>
      <c r="G220" s="102"/>
      <c r="H220" s="102"/>
      <c r="I220" s="102"/>
      <c r="J220" s="105"/>
      <c r="K220" s="105"/>
      <c r="L220" s="105"/>
      <c r="M220" s="105">
        <f t="shared" si="71"/>
        <v>0</v>
      </c>
      <c r="N220" s="105"/>
      <c r="O220" s="105"/>
      <c r="P220" s="105">
        <f t="shared" si="72"/>
        <v>0</v>
      </c>
      <c r="Q220" s="105"/>
      <c r="R220" s="105">
        <f t="shared" si="73"/>
        <v>0</v>
      </c>
      <c r="S220" s="105"/>
      <c r="T220" s="105">
        <f t="shared" si="60"/>
        <v>0</v>
      </c>
      <c r="U220" s="105"/>
      <c r="V220" s="91">
        <f t="shared" si="74"/>
        <v>0</v>
      </c>
      <c r="W220" s="105"/>
      <c r="X220" s="105">
        <f t="shared" si="75"/>
        <v>0</v>
      </c>
      <c r="Y220" s="105"/>
      <c r="Z220" s="105">
        <f t="shared" si="76"/>
        <v>0</v>
      </c>
      <c r="AA220" s="105"/>
      <c r="AB220" s="105">
        <f t="shared" si="77"/>
        <v>0</v>
      </c>
      <c r="AC220" s="105"/>
      <c r="AD220" s="105">
        <f t="shared" si="69"/>
        <v>0</v>
      </c>
      <c r="AE220" s="105"/>
      <c r="AF220" s="105">
        <f t="shared" si="70"/>
        <v>0</v>
      </c>
      <c r="AG220" s="105"/>
      <c r="AH220" s="106"/>
      <c r="AK220" s="106">
        <f t="shared" si="67"/>
        <v>0</v>
      </c>
      <c r="AL220" s="106">
        <f t="shared" si="68"/>
        <v>0</v>
      </c>
      <c r="AQ220" s="107"/>
      <c r="AS220" s="108"/>
    </row>
    <row r="221" spans="1:45" x14ac:dyDescent="0.2">
      <c r="A221" s="112" t="s">
        <v>101</v>
      </c>
      <c r="B221" s="101" t="s">
        <v>204</v>
      </c>
      <c r="C221" s="113" t="s">
        <v>638</v>
      </c>
      <c r="F221" s="102">
        <f>E221</f>
        <v>0</v>
      </c>
      <c r="G221" s="102"/>
      <c r="H221" s="102"/>
      <c r="I221" s="102"/>
      <c r="J221" s="105"/>
      <c r="K221" s="105"/>
      <c r="L221" s="105"/>
      <c r="M221" s="105">
        <f t="shared" si="71"/>
        <v>0</v>
      </c>
      <c r="N221" s="105"/>
      <c r="O221" s="105"/>
      <c r="P221" s="105">
        <f t="shared" si="72"/>
        <v>0</v>
      </c>
      <c r="Q221" s="105"/>
      <c r="R221" s="105">
        <f t="shared" si="73"/>
        <v>0</v>
      </c>
      <c r="S221" s="105"/>
      <c r="T221" s="105">
        <f t="shared" ref="T221:T252" si="78">S221*F221</f>
        <v>0</v>
      </c>
      <c r="U221" s="105"/>
      <c r="V221" s="91">
        <f t="shared" si="74"/>
        <v>0</v>
      </c>
      <c r="W221" s="105"/>
      <c r="X221" s="105">
        <f t="shared" si="75"/>
        <v>0</v>
      </c>
      <c r="Y221" s="105"/>
      <c r="Z221" s="105">
        <f t="shared" si="76"/>
        <v>0</v>
      </c>
      <c r="AA221" s="105"/>
      <c r="AB221" s="105">
        <f t="shared" si="77"/>
        <v>0</v>
      </c>
      <c r="AC221" s="105"/>
      <c r="AD221" s="105">
        <f t="shared" si="69"/>
        <v>0</v>
      </c>
      <c r="AE221" s="105"/>
      <c r="AF221" s="105">
        <f t="shared" si="70"/>
        <v>0</v>
      </c>
      <c r="AG221" s="105"/>
      <c r="AH221" s="106"/>
      <c r="AK221" s="106">
        <f t="shared" si="67"/>
        <v>0</v>
      </c>
      <c r="AL221" s="106">
        <f t="shared" si="68"/>
        <v>0</v>
      </c>
      <c r="AQ221" s="107"/>
      <c r="AS221" s="108"/>
    </row>
    <row r="222" spans="1:45" x14ac:dyDescent="0.2">
      <c r="A222" s="112" t="s">
        <v>101</v>
      </c>
      <c r="B222" s="101" t="s">
        <v>152</v>
      </c>
      <c r="C222" s="113" t="s">
        <v>638</v>
      </c>
      <c r="F222" s="102">
        <f>E222</f>
        <v>0</v>
      </c>
      <c r="G222" s="102"/>
      <c r="H222" s="102"/>
      <c r="I222" s="102"/>
      <c r="J222" s="105"/>
      <c r="K222" s="105"/>
      <c r="L222" s="105"/>
      <c r="M222" s="105">
        <f t="shared" si="71"/>
        <v>0</v>
      </c>
      <c r="N222" s="105"/>
      <c r="O222" s="105"/>
      <c r="P222" s="105">
        <f t="shared" si="72"/>
        <v>0</v>
      </c>
      <c r="Q222" s="105"/>
      <c r="R222" s="105">
        <f t="shared" si="73"/>
        <v>0</v>
      </c>
      <c r="S222" s="105"/>
      <c r="T222" s="105">
        <f t="shared" si="78"/>
        <v>0</v>
      </c>
      <c r="U222" s="105"/>
      <c r="V222" s="91">
        <f t="shared" si="74"/>
        <v>0</v>
      </c>
      <c r="W222" s="105"/>
      <c r="X222" s="105">
        <f t="shared" si="75"/>
        <v>0</v>
      </c>
      <c r="Y222" s="105"/>
      <c r="Z222" s="105">
        <f t="shared" si="76"/>
        <v>0</v>
      </c>
      <c r="AA222" s="105"/>
      <c r="AB222" s="105">
        <f t="shared" ref="AB222:AB230" si="79">$F220*AA222</f>
        <v>0</v>
      </c>
      <c r="AC222" s="105"/>
      <c r="AD222" s="105">
        <f t="shared" si="69"/>
        <v>0</v>
      </c>
      <c r="AE222" s="105"/>
      <c r="AF222" s="105">
        <f t="shared" si="70"/>
        <v>0</v>
      </c>
      <c r="AG222" s="105"/>
      <c r="AH222" s="106"/>
      <c r="AK222" s="106">
        <f t="shared" si="67"/>
        <v>0</v>
      </c>
      <c r="AL222" s="106">
        <f t="shared" si="68"/>
        <v>0</v>
      </c>
      <c r="AQ222" s="107"/>
      <c r="AR222" s="112"/>
      <c r="AS222" s="108"/>
    </row>
    <row r="223" spans="1:45" x14ac:dyDescent="0.2">
      <c r="A223" s="112" t="s">
        <v>101</v>
      </c>
      <c r="C223" s="92" t="s">
        <v>639</v>
      </c>
      <c r="D223" s="92"/>
      <c r="F223" s="104">
        <f>SUM(F220:F222)</f>
        <v>0</v>
      </c>
      <c r="G223" s="104">
        <f>F223</f>
        <v>0</v>
      </c>
      <c r="H223" s="105">
        <f>VLOOKUP(A223,Data!$A$2:$Z$179,24,FALSE)</f>
        <v>27</v>
      </c>
      <c r="I223" s="105">
        <f>VLOOKUP(A223,Data!$A$2:$Z$179,25,FALSE)</f>
        <v>0</v>
      </c>
      <c r="J223" s="105">
        <f>VLOOKUP(A223,Data!$A$2:$Z$179,7,FALSE)</f>
        <v>27</v>
      </c>
      <c r="K223" s="105">
        <f>$F223*J223</f>
        <v>0</v>
      </c>
      <c r="L223" s="105">
        <f>VLOOKUP(A223,Data!$A$2:$Z$179,8,FALSE)</f>
        <v>0</v>
      </c>
      <c r="M223" s="105">
        <f>L223*F223</f>
        <v>0</v>
      </c>
      <c r="N223" s="105">
        <f>VLOOKUP(A223,Data!$A$2:$Z$179,9,FALSE)</f>
        <v>0</v>
      </c>
      <c r="O223" s="105">
        <f>VLOOKUP(A222,Data!$A$2:$Z$179,10,FALSE)</f>
        <v>0</v>
      </c>
      <c r="P223" s="105">
        <f>O223*F223</f>
        <v>0</v>
      </c>
      <c r="Q223" s="105">
        <f>VLOOKUP(A223,Data!$A$2:$Z$179,11,FALSE)</f>
        <v>0</v>
      </c>
      <c r="R223" s="105">
        <f t="shared" si="73"/>
        <v>0</v>
      </c>
      <c r="S223" s="105">
        <f>VLOOKUP(A223,Data!$A$2:$Z$179,12,FALSE)</f>
        <v>0</v>
      </c>
      <c r="T223" s="105">
        <f>S223*F223</f>
        <v>0</v>
      </c>
      <c r="U223" s="105">
        <f>VLOOKUP(A223,Data!$A$2:$Z$179,13,FALSE)</f>
        <v>0</v>
      </c>
      <c r="V223" s="91">
        <f t="shared" si="74"/>
        <v>0</v>
      </c>
      <c r="W223" s="105">
        <f>VLOOKUP(A223,Data!$A$2:$Z$179,22,FALSE)</f>
        <v>0</v>
      </c>
      <c r="X223" s="105">
        <f>W223*F223</f>
        <v>0</v>
      </c>
      <c r="Y223" s="105">
        <f>VLOOKUP(A223,Data!$A$2:$Z$179,19,FALSE)</f>
        <v>0</v>
      </c>
      <c r="Z223" s="105">
        <f t="shared" si="76"/>
        <v>0</v>
      </c>
      <c r="AA223" s="105">
        <f>VLOOKUP(A223,Data!$A$2:$Z$179,20,FALSE)</f>
        <v>0</v>
      </c>
      <c r="AB223" s="105">
        <f>$F223*AA223</f>
        <v>0</v>
      </c>
      <c r="AC223" s="105">
        <f>VLOOKUP(A223,Data!$A$2:$Z$179,21,FALSE)</f>
        <v>0</v>
      </c>
      <c r="AD223" s="105">
        <f t="shared" si="69"/>
        <v>0</v>
      </c>
      <c r="AE223" s="105">
        <f>J223+L223+N223+O223+Q223+S223+U223+W223+Y223+AA223+AC223</f>
        <v>27</v>
      </c>
      <c r="AF223" s="105">
        <f t="shared" si="70"/>
        <v>0</v>
      </c>
      <c r="AG223" s="105"/>
      <c r="AH223" s="106">
        <f>AE223-S223-W223</f>
        <v>27</v>
      </c>
      <c r="AI223" s="85">
        <f>AH223/AE223</f>
        <v>1</v>
      </c>
      <c r="AK223" s="106">
        <f t="shared" si="67"/>
        <v>0</v>
      </c>
      <c r="AL223" s="106">
        <f t="shared" si="68"/>
        <v>0</v>
      </c>
      <c r="AQ223" s="107"/>
      <c r="AR223" s="112"/>
      <c r="AS223" s="108"/>
    </row>
    <row r="224" spans="1:45" x14ac:dyDescent="0.2">
      <c r="C224" s="92"/>
      <c r="D224" s="92"/>
      <c r="F224" s="109"/>
      <c r="G224" s="109"/>
      <c r="H224" s="109"/>
      <c r="I224" s="109"/>
      <c r="J224" s="105"/>
      <c r="K224" s="105"/>
      <c r="L224" s="105"/>
      <c r="M224" s="105">
        <f t="shared" si="71"/>
        <v>0</v>
      </c>
      <c r="N224" s="105"/>
      <c r="O224" s="105"/>
      <c r="P224" s="105">
        <f t="shared" si="72"/>
        <v>0</v>
      </c>
      <c r="Q224" s="105"/>
      <c r="R224" s="105">
        <f t="shared" si="73"/>
        <v>0</v>
      </c>
      <c r="S224" s="105"/>
      <c r="T224" s="105">
        <f t="shared" si="78"/>
        <v>0</v>
      </c>
      <c r="U224" s="105"/>
      <c r="V224" s="91">
        <f t="shared" si="74"/>
        <v>0</v>
      </c>
      <c r="W224" s="105"/>
      <c r="X224" s="105">
        <f t="shared" si="75"/>
        <v>0</v>
      </c>
      <c r="Y224" s="105"/>
      <c r="Z224" s="105">
        <f t="shared" si="76"/>
        <v>0</v>
      </c>
      <c r="AA224" s="105"/>
      <c r="AB224" s="105">
        <f t="shared" si="79"/>
        <v>0</v>
      </c>
      <c r="AC224" s="105"/>
      <c r="AD224" s="105">
        <f t="shared" si="69"/>
        <v>0</v>
      </c>
      <c r="AE224" s="105"/>
      <c r="AF224" s="105">
        <f t="shared" si="70"/>
        <v>0</v>
      </c>
      <c r="AG224" s="105"/>
      <c r="AH224" s="106"/>
      <c r="AK224" s="106">
        <f t="shared" si="67"/>
        <v>0</v>
      </c>
      <c r="AL224" s="106">
        <f t="shared" si="68"/>
        <v>0</v>
      </c>
      <c r="AQ224" s="107"/>
      <c r="AR224" s="112"/>
      <c r="AS224" s="108"/>
    </row>
    <row r="225" spans="1:45" x14ac:dyDescent="0.2">
      <c r="A225" s="110" t="s">
        <v>102</v>
      </c>
      <c r="B225" s="101" t="s">
        <v>88</v>
      </c>
      <c r="C225" s="113" t="s">
        <v>640</v>
      </c>
      <c r="F225" s="102">
        <f>E225</f>
        <v>0</v>
      </c>
      <c r="G225" s="102"/>
      <c r="H225" s="102"/>
      <c r="I225" s="102"/>
      <c r="J225" s="105"/>
      <c r="K225" s="105"/>
      <c r="L225" s="105"/>
      <c r="M225" s="105">
        <f t="shared" si="71"/>
        <v>0</v>
      </c>
      <c r="N225" s="105"/>
      <c r="O225" s="105"/>
      <c r="P225" s="105">
        <f t="shared" si="72"/>
        <v>0</v>
      </c>
      <c r="Q225" s="105"/>
      <c r="R225" s="105">
        <f t="shared" si="73"/>
        <v>0</v>
      </c>
      <c r="S225" s="105"/>
      <c r="T225" s="105">
        <f t="shared" si="78"/>
        <v>0</v>
      </c>
      <c r="U225" s="105"/>
      <c r="V225" s="91">
        <f t="shared" si="74"/>
        <v>0</v>
      </c>
      <c r="W225" s="105"/>
      <c r="X225" s="105">
        <f t="shared" si="75"/>
        <v>0</v>
      </c>
      <c r="Y225" s="105"/>
      <c r="Z225" s="105">
        <f t="shared" si="76"/>
        <v>0</v>
      </c>
      <c r="AA225" s="105"/>
      <c r="AB225" s="105">
        <f t="shared" si="79"/>
        <v>0</v>
      </c>
      <c r="AC225" s="105"/>
      <c r="AD225" s="105">
        <f t="shared" si="69"/>
        <v>0</v>
      </c>
      <c r="AE225" s="105"/>
      <c r="AF225" s="105">
        <f t="shared" si="70"/>
        <v>0</v>
      </c>
      <c r="AG225" s="105"/>
      <c r="AH225" s="106"/>
      <c r="AK225" s="106">
        <f t="shared" si="67"/>
        <v>0</v>
      </c>
      <c r="AL225" s="106">
        <f t="shared" si="68"/>
        <v>0</v>
      </c>
      <c r="AQ225" s="107"/>
      <c r="AS225" s="108"/>
    </row>
    <row r="226" spans="1:45" x14ac:dyDescent="0.2">
      <c r="A226" s="110" t="s">
        <v>102</v>
      </c>
      <c r="B226" s="101" t="s">
        <v>152</v>
      </c>
      <c r="C226" s="113" t="s">
        <v>640</v>
      </c>
      <c r="F226" s="102">
        <f>E226</f>
        <v>0</v>
      </c>
      <c r="G226" s="102"/>
      <c r="H226" s="102"/>
      <c r="I226" s="102"/>
      <c r="J226" s="105"/>
      <c r="K226" s="105"/>
      <c r="L226" s="105"/>
      <c r="M226" s="105">
        <f t="shared" si="71"/>
        <v>0</v>
      </c>
      <c r="N226" s="105"/>
      <c r="O226" s="105"/>
      <c r="P226" s="105">
        <f t="shared" si="72"/>
        <v>0</v>
      </c>
      <c r="Q226" s="105"/>
      <c r="R226" s="105">
        <f t="shared" si="73"/>
        <v>0</v>
      </c>
      <c r="S226" s="105"/>
      <c r="T226" s="105">
        <f t="shared" si="78"/>
        <v>0</v>
      </c>
      <c r="U226" s="105"/>
      <c r="V226" s="91">
        <f t="shared" si="74"/>
        <v>0</v>
      </c>
      <c r="W226" s="105"/>
      <c r="X226" s="105">
        <f t="shared" si="75"/>
        <v>0</v>
      </c>
      <c r="Y226" s="105"/>
      <c r="Z226" s="105">
        <f t="shared" si="76"/>
        <v>0</v>
      </c>
      <c r="AA226" s="105"/>
      <c r="AB226" s="105">
        <f t="shared" si="79"/>
        <v>0</v>
      </c>
      <c r="AC226" s="105"/>
      <c r="AD226" s="105">
        <f t="shared" si="69"/>
        <v>0</v>
      </c>
      <c r="AE226" s="105"/>
      <c r="AF226" s="105">
        <f t="shared" si="70"/>
        <v>0</v>
      </c>
      <c r="AG226" s="105"/>
      <c r="AH226" s="106"/>
      <c r="AK226" s="106">
        <f t="shared" si="67"/>
        <v>0</v>
      </c>
      <c r="AL226" s="106">
        <f t="shared" si="68"/>
        <v>0</v>
      </c>
      <c r="AQ226" s="107"/>
      <c r="AS226" s="108"/>
    </row>
    <row r="227" spans="1:45" x14ac:dyDescent="0.2">
      <c r="A227" s="110" t="s">
        <v>102</v>
      </c>
      <c r="B227" s="101" t="s">
        <v>81</v>
      </c>
      <c r="C227" s="113" t="s">
        <v>640</v>
      </c>
      <c r="F227" s="102">
        <f>E227</f>
        <v>0</v>
      </c>
      <c r="G227" s="102"/>
      <c r="H227" s="102"/>
      <c r="I227" s="102"/>
      <c r="J227" s="105"/>
      <c r="K227" s="105"/>
      <c r="L227" s="105"/>
      <c r="M227" s="105">
        <f t="shared" si="71"/>
        <v>0</v>
      </c>
      <c r="N227" s="105"/>
      <c r="O227" s="105"/>
      <c r="P227" s="105">
        <f t="shared" si="72"/>
        <v>0</v>
      </c>
      <c r="Q227" s="105"/>
      <c r="R227" s="105">
        <f t="shared" si="73"/>
        <v>0</v>
      </c>
      <c r="S227" s="105"/>
      <c r="T227" s="105">
        <f t="shared" si="78"/>
        <v>0</v>
      </c>
      <c r="U227" s="105"/>
      <c r="V227" s="91">
        <f t="shared" si="74"/>
        <v>0</v>
      </c>
      <c r="W227" s="105"/>
      <c r="X227" s="105">
        <f t="shared" si="75"/>
        <v>0</v>
      </c>
      <c r="Y227" s="105"/>
      <c r="Z227" s="105">
        <f t="shared" si="76"/>
        <v>0</v>
      </c>
      <c r="AA227" s="105"/>
      <c r="AB227" s="105">
        <f t="shared" si="79"/>
        <v>0</v>
      </c>
      <c r="AC227" s="105"/>
      <c r="AD227" s="105">
        <f t="shared" si="69"/>
        <v>0</v>
      </c>
      <c r="AE227" s="105"/>
      <c r="AF227" s="105">
        <f t="shared" si="70"/>
        <v>0</v>
      </c>
      <c r="AG227" s="105"/>
      <c r="AH227" s="106"/>
      <c r="AK227" s="106">
        <f t="shared" si="67"/>
        <v>0</v>
      </c>
      <c r="AL227" s="106">
        <f t="shared" si="68"/>
        <v>0</v>
      </c>
      <c r="AQ227" s="107"/>
      <c r="AS227" s="108"/>
    </row>
    <row r="228" spans="1:45" x14ac:dyDescent="0.2">
      <c r="A228" s="110" t="s">
        <v>102</v>
      </c>
      <c r="B228" s="101"/>
      <c r="C228" s="92" t="s">
        <v>641</v>
      </c>
      <c r="D228" s="92"/>
      <c r="F228" s="104">
        <f>SUM(F225:F227)</f>
        <v>0</v>
      </c>
      <c r="G228" s="104">
        <f>F228</f>
        <v>0</v>
      </c>
      <c r="H228" s="105">
        <f>VLOOKUP(A228,Data!$A$2:$Z$179,24,FALSE)</f>
        <v>27</v>
      </c>
      <c r="I228" s="105">
        <f>VLOOKUP(A228,Data!$A$2:$Z$179,25,FALSE)</f>
        <v>5.1660000000000004</v>
      </c>
      <c r="J228" s="105">
        <f>VLOOKUP(A228,Data!$A$2:$Z$179,7,FALSE)</f>
        <v>21.834</v>
      </c>
      <c r="K228" s="105">
        <f>$F228*J228</f>
        <v>0</v>
      </c>
      <c r="L228" s="105">
        <f>VLOOKUP(A228,Data!$A$2:$Z$179,8,FALSE)</f>
        <v>0</v>
      </c>
      <c r="M228" s="105">
        <f>L228*F228</f>
        <v>0</v>
      </c>
      <c r="N228" s="105">
        <f>VLOOKUP(A228,Data!$A$2:$Z$179,9,FALSE)</f>
        <v>0</v>
      </c>
      <c r="O228" s="105">
        <f>VLOOKUP(A227,Data!$A$2:$Z$179,10,FALSE)</f>
        <v>0.85799999999999998</v>
      </c>
      <c r="P228" s="105">
        <f>O228*F228</f>
        <v>0</v>
      </c>
      <c r="Q228" s="105">
        <f>VLOOKUP(A228,Data!$A$2:$Z$179,11,FALSE)</f>
        <v>0</v>
      </c>
      <c r="R228" s="105">
        <f t="shared" si="73"/>
        <v>0</v>
      </c>
      <c r="S228" s="105">
        <f>VLOOKUP(A228,Data!$A$2:$Z$179,12,FALSE)</f>
        <v>0</v>
      </c>
      <c r="T228" s="105">
        <f>S228*F228</f>
        <v>0</v>
      </c>
      <c r="U228" s="105">
        <f>VLOOKUP(A228,Data!$A$2:$Z$179,13,FALSE)</f>
        <v>1.0183450086084718E-2</v>
      </c>
      <c r="V228" s="91">
        <f t="shared" si="74"/>
        <v>0</v>
      </c>
      <c r="W228" s="105">
        <f>VLOOKUP(A228,Data!$A$2:$Z$179,22,FALSE)</f>
        <v>0</v>
      </c>
      <c r="X228" s="105">
        <f>W228*F228</f>
        <v>0</v>
      </c>
      <c r="Y228" s="105">
        <f>VLOOKUP(A228,Data!$A$2:$Z$179,19,FALSE)</f>
        <v>0</v>
      </c>
      <c r="Z228" s="105">
        <f t="shared" si="76"/>
        <v>0</v>
      </c>
      <c r="AA228" s="105">
        <f>VLOOKUP(A228,Data!$A$2:$Z$179,20,FALSE)</f>
        <v>0</v>
      </c>
      <c r="AB228" s="105">
        <f>$F228*AA228</f>
        <v>0</v>
      </c>
      <c r="AC228" s="105">
        <f>VLOOKUP(A228,Data!$A$2:$Z$179,21,FALSE)</f>
        <v>0</v>
      </c>
      <c r="AD228" s="105">
        <f t="shared" si="69"/>
        <v>0</v>
      </c>
      <c r="AE228" s="105">
        <f>J228+L228+N228+O228+Q228+S228+U228+W228+Y228+AA228+AC228</f>
        <v>22.702183450086086</v>
      </c>
      <c r="AF228" s="105">
        <f t="shared" si="70"/>
        <v>0</v>
      </c>
      <c r="AG228" s="105"/>
      <c r="AH228" s="106">
        <f>AE228-S228-W228</f>
        <v>22.702183450086086</v>
      </c>
      <c r="AI228" s="85">
        <f>AH228/AE228</f>
        <v>1</v>
      </c>
      <c r="AK228" s="106">
        <f t="shared" si="67"/>
        <v>0.85799999999999998</v>
      </c>
      <c r="AL228" s="106">
        <f t="shared" si="68"/>
        <v>0.85799999999999998</v>
      </c>
      <c r="AQ228" s="107"/>
      <c r="AS228" s="108"/>
    </row>
    <row r="229" spans="1:45" x14ac:dyDescent="0.2">
      <c r="B229" s="101"/>
      <c r="C229" s="92"/>
      <c r="D229" s="92"/>
      <c r="F229" s="109"/>
      <c r="G229" s="109"/>
      <c r="H229" s="109"/>
      <c r="I229" s="109"/>
      <c r="J229" s="105"/>
      <c r="K229" s="105"/>
      <c r="L229" s="105"/>
      <c r="M229" s="105">
        <f t="shared" si="71"/>
        <v>0</v>
      </c>
      <c r="N229" s="105"/>
      <c r="O229" s="105"/>
      <c r="P229" s="105">
        <f t="shared" si="72"/>
        <v>0</v>
      </c>
      <c r="Q229" s="105"/>
      <c r="R229" s="105">
        <f t="shared" si="73"/>
        <v>0</v>
      </c>
      <c r="S229" s="105"/>
      <c r="T229" s="105">
        <f t="shared" si="78"/>
        <v>0</v>
      </c>
      <c r="U229" s="105"/>
      <c r="V229" s="91">
        <f t="shared" si="74"/>
        <v>0</v>
      </c>
      <c r="W229" s="105"/>
      <c r="X229" s="105">
        <f t="shared" si="75"/>
        <v>0</v>
      </c>
      <c r="Y229" s="105"/>
      <c r="Z229" s="105">
        <f t="shared" si="76"/>
        <v>0</v>
      </c>
      <c r="AA229" s="105"/>
      <c r="AB229" s="105">
        <f t="shared" si="79"/>
        <v>0</v>
      </c>
      <c r="AC229" s="105"/>
      <c r="AD229" s="105">
        <f t="shared" si="69"/>
        <v>0</v>
      </c>
      <c r="AE229" s="105"/>
      <c r="AF229" s="105">
        <f t="shared" si="70"/>
        <v>0</v>
      </c>
      <c r="AG229" s="105"/>
      <c r="AH229" s="106"/>
      <c r="AK229" s="106">
        <f t="shared" si="67"/>
        <v>0</v>
      </c>
      <c r="AL229" s="106">
        <f t="shared" si="68"/>
        <v>0</v>
      </c>
      <c r="AQ229" s="107"/>
      <c r="AR229" s="112"/>
      <c r="AS229" s="108"/>
    </row>
    <row r="230" spans="1:45" x14ac:dyDescent="0.2">
      <c r="A230" s="85" t="s">
        <v>103</v>
      </c>
      <c r="B230" s="101" t="s">
        <v>104</v>
      </c>
      <c r="C230" s="86" t="s">
        <v>642</v>
      </c>
      <c r="F230" s="102">
        <f>E230</f>
        <v>0</v>
      </c>
      <c r="G230" s="103"/>
      <c r="H230" s="103"/>
      <c r="I230" s="103"/>
      <c r="J230" s="105"/>
      <c r="K230" s="105"/>
      <c r="L230" s="105"/>
      <c r="M230" s="105">
        <f t="shared" si="71"/>
        <v>0</v>
      </c>
      <c r="N230" s="105"/>
      <c r="O230" s="105"/>
      <c r="P230" s="105">
        <f t="shared" si="72"/>
        <v>0</v>
      </c>
      <c r="Q230" s="105"/>
      <c r="R230" s="105">
        <f t="shared" si="73"/>
        <v>0</v>
      </c>
      <c r="S230" s="105"/>
      <c r="T230" s="105">
        <f t="shared" si="78"/>
        <v>0</v>
      </c>
      <c r="U230" s="105"/>
      <c r="V230" s="91">
        <f t="shared" si="74"/>
        <v>0</v>
      </c>
      <c r="W230" s="105"/>
      <c r="X230" s="105">
        <f t="shared" si="75"/>
        <v>0</v>
      </c>
      <c r="Y230" s="105"/>
      <c r="Z230" s="105">
        <f t="shared" si="76"/>
        <v>0</v>
      </c>
      <c r="AA230" s="105"/>
      <c r="AB230" s="105">
        <f t="shared" si="79"/>
        <v>0</v>
      </c>
      <c r="AC230" s="105"/>
      <c r="AD230" s="105">
        <f t="shared" si="69"/>
        <v>0</v>
      </c>
      <c r="AE230" s="105"/>
      <c r="AF230" s="105">
        <f t="shared" si="70"/>
        <v>0</v>
      </c>
      <c r="AG230" s="105"/>
      <c r="AH230" s="106"/>
      <c r="AK230" s="106">
        <f t="shared" si="67"/>
        <v>0</v>
      </c>
      <c r="AL230" s="106">
        <f t="shared" si="68"/>
        <v>0</v>
      </c>
      <c r="AQ230" s="107"/>
      <c r="AR230" s="112"/>
      <c r="AS230" s="108"/>
    </row>
    <row r="231" spans="1:45" x14ac:dyDescent="0.2">
      <c r="A231" s="85" t="s">
        <v>103</v>
      </c>
      <c r="C231" s="92" t="s">
        <v>643</v>
      </c>
      <c r="D231" s="92"/>
      <c r="F231" s="104">
        <f>SUM(F230)</f>
        <v>0</v>
      </c>
      <c r="G231" s="104">
        <f>F231</f>
        <v>0</v>
      </c>
      <c r="H231" s="105">
        <f>VLOOKUP(A231,Data!$A$2:$Z$179,24,FALSE)</f>
        <v>27</v>
      </c>
      <c r="I231" s="105">
        <f>VLOOKUP(A231,Data!$A$2:$Z$179,25,FALSE)</f>
        <v>0</v>
      </c>
      <c r="J231" s="105">
        <f>VLOOKUP(A231,Data!$A$2:$Z$179,7,FALSE)</f>
        <v>27</v>
      </c>
      <c r="K231" s="105">
        <f>$F231*J231</f>
        <v>0</v>
      </c>
      <c r="L231" s="105">
        <f>VLOOKUP(A231,Data!$A$2:$Z$179,8,FALSE)</f>
        <v>0</v>
      </c>
      <c r="M231" s="105">
        <f>L231*F231</f>
        <v>0</v>
      </c>
      <c r="N231" s="105">
        <f>VLOOKUP(A231,Data!$A$2:$Z$179,9,FALSE)</f>
        <v>0</v>
      </c>
      <c r="O231" s="105">
        <f>VLOOKUP(A230,Data!$A$2:$Z$179,10,FALSE)</f>
        <v>0</v>
      </c>
      <c r="P231" s="105">
        <f>O231*F231</f>
        <v>0</v>
      </c>
      <c r="Q231" s="105">
        <f>VLOOKUP(A231,Data!$A$2:$Z$179,11,FALSE)</f>
        <v>0</v>
      </c>
      <c r="R231" s="105">
        <f t="shared" si="73"/>
        <v>0</v>
      </c>
      <c r="S231" s="105">
        <f>VLOOKUP(A231,Data!$A$2:$Z$179,12,FALSE)</f>
        <v>0</v>
      </c>
      <c r="T231" s="105">
        <f>S231*F231</f>
        <v>0</v>
      </c>
      <c r="U231" s="105">
        <f>VLOOKUP(A231,Data!$A$2:$Z$179,13,FALSE)</f>
        <v>8.5652452387374275E-2</v>
      </c>
      <c r="V231" s="91">
        <f t="shared" si="74"/>
        <v>0</v>
      </c>
      <c r="W231" s="105">
        <f>VLOOKUP(A231,Data!$A$2:$Z$179,22,FALSE)</f>
        <v>0</v>
      </c>
      <c r="X231" s="105">
        <f>W231*F231</f>
        <v>0</v>
      </c>
      <c r="Y231" s="105">
        <f>VLOOKUP(A231,Data!$A$2:$Z$179,19,FALSE)</f>
        <v>0</v>
      </c>
      <c r="Z231" s="105">
        <f t="shared" si="76"/>
        <v>0</v>
      </c>
      <c r="AA231" s="105">
        <f>VLOOKUP(A231,Data!$A$2:$Z$179,20,FALSE)</f>
        <v>0</v>
      </c>
      <c r="AB231" s="105">
        <f>$F231*AA231</f>
        <v>0</v>
      </c>
      <c r="AC231" s="105">
        <f>VLOOKUP(A231,Data!$A$2:$Z$179,21,FALSE)</f>
        <v>0</v>
      </c>
      <c r="AD231" s="105">
        <f t="shared" si="69"/>
        <v>0</v>
      </c>
      <c r="AE231" s="105">
        <f>J231+L231+N231+O231+Q231+S231+U231+W231+Y231+AA231+AC231</f>
        <v>27.085652452387375</v>
      </c>
      <c r="AF231" s="105">
        <f t="shared" si="70"/>
        <v>0</v>
      </c>
      <c r="AG231" s="105"/>
      <c r="AH231" s="106">
        <f>AE231-S231-W231</f>
        <v>27.085652452387375</v>
      </c>
      <c r="AI231" s="85">
        <f>AH231/AE231</f>
        <v>1</v>
      </c>
      <c r="AK231" s="106">
        <f t="shared" si="67"/>
        <v>0</v>
      </c>
      <c r="AL231" s="106">
        <f t="shared" si="68"/>
        <v>0</v>
      </c>
      <c r="AQ231" s="107"/>
      <c r="AS231" s="108"/>
    </row>
    <row r="232" spans="1:45" x14ac:dyDescent="0.2">
      <c r="C232" s="92"/>
      <c r="D232" s="92"/>
      <c r="F232" s="109"/>
      <c r="G232" s="109"/>
      <c r="H232" s="109"/>
      <c r="I232" s="109"/>
      <c r="J232" s="105"/>
      <c r="K232" s="105"/>
      <c r="L232" s="105"/>
      <c r="M232" s="105">
        <f t="shared" si="71"/>
        <v>0</v>
      </c>
      <c r="N232" s="105"/>
      <c r="O232" s="105"/>
      <c r="P232" s="105">
        <f t="shared" si="72"/>
        <v>0</v>
      </c>
      <c r="Q232" s="105"/>
      <c r="R232" s="105">
        <f t="shared" si="73"/>
        <v>0</v>
      </c>
      <c r="S232" s="105"/>
      <c r="T232" s="105">
        <f t="shared" si="78"/>
        <v>0</v>
      </c>
      <c r="U232" s="105"/>
      <c r="V232" s="91">
        <f t="shared" si="74"/>
        <v>0</v>
      </c>
      <c r="W232" s="105"/>
      <c r="X232" s="105">
        <f t="shared" si="75"/>
        <v>0</v>
      </c>
      <c r="Y232" s="105"/>
      <c r="Z232" s="105">
        <f t="shared" si="76"/>
        <v>0</v>
      </c>
      <c r="AA232" s="105"/>
      <c r="AB232" s="105">
        <f>$F232*AA232</f>
        <v>0</v>
      </c>
      <c r="AC232" s="105"/>
      <c r="AD232" s="105">
        <f t="shared" si="69"/>
        <v>0</v>
      </c>
      <c r="AE232" s="105"/>
      <c r="AF232" s="105">
        <f t="shared" si="70"/>
        <v>0</v>
      </c>
      <c r="AG232" s="105"/>
      <c r="AH232" s="106"/>
      <c r="AK232" s="106">
        <f t="shared" si="67"/>
        <v>0</v>
      </c>
      <c r="AL232" s="106">
        <f t="shared" si="68"/>
        <v>0</v>
      </c>
      <c r="AQ232" s="107"/>
      <c r="AS232" s="108"/>
    </row>
    <row r="233" spans="1:45" x14ac:dyDescent="0.2">
      <c r="A233" s="112" t="s">
        <v>105</v>
      </c>
      <c r="B233" s="101" t="s">
        <v>104</v>
      </c>
      <c r="C233" s="86" t="s">
        <v>644</v>
      </c>
      <c r="F233" s="102">
        <f>E233</f>
        <v>0</v>
      </c>
      <c r="G233" s="102"/>
      <c r="H233" s="102"/>
      <c r="I233" s="102"/>
      <c r="J233" s="105"/>
      <c r="K233" s="105"/>
      <c r="L233" s="105"/>
      <c r="M233" s="105">
        <f t="shared" si="71"/>
        <v>0</v>
      </c>
      <c r="N233" s="105"/>
      <c r="O233" s="105"/>
      <c r="P233" s="105">
        <f t="shared" si="72"/>
        <v>0</v>
      </c>
      <c r="Q233" s="105"/>
      <c r="R233" s="105">
        <f t="shared" si="73"/>
        <v>0</v>
      </c>
      <c r="S233" s="105"/>
      <c r="T233" s="105">
        <f t="shared" si="78"/>
        <v>0</v>
      </c>
      <c r="U233" s="105"/>
      <c r="V233" s="91">
        <f t="shared" si="74"/>
        <v>0</v>
      </c>
      <c r="W233" s="105"/>
      <c r="X233" s="105">
        <f t="shared" si="75"/>
        <v>0</v>
      </c>
      <c r="Y233" s="105"/>
      <c r="Z233" s="105">
        <f t="shared" si="76"/>
        <v>0</v>
      </c>
      <c r="AA233" s="105"/>
      <c r="AB233" s="105">
        <f>$F233*AA233</f>
        <v>0</v>
      </c>
      <c r="AC233" s="105"/>
      <c r="AD233" s="105">
        <f t="shared" si="69"/>
        <v>0</v>
      </c>
      <c r="AE233" s="105"/>
      <c r="AF233" s="105">
        <f t="shared" si="70"/>
        <v>0</v>
      </c>
      <c r="AG233" s="105"/>
      <c r="AH233" s="106"/>
      <c r="AK233" s="106">
        <f t="shared" si="67"/>
        <v>0</v>
      </c>
      <c r="AL233" s="106">
        <f t="shared" si="68"/>
        <v>0</v>
      </c>
      <c r="AQ233" s="107"/>
      <c r="AS233" s="108"/>
    </row>
    <row r="234" spans="1:45" x14ac:dyDescent="0.2">
      <c r="A234" s="112" t="s">
        <v>105</v>
      </c>
      <c r="B234" s="101" t="s">
        <v>69</v>
      </c>
      <c r="C234" s="86" t="s">
        <v>644</v>
      </c>
      <c r="F234" s="102">
        <f>E234</f>
        <v>0</v>
      </c>
      <c r="G234" s="102"/>
      <c r="H234" s="102"/>
      <c r="I234" s="102"/>
      <c r="J234" s="105"/>
      <c r="K234" s="105"/>
      <c r="L234" s="105"/>
      <c r="M234" s="105">
        <f t="shared" si="71"/>
        <v>0</v>
      </c>
      <c r="N234" s="105"/>
      <c r="O234" s="105"/>
      <c r="P234" s="105">
        <f t="shared" si="72"/>
        <v>0</v>
      </c>
      <c r="Q234" s="105"/>
      <c r="R234" s="105">
        <f t="shared" si="73"/>
        <v>0</v>
      </c>
      <c r="S234" s="105"/>
      <c r="T234" s="105">
        <f t="shared" si="78"/>
        <v>0</v>
      </c>
      <c r="U234" s="105"/>
      <c r="V234" s="91">
        <f t="shared" si="74"/>
        <v>0</v>
      </c>
      <c r="W234" s="105"/>
      <c r="X234" s="105">
        <f t="shared" si="75"/>
        <v>0</v>
      </c>
      <c r="Y234" s="105"/>
      <c r="Z234" s="105">
        <f t="shared" si="76"/>
        <v>0</v>
      </c>
      <c r="AA234" s="105"/>
      <c r="AB234" s="105">
        <f>$F234*AA234</f>
        <v>0</v>
      </c>
      <c r="AC234" s="105"/>
      <c r="AD234" s="105">
        <f t="shared" si="69"/>
        <v>0</v>
      </c>
      <c r="AE234" s="105"/>
      <c r="AF234" s="105">
        <f t="shared" si="70"/>
        <v>0</v>
      </c>
      <c r="AG234" s="105"/>
      <c r="AH234" s="106"/>
      <c r="AK234" s="106">
        <f t="shared" si="67"/>
        <v>0</v>
      </c>
      <c r="AL234" s="106">
        <f t="shared" si="68"/>
        <v>0</v>
      </c>
      <c r="AQ234" s="107"/>
      <c r="AS234" s="108"/>
    </row>
    <row r="235" spans="1:45" x14ac:dyDescent="0.2">
      <c r="A235" s="112" t="s">
        <v>105</v>
      </c>
      <c r="B235" s="101" t="s">
        <v>88</v>
      </c>
      <c r="C235" s="86" t="s">
        <v>644</v>
      </c>
      <c r="F235" s="102">
        <f>E235</f>
        <v>0</v>
      </c>
      <c r="G235" s="102"/>
      <c r="H235" s="102"/>
      <c r="I235" s="102"/>
      <c r="J235" s="105"/>
      <c r="K235" s="105"/>
      <c r="L235" s="105"/>
      <c r="M235" s="105">
        <f t="shared" si="71"/>
        <v>0</v>
      </c>
      <c r="N235" s="105"/>
      <c r="O235" s="105"/>
      <c r="P235" s="105">
        <f t="shared" si="72"/>
        <v>0</v>
      </c>
      <c r="Q235" s="105"/>
      <c r="R235" s="105">
        <f t="shared" si="73"/>
        <v>0</v>
      </c>
      <c r="S235" s="105"/>
      <c r="T235" s="105">
        <f t="shared" si="78"/>
        <v>0</v>
      </c>
      <c r="U235" s="105"/>
      <c r="V235" s="91">
        <f t="shared" si="74"/>
        <v>0</v>
      </c>
      <c r="W235" s="105"/>
      <c r="X235" s="105">
        <f t="shared" si="75"/>
        <v>0</v>
      </c>
      <c r="Y235" s="105"/>
      <c r="Z235" s="105">
        <f t="shared" si="76"/>
        <v>0</v>
      </c>
      <c r="AA235" s="105"/>
      <c r="AB235" s="105">
        <f>$F233*AA235</f>
        <v>0</v>
      </c>
      <c r="AC235" s="105"/>
      <c r="AD235" s="105">
        <f t="shared" si="69"/>
        <v>0</v>
      </c>
      <c r="AE235" s="105"/>
      <c r="AF235" s="105">
        <f t="shared" si="70"/>
        <v>0</v>
      </c>
      <c r="AG235" s="105"/>
      <c r="AH235" s="106"/>
      <c r="AK235" s="106">
        <f t="shared" si="67"/>
        <v>0</v>
      </c>
      <c r="AL235" s="106">
        <f t="shared" si="68"/>
        <v>0</v>
      </c>
      <c r="AQ235" s="107"/>
      <c r="AS235" s="108"/>
    </row>
    <row r="236" spans="1:45" x14ac:dyDescent="0.2">
      <c r="A236" s="112" t="s">
        <v>105</v>
      </c>
      <c r="C236" s="92" t="s">
        <v>645</v>
      </c>
      <c r="D236" s="92"/>
      <c r="F236" s="104">
        <f>SUM(F233:F235)</f>
        <v>0</v>
      </c>
      <c r="G236" s="104">
        <f>F236</f>
        <v>0</v>
      </c>
      <c r="H236" s="105">
        <f>VLOOKUP(A236,Data!$A$2:$Z$179,24,FALSE)</f>
        <v>27</v>
      </c>
      <c r="I236" s="105">
        <f>VLOOKUP(A236,Data!$A$2:$Z$179,25,FALSE)</f>
        <v>10.797000000000001</v>
      </c>
      <c r="J236" s="105">
        <f>VLOOKUP(A236,Data!$A$2:$Z$179,7,FALSE)</f>
        <v>16.202999999999999</v>
      </c>
      <c r="K236" s="105">
        <f>$F236*J236</f>
        <v>0</v>
      </c>
      <c r="L236" s="105">
        <f>VLOOKUP(A236,Data!$A$2:$Z$179,8,FALSE)</f>
        <v>0</v>
      </c>
      <c r="M236" s="105">
        <f>L236*F236</f>
        <v>0</v>
      </c>
      <c r="N236" s="105">
        <f>VLOOKUP(A236,Data!$A$2:$Z$179,9,FALSE)</f>
        <v>0</v>
      </c>
      <c r="O236" s="105">
        <f>VLOOKUP(A235,Data!$A$2:$Z$179,10,FALSE)</f>
        <v>0</v>
      </c>
      <c r="P236" s="105">
        <f>O236*F236</f>
        <v>0</v>
      </c>
      <c r="Q236" s="105">
        <f>VLOOKUP(A236,Data!$A$2:$Z$179,11,FALSE)</f>
        <v>0</v>
      </c>
      <c r="R236" s="105">
        <f t="shared" si="73"/>
        <v>0</v>
      </c>
      <c r="S236" s="105">
        <f>VLOOKUP(A236,Data!$A$2:$Z$179,12,FALSE)</f>
        <v>1.9319999999999999</v>
      </c>
      <c r="T236" s="105">
        <f>S236*F236</f>
        <v>0</v>
      </c>
      <c r="U236" s="105">
        <f>VLOOKUP(A236,Data!$A$2:$Z$179,13,FALSE)</f>
        <v>2.7580007845344003E-2</v>
      </c>
      <c r="V236" s="91">
        <f t="shared" si="74"/>
        <v>0</v>
      </c>
      <c r="W236" s="105">
        <f>VLOOKUP(A236,Data!$A$2:$Z$179,22,FALSE)</f>
        <v>0</v>
      </c>
      <c r="X236" s="105">
        <f>W236*F236</f>
        <v>0</v>
      </c>
      <c r="Y236" s="105">
        <f>VLOOKUP(A236,Data!$A$2:$Z$179,19,FALSE)</f>
        <v>0</v>
      </c>
      <c r="Z236" s="105">
        <f t="shared" si="76"/>
        <v>0</v>
      </c>
      <c r="AA236" s="105">
        <f>VLOOKUP(A236,Data!$A$2:$Z$179,20,FALSE)</f>
        <v>0</v>
      </c>
      <c r="AB236" s="105">
        <f>$F236*AA236</f>
        <v>0</v>
      </c>
      <c r="AC236" s="105">
        <f>VLOOKUP(A236,Data!$A$2:$Z$179,21,FALSE)</f>
        <v>0</v>
      </c>
      <c r="AD236" s="105">
        <f t="shared" si="69"/>
        <v>0</v>
      </c>
      <c r="AE236" s="105">
        <f>J236+L236+N236+O236+Q236+S236+U236+W236+Y236+AA236+AC236</f>
        <v>18.162580007845342</v>
      </c>
      <c r="AF236" s="105">
        <f t="shared" si="70"/>
        <v>0</v>
      </c>
      <c r="AG236" s="105"/>
      <c r="AH236" s="106">
        <f>AE236-S236-W236</f>
        <v>16.230580007845344</v>
      </c>
      <c r="AI236" s="85">
        <f>AH236/AE236</f>
        <v>0.89362744724783216</v>
      </c>
      <c r="AK236" s="106">
        <f t="shared" si="67"/>
        <v>1.9319999999999999</v>
      </c>
      <c r="AL236" s="106">
        <f t="shared" si="68"/>
        <v>1.9319999999999999</v>
      </c>
      <c r="AQ236" s="107"/>
      <c r="AS236" s="108"/>
    </row>
    <row r="237" spans="1:45" x14ac:dyDescent="0.2">
      <c r="C237" s="92"/>
      <c r="D237" s="92"/>
      <c r="F237" s="109"/>
      <c r="G237" s="109"/>
      <c r="H237" s="109"/>
      <c r="I237" s="109"/>
      <c r="J237" s="105"/>
      <c r="K237" s="105"/>
      <c r="L237" s="105"/>
      <c r="M237" s="105">
        <f t="shared" si="71"/>
        <v>0</v>
      </c>
      <c r="N237" s="105"/>
      <c r="O237" s="105"/>
      <c r="P237" s="105">
        <f t="shared" si="72"/>
        <v>0</v>
      </c>
      <c r="Q237" s="105"/>
      <c r="R237" s="105">
        <f t="shared" si="73"/>
        <v>0</v>
      </c>
      <c r="S237" s="105"/>
      <c r="T237" s="105">
        <f t="shared" si="78"/>
        <v>0</v>
      </c>
      <c r="U237" s="105"/>
      <c r="V237" s="91">
        <f t="shared" si="74"/>
        <v>0</v>
      </c>
      <c r="W237" s="105"/>
      <c r="X237" s="105">
        <f t="shared" si="75"/>
        <v>0</v>
      </c>
      <c r="Y237" s="105"/>
      <c r="Z237" s="105">
        <f t="shared" si="76"/>
        <v>0</v>
      </c>
      <c r="AA237" s="105"/>
      <c r="AB237" s="105">
        <f>$F235*AA237</f>
        <v>0</v>
      </c>
      <c r="AC237" s="105"/>
      <c r="AD237" s="105">
        <f t="shared" si="69"/>
        <v>0</v>
      </c>
      <c r="AE237" s="105"/>
      <c r="AF237" s="105">
        <f t="shared" si="70"/>
        <v>0</v>
      </c>
      <c r="AG237" s="105"/>
      <c r="AH237" s="106"/>
      <c r="AK237" s="106">
        <f t="shared" si="67"/>
        <v>0</v>
      </c>
      <c r="AL237" s="106">
        <f t="shared" si="68"/>
        <v>0</v>
      </c>
      <c r="AQ237" s="107"/>
      <c r="AR237" s="112"/>
      <c r="AS237" s="108"/>
    </row>
    <row r="238" spans="1:45" x14ac:dyDescent="0.2">
      <c r="A238" s="85" t="s">
        <v>107</v>
      </c>
      <c r="B238" s="101" t="s">
        <v>104</v>
      </c>
      <c r="C238" s="86" t="s">
        <v>646</v>
      </c>
      <c r="F238" s="102">
        <f>E238</f>
        <v>0</v>
      </c>
      <c r="G238" s="103"/>
      <c r="H238" s="103"/>
      <c r="I238" s="103"/>
      <c r="J238" s="105"/>
      <c r="K238" s="105"/>
      <c r="L238" s="105"/>
      <c r="M238" s="105">
        <f t="shared" si="71"/>
        <v>0</v>
      </c>
      <c r="N238" s="105"/>
      <c r="O238" s="105"/>
      <c r="P238" s="105">
        <f t="shared" si="72"/>
        <v>0</v>
      </c>
      <c r="Q238" s="105"/>
      <c r="R238" s="105">
        <f t="shared" si="73"/>
        <v>0</v>
      </c>
      <c r="S238" s="105"/>
      <c r="T238" s="105">
        <f t="shared" si="78"/>
        <v>0</v>
      </c>
      <c r="U238" s="105"/>
      <c r="V238" s="91">
        <f t="shared" si="74"/>
        <v>0</v>
      </c>
      <c r="W238" s="105"/>
      <c r="X238" s="105">
        <f t="shared" si="75"/>
        <v>0</v>
      </c>
      <c r="Y238" s="105"/>
      <c r="Z238" s="105">
        <f t="shared" si="76"/>
        <v>0</v>
      </c>
      <c r="AA238" s="105"/>
      <c r="AB238" s="105">
        <f>$F236*AA238</f>
        <v>0</v>
      </c>
      <c r="AC238" s="105"/>
      <c r="AD238" s="105">
        <f t="shared" si="69"/>
        <v>0</v>
      </c>
      <c r="AE238" s="105"/>
      <c r="AF238" s="105">
        <f t="shared" si="70"/>
        <v>0</v>
      </c>
      <c r="AG238" s="105"/>
      <c r="AH238" s="106"/>
      <c r="AK238" s="106">
        <f t="shared" si="67"/>
        <v>0</v>
      </c>
      <c r="AL238" s="106">
        <f t="shared" si="68"/>
        <v>0</v>
      </c>
      <c r="AQ238" s="107"/>
      <c r="AR238" s="112"/>
      <c r="AS238" s="108"/>
    </row>
    <row r="239" spans="1:45" x14ac:dyDescent="0.2">
      <c r="A239" s="85" t="s">
        <v>107</v>
      </c>
      <c r="B239" s="101"/>
      <c r="C239" s="92" t="s">
        <v>647</v>
      </c>
      <c r="D239" s="92"/>
      <c r="F239" s="104">
        <f>SUM(F238)</f>
        <v>0</v>
      </c>
      <c r="G239" s="104">
        <f>F239</f>
        <v>0</v>
      </c>
      <c r="H239" s="105">
        <f>VLOOKUP(A239,Data!$A$2:$Z$179,24,FALSE)</f>
        <v>27</v>
      </c>
      <c r="I239" s="105">
        <f>VLOOKUP(A239,Data!$A$2:$Z$179,25,FALSE)</f>
        <v>4.298</v>
      </c>
      <c r="J239" s="105">
        <f>VLOOKUP(A239,Data!$A$2:$Z$179,7,FALSE)</f>
        <v>22.702000000000002</v>
      </c>
      <c r="K239" s="105">
        <f>$F239*J239</f>
        <v>0</v>
      </c>
      <c r="L239" s="105">
        <f>VLOOKUP(A239,Data!$A$2:$Z$179,8,FALSE)</f>
        <v>0</v>
      </c>
      <c r="M239" s="105">
        <f>L239*F239</f>
        <v>0</v>
      </c>
      <c r="N239" s="105">
        <f>VLOOKUP(A239,Data!$A$2:$Z$179,9,FALSE)</f>
        <v>0</v>
      </c>
      <c r="O239" s="105">
        <f>VLOOKUP(A238,Data!$A$2:$Z$179,10,FALSE)</f>
        <v>0</v>
      </c>
      <c r="P239" s="105">
        <f>O239*F239</f>
        <v>0</v>
      </c>
      <c r="Q239" s="105">
        <f>VLOOKUP(A239,Data!$A$2:$Z$179,11,FALSE)</f>
        <v>0</v>
      </c>
      <c r="R239" s="105">
        <f t="shared" si="73"/>
        <v>0</v>
      </c>
      <c r="S239" s="105">
        <f>VLOOKUP(A239,Data!$A$2:$Z$179,12,FALSE)</f>
        <v>0</v>
      </c>
      <c r="T239" s="105">
        <f>S239*F239</f>
        <v>0</v>
      </c>
      <c r="U239" s="105">
        <f>VLOOKUP(A239,Data!$A$2:$Z$179,13,FALSE)</f>
        <v>6.204005394908807E-2</v>
      </c>
      <c r="V239" s="91">
        <f t="shared" si="74"/>
        <v>0</v>
      </c>
      <c r="W239" s="105">
        <f>VLOOKUP(A239,Data!$A$2:$Z$179,22,FALSE)</f>
        <v>0</v>
      </c>
      <c r="X239" s="105">
        <f>W239*F239</f>
        <v>0</v>
      </c>
      <c r="Y239" s="105">
        <f>VLOOKUP(A239,Data!$A$2:$Z$179,19,FALSE)</f>
        <v>0</v>
      </c>
      <c r="Z239" s="105">
        <f t="shared" si="76"/>
        <v>0</v>
      </c>
      <c r="AA239" s="105">
        <f>VLOOKUP(A239,Data!$A$2:$Z$179,20,FALSE)</f>
        <v>0</v>
      </c>
      <c r="AB239" s="105">
        <f>$F239*AA239</f>
        <v>0</v>
      </c>
      <c r="AC239" s="105">
        <f>VLOOKUP(A239,Data!$A$2:$Z$179,21,FALSE)</f>
        <v>0</v>
      </c>
      <c r="AD239" s="105">
        <f t="shared" si="69"/>
        <v>0</v>
      </c>
      <c r="AE239" s="105">
        <f>J239+L239+N239+O239+Q239+S239+U239+W239+Y239+AA239+AC239</f>
        <v>22.764040053949088</v>
      </c>
      <c r="AF239" s="105">
        <f t="shared" si="70"/>
        <v>0</v>
      </c>
      <c r="AG239" s="105"/>
      <c r="AH239" s="106">
        <f>AE239-S239-W239</f>
        <v>22.764040053949088</v>
      </c>
      <c r="AI239" s="85">
        <f>AH239/AE239</f>
        <v>1</v>
      </c>
      <c r="AK239" s="106">
        <f t="shared" si="67"/>
        <v>0</v>
      </c>
      <c r="AL239" s="106">
        <f t="shared" si="68"/>
        <v>0</v>
      </c>
      <c r="AQ239" s="107"/>
      <c r="AS239" s="108"/>
    </row>
    <row r="240" spans="1:45" x14ac:dyDescent="0.2">
      <c r="B240" s="101"/>
      <c r="C240" s="92"/>
      <c r="D240" s="92"/>
      <c r="F240" s="109"/>
      <c r="G240" s="109"/>
      <c r="H240" s="109"/>
      <c r="I240" s="109"/>
      <c r="J240" s="105"/>
      <c r="K240" s="105"/>
      <c r="L240" s="105"/>
      <c r="M240" s="105">
        <f t="shared" si="71"/>
        <v>0</v>
      </c>
      <c r="N240" s="105"/>
      <c r="O240" s="105"/>
      <c r="P240" s="105">
        <f t="shared" si="72"/>
        <v>0</v>
      </c>
      <c r="Q240" s="105"/>
      <c r="R240" s="105">
        <f t="shared" si="73"/>
        <v>0</v>
      </c>
      <c r="S240" s="105"/>
      <c r="T240" s="105">
        <f t="shared" si="78"/>
        <v>0</v>
      </c>
      <c r="U240" s="105"/>
      <c r="V240" s="91">
        <f t="shared" si="74"/>
        <v>0</v>
      </c>
      <c r="W240" s="105"/>
      <c r="X240" s="105">
        <f t="shared" si="75"/>
        <v>0</v>
      </c>
      <c r="Y240" s="105"/>
      <c r="Z240" s="105">
        <f t="shared" si="76"/>
        <v>0</v>
      </c>
      <c r="AA240" s="105"/>
      <c r="AB240" s="105">
        <f>$F240*AA240</f>
        <v>0</v>
      </c>
      <c r="AC240" s="105"/>
      <c r="AD240" s="105">
        <f t="shared" si="69"/>
        <v>0</v>
      </c>
      <c r="AE240" s="105"/>
      <c r="AF240" s="105">
        <f t="shared" si="70"/>
        <v>0</v>
      </c>
      <c r="AG240" s="105"/>
      <c r="AH240" s="106"/>
      <c r="AK240" s="106">
        <f t="shared" si="67"/>
        <v>0</v>
      </c>
      <c r="AL240" s="106">
        <f t="shared" si="68"/>
        <v>0</v>
      </c>
      <c r="AQ240" s="107"/>
      <c r="AS240" s="108"/>
    </row>
    <row r="241" spans="1:45" x14ac:dyDescent="0.2">
      <c r="A241" s="85" t="s">
        <v>108</v>
      </c>
      <c r="B241" s="101" t="s">
        <v>109</v>
      </c>
      <c r="C241" s="86" t="s">
        <v>648</v>
      </c>
      <c r="F241" s="102">
        <f>E241</f>
        <v>0</v>
      </c>
      <c r="G241" s="102"/>
      <c r="H241" s="102"/>
      <c r="I241" s="102"/>
      <c r="J241" s="105"/>
      <c r="K241" s="105"/>
      <c r="L241" s="105"/>
      <c r="M241" s="105">
        <f t="shared" si="71"/>
        <v>0</v>
      </c>
      <c r="N241" s="105"/>
      <c r="O241" s="105"/>
      <c r="P241" s="105">
        <f t="shared" si="72"/>
        <v>0</v>
      </c>
      <c r="Q241" s="105"/>
      <c r="R241" s="105">
        <f t="shared" si="73"/>
        <v>0</v>
      </c>
      <c r="S241" s="105"/>
      <c r="T241" s="105">
        <f t="shared" si="78"/>
        <v>0</v>
      </c>
      <c r="U241" s="105"/>
      <c r="V241" s="91">
        <f t="shared" si="74"/>
        <v>0</v>
      </c>
      <c r="W241" s="105"/>
      <c r="X241" s="105">
        <f t="shared" si="75"/>
        <v>0</v>
      </c>
      <c r="Y241" s="105"/>
      <c r="Z241" s="105">
        <f t="shared" si="76"/>
        <v>0</v>
      </c>
      <c r="AA241" s="105"/>
      <c r="AB241" s="105">
        <f>$F241*AA241</f>
        <v>0</v>
      </c>
      <c r="AC241" s="105"/>
      <c r="AD241" s="105">
        <f t="shared" si="69"/>
        <v>0</v>
      </c>
      <c r="AE241" s="105"/>
      <c r="AF241" s="105">
        <f t="shared" si="70"/>
        <v>0</v>
      </c>
      <c r="AG241" s="105"/>
      <c r="AH241" s="106"/>
      <c r="AK241" s="106">
        <f t="shared" si="67"/>
        <v>0</v>
      </c>
      <c r="AL241" s="106">
        <f t="shared" si="68"/>
        <v>0</v>
      </c>
      <c r="AQ241" s="107"/>
      <c r="AS241" s="108"/>
    </row>
    <row r="242" spans="1:45" x14ac:dyDescent="0.2">
      <c r="A242" s="85" t="s">
        <v>108</v>
      </c>
      <c r="B242" s="101" t="s">
        <v>197</v>
      </c>
      <c r="C242" s="86" t="s">
        <v>648</v>
      </c>
      <c r="F242" s="102">
        <f>E242</f>
        <v>0</v>
      </c>
      <c r="G242" s="102"/>
      <c r="H242" s="102"/>
      <c r="I242" s="102"/>
      <c r="J242" s="105"/>
      <c r="K242" s="105"/>
      <c r="L242" s="105"/>
      <c r="M242" s="105">
        <f t="shared" si="71"/>
        <v>0</v>
      </c>
      <c r="N242" s="105"/>
      <c r="O242" s="105"/>
      <c r="P242" s="105">
        <f t="shared" si="72"/>
        <v>0</v>
      </c>
      <c r="Q242" s="105"/>
      <c r="R242" s="105">
        <f t="shared" si="73"/>
        <v>0</v>
      </c>
      <c r="S242" s="105"/>
      <c r="T242" s="105">
        <f t="shared" si="78"/>
        <v>0</v>
      </c>
      <c r="U242" s="105"/>
      <c r="V242" s="91">
        <f t="shared" si="74"/>
        <v>0</v>
      </c>
      <c r="W242" s="105"/>
      <c r="X242" s="105">
        <f t="shared" si="75"/>
        <v>0</v>
      </c>
      <c r="Y242" s="105"/>
      <c r="Z242" s="105">
        <f t="shared" si="76"/>
        <v>0</v>
      </c>
      <c r="AA242" s="105"/>
      <c r="AB242" s="105">
        <f>$F242*AA242</f>
        <v>0</v>
      </c>
      <c r="AC242" s="105"/>
      <c r="AD242" s="105">
        <f t="shared" si="69"/>
        <v>0</v>
      </c>
      <c r="AE242" s="105"/>
      <c r="AF242" s="105">
        <f t="shared" si="70"/>
        <v>0</v>
      </c>
      <c r="AG242" s="105"/>
      <c r="AH242" s="106"/>
      <c r="AK242" s="106">
        <f t="shared" si="67"/>
        <v>0</v>
      </c>
      <c r="AL242" s="106">
        <f t="shared" si="68"/>
        <v>0</v>
      </c>
      <c r="AQ242" s="107"/>
      <c r="AS242" s="108"/>
    </row>
    <row r="243" spans="1:45" x14ac:dyDescent="0.2">
      <c r="A243" s="85" t="s">
        <v>108</v>
      </c>
      <c r="B243" s="101" t="s">
        <v>79</v>
      </c>
      <c r="C243" s="86" t="s">
        <v>648</v>
      </c>
      <c r="F243" s="102">
        <f>E243</f>
        <v>0</v>
      </c>
      <c r="G243" s="102"/>
      <c r="H243" s="102"/>
      <c r="I243" s="102"/>
      <c r="J243" s="105"/>
      <c r="K243" s="105"/>
      <c r="L243" s="105"/>
      <c r="M243" s="105">
        <f t="shared" si="71"/>
        <v>0</v>
      </c>
      <c r="N243" s="105"/>
      <c r="O243" s="105"/>
      <c r="P243" s="105">
        <f t="shared" si="72"/>
        <v>0</v>
      </c>
      <c r="Q243" s="105"/>
      <c r="R243" s="105">
        <f t="shared" si="73"/>
        <v>0</v>
      </c>
      <c r="S243" s="105"/>
      <c r="T243" s="105">
        <f t="shared" si="78"/>
        <v>0</v>
      </c>
      <c r="U243" s="105"/>
      <c r="V243" s="91">
        <f t="shared" si="74"/>
        <v>0</v>
      </c>
      <c r="W243" s="105"/>
      <c r="X243" s="105">
        <f t="shared" si="75"/>
        <v>0</v>
      </c>
      <c r="Y243" s="105"/>
      <c r="Z243" s="105">
        <f t="shared" si="76"/>
        <v>0</v>
      </c>
      <c r="AA243" s="105"/>
      <c r="AB243" s="105">
        <f>$F241*AA243</f>
        <v>0</v>
      </c>
      <c r="AC243" s="105"/>
      <c r="AD243" s="105">
        <f t="shared" si="69"/>
        <v>0</v>
      </c>
      <c r="AE243" s="105"/>
      <c r="AF243" s="105">
        <f t="shared" si="70"/>
        <v>0</v>
      </c>
      <c r="AG243" s="105"/>
      <c r="AH243" s="106"/>
      <c r="AK243" s="106">
        <f t="shared" si="67"/>
        <v>0</v>
      </c>
      <c r="AL243" s="106">
        <f t="shared" si="68"/>
        <v>0</v>
      </c>
      <c r="AQ243" s="107"/>
      <c r="AS243" s="108"/>
    </row>
    <row r="244" spans="1:45" x14ac:dyDescent="0.2">
      <c r="A244" s="85" t="s">
        <v>108</v>
      </c>
      <c r="B244" s="101"/>
      <c r="C244" s="92" t="s">
        <v>649</v>
      </c>
      <c r="D244" s="92"/>
      <c r="F244" s="104">
        <f>SUM(F241:F243)</f>
        <v>0</v>
      </c>
      <c r="G244" s="104">
        <f>F244</f>
        <v>0</v>
      </c>
      <c r="H244" s="105">
        <f>VLOOKUP(A244,Data!$A$2:$Z$179,24,FALSE)</f>
        <v>27</v>
      </c>
      <c r="I244" s="105">
        <f>VLOOKUP(A244,Data!$A$2:$Z$179,25,FALSE)</f>
        <v>4.2409999999999997</v>
      </c>
      <c r="J244" s="105">
        <f>VLOOKUP(A244,Data!$A$2:$Z$179,7,FALSE)</f>
        <v>22.759</v>
      </c>
      <c r="K244" s="105">
        <f>$F244*J244</f>
        <v>0</v>
      </c>
      <c r="L244" s="105">
        <f>VLOOKUP(A244,Data!$A$2:$Z$179,8,FALSE)</f>
        <v>0</v>
      </c>
      <c r="M244" s="105">
        <f>L244*F244</f>
        <v>0</v>
      </c>
      <c r="N244" s="105">
        <f>VLOOKUP(A244,Data!$A$2:$Z$179,9,FALSE)</f>
        <v>0</v>
      </c>
      <c r="O244" s="105">
        <f>VLOOKUP(A243,Data!$A$2:$Z$179,10,FALSE)</f>
        <v>0</v>
      </c>
      <c r="P244" s="105">
        <f>O244*F244</f>
        <v>0</v>
      </c>
      <c r="Q244" s="105">
        <f>VLOOKUP(A244,Data!$A$2:$Z$179,11,FALSE)</f>
        <v>0</v>
      </c>
      <c r="R244" s="105">
        <f t="shared" si="73"/>
        <v>0</v>
      </c>
      <c r="S244" s="105">
        <f>VLOOKUP(A244,Data!$A$2:$Z$179,12,FALSE)</f>
        <v>8.4320000000000004</v>
      </c>
      <c r="T244" s="105">
        <f>S244*F244</f>
        <v>0</v>
      </c>
      <c r="U244" s="105">
        <f>VLOOKUP(A244,Data!$A$2:$Z$179,13,FALSE)</f>
        <v>3.1293005469515765E-2</v>
      </c>
      <c r="V244" s="91">
        <f t="shared" si="74"/>
        <v>0</v>
      </c>
      <c r="W244" s="105">
        <f>VLOOKUP(A244,Data!$A$2:$Z$179,22,FALSE)</f>
        <v>0</v>
      </c>
      <c r="X244" s="105">
        <f>W244*F244</f>
        <v>0</v>
      </c>
      <c r="Y244" s="105">
        <f>VLOOKUP(A244,Data!$A$2:$Z$179,19,FALSE)</f>
        <v>0</v>
      </c>
      <c r="Z244" s="105">
        <f t="shared" si="76"/>
        <v>0</v>
      </c>
      <c r="AA244" s="105">
        <f>VLOOKUP(A244,Data!$A$2:$Z$179,20,FALSE)</f>
        <v>0</v>
      </c>
      <c r="AB244" s="105">
        <f>$F244*AA244</f>
        <v>0</v>
      </c>
      <c r="AC244" s="105">
        <f>VLOOKUP(A244,Data!$A$2:$Z$179,21,FALSE)</f>
        <v>0</v>
      </c>
      <c r="AD244" s="105">
        <f t="shared" si="69"/>
        <v>0</v>
      </c>
      <c r="AE244" s="105">
        <f>J244+L244+N244+O244+Q244+S244+U244+W244+Y244+AA244+AC244</f>
        <v>31.222293005469517</v>
      </c>
      <c r="AF244" s="105">
        <f t="shared" si="70"/>
        <v>0</v>
      </c>
      <c r="AG244" s="105"/>
      <c r="AH244" s="106">
        <f>AE244-S244-W244</f>
        <v>22.790293005469515</v>
      </c>
      <c r="AI244" s="85">
        <f>AH244/AE244</f>
        <v>0.72993655531568791</v>
      </c>
      <c r="AK244" s="106">
        <f t="shared" si="67"/>
        <v>8.4320000000000004</v>
      </c>
      <c r="AL244" s="106">
        <f t="shared" si="68"/>
        <v>8.4320000000000004</v>
      </c>
      <c r="AQ244" s="107"/>
      <c r="AS244" s="108"/>
    </row>
    <row r="245" spans="1:45" x14ac:dyDescent="0.2">
      <c r="B245" s="101"/>
      <c r="C245" s="92"/>
      <c r="D245" s="92"/>
      <c r="F245" s="109"/>
      <c r="G245" s="109"/>
      <c r="H245" s="109"/>
      <c r="I245" s="109"/>
      <c r="J245" s="105"/>
      <c r="K245" s="105"/>
      <c r="L245" s="105"/>
      <c r="M245" s="105">
        <f t="shared" si="71"/>
        <v>0</v>
      </c>
      <c r="N245" s="105"/>
      <c r="O245" s="105"/>
      <c r="P245" s="105">
        <f t="shared" si="72"/>
        <v>0</v>
      </c>
      <c r="Q245" s="105"/>
      <c r="R245" s="105">
        <f t="shared" si="73"/>
        <v>0</v>
      </c>
      <c r="S245" s="105"/>
      <c r="T245" s="105">
        <f t="shared" si="78"/>
        <v>0</v>
      </c>
      <c r="U245" s="105"/>
      <c r="V245" s="91">
        <f t="shared" si="74"/>
        <v>0</v>
      </c>
      <c r="W245" s="105"/>
      <c r="X245" s="105">
        <f t="shared" si="75"/>
        <v>0</v>
      </c>
      <c r="Y245" s="105"/>
      <c r="Z245" s="105">
        <f t="shared" si="76"/>
        <v>0</v>
      </c>
      <c r="AA245" s="105"/>
      <c r="AB245" s="105">
        <f>$F243*AA245</f>
        <v>0</v>
      </c>
      <c r="AC245" s="105"/>
      <c r="AD245" s="105">
        <f t="shared" si="69"/>
        <v>0</v>
      </c>
      <c r="AE245" s="105"/>
      <c r="AF245" s="105">
        <f t="shared" si="70"/>
        <v>0</v>
      </c>
      <c r="AG245" s="105"/>
      <c r="AH245" s="106"/>
      <c r="AK245" s="106">
        <f t="shared" si="67"/>
        <v>0</v>
      </c>
      <c r="AL245" s="106">
        <f t="shared" si="68"/>
        <v>0</v>
      </c>
      <c r="AQ245" s="107"/>
      <c r="AS245" s="108"/>
    </row>
    <row r="246" spans="1:45" x14ac:dyDescent="0.2">
      <c r="A246" s="85" t="s">
        <v>110</v>
      </c>
      <c r="B246" s="101" t="s">
        <v>109</v>
      </c>
      <c r="C246" s="86" t="s">
        <v>650</v>
      </c>
      <c r="F246" s="102">
        <f>E246</f>
        <v>0</v>
      </c>
      <c r="G246" s="103"/>
      <c r="H246" s="103"/>
      <c r="I246" s="103"/>
      <c r="J246" s="105"/>
      <c r="K246" s="105"/>
      <c r="L246" s="105"/>
      <c r="M246" s="105">
        <f t="shared" si="71"/>
        <v>0</v>
      </c>
      <c r="N246" s="105"/>
      <c r="O246" s="105"/>
      <c r="P246" s="105">
        <f t="shared" si="72"/>
        <v>0</v>
      </c>
      <c r="Q246" s="105"/>
      <c r="R246" s="105">
        <f t="shared" si="73"/>
        <v>0</v>
      </c>
      <c r="S246" s="105"/>
      <c r="T246" s="105">
        <f t="shared" si="78"/>
        <v>0</v>
      </c>
      <c r="U246" s="105"/>
      <c r="V246" s="91">
        <f t="shared" si="74"/>
        <v>0</v>
      </c>
      <c r="W246" s="105"/>
      <c r="X246" s="105">
        <f t="shared" si="75"/>
        <v>0</v>
      </c>
      <c r="Y246" s="105"/>
      <c r="Z246" s="105">
        <f t="shared" si="76"/>
        <v>0</v>
      </c>
      <c r="AA246" s="105"/>
      <c r="AB246" s="105">
        <f>$F244*AA246</f>
        <v>0</v>
      </c>
      <c r="AC246" s="105"/>
      <c r="AD246" s="105">
        <f t="shared" si="69"/>
        <v>0</v>
      </c>
      <c r="AE246" s="105"/>
      <c r="AF246" s="105">
        <f t="shared" si="70"/>
        <v>0</v>
      </c>
      <c r="AG246" s="105"/>
      <c r="AH246" s="106"/>
      <c r="AK246" s="106">
        <f t="shared" si="67"/>
        <v>0</v>
      </c>
      <c r="AL246" s="106">
        <f t="shared" si="68"/>
        <v>0</v>
      </c>
      <c r="AQ246" s="107"/>
      <c r="AS246" s="108"/>
    </row>
    <row r="247" spans="1:45" x14ac:dyDescent="0.2">
      <c r="A247" s="85" t="s">
        <v>110</v>
      </c>
      <c r="C247" s="92" t="s">
        <v>651</v>
      </c>
      <c r="D247" s="92"/>
      <c r="F247" s="104">
        <f>SUM(F246)</f>
        <v>0</v>
      </c>
      <c r="G247" s="104">
        <f>F247</f>
        <v>0</v>
      </c>
      <c r="H247" s="105">
        <f>VLOOKUP(A247,Data!$A$2:$Z$179,24,FALSE)</f>
        <v>16.282</v>
      </c>
      <c r="I247" s="105">
        <f>VLOOKUP(A247,Data!$A$2:$Z$179,25,FALSE)</f>
        <v>10.582000000000001</v>
      </c>
      <c r="J247" s="105">
        <f>VLOOKUP(A247,Data!$A$2:$Z$179,7,FALSE)</f>
        <v>5.7</v>
      </c>
      <c r="K247" s="105">
        <f>$F247*J247</f>
        <v>0</v>
      </c>
      <c r="L247" s="105">
        <f>VLOOKUP(A247,Data!$A$2:$Z$179,8,FALSE)</f>
        <v>0</v>
      </c>
      <c r="M247" s="105">
        <f>L247*F247</f>
        <v>0</v>
      </c>
      <c r="N247" s="105">
        <f>VLOOKUP(A247,Data!$A$2:$Z$179,9,FALSE)</f>
        <v>0</v>
      </c>
      <c r="O247" s="105">
        <f>VLOOKUP(A246,Data!$A$2:$Z$179,10,FALSE)</f>
        <v>0</v>
      </c>
      <c r="P247" s="105">
        <f>O247*F247</f>
        <v>0</v>
      </c>
      <c r="Q247" s="105">
        <f>VLOOKUP(A247,Data!$A$2:$Z$179,11,FALSE)</f>
        <v>0</v>
      </c>
      <c r="R247" s="105">
        <f t="shared" si="73"/>
        <v>0</v>
      </c>
      <c r="S247" s="105">
        <f>VLOOKUP(A247,Data!$A$2:$Z$179,12,FALSE)</f>
        <v>6.468</v>
      </c>
      <c r="T247" s="105">
        <f>S247*F247</f>
        <v>0</v>
      </c>
      <c r="U247" s="105">
        <f>VLOOKUP(A247,Data!$A$2:$Z$179,13,FALSE)</f>
        <v>1.5812875324281519E-2</v>
      </c>
      <c r="V247" s="91">
        <f t="shared" si="74"/>
        <v>0</v>
      </c>
      <c r="W247" s="105">
        <f>VLOOKUP(A247,Data!$A$2:$Z$179,22,FALSE)</f>
        <v>0</v>
      </c>
      <c r="X247" s="105">
        <f>W247*F247</f>
        <v>0</v>
      </c>
      <c r="Y247" s="105">
        <f>VLOOKUP(A247,Data!$A$2:$Z$179,19,FALSE)</f>
        <v>0</v>
      </c>
      <c r="Z247" s="105">
        <f t="shared" si="76"/>
        <v>0</v>
      </c>
      <c r="AA247" s="105">
        <f>VLOOKUP(A247,Data!$A$2:$Z$179,20,FALSE)</f>
        <v>0</v>
      </c>
      <c r="AB247" s="105">
        <f>$F247*AA247</f>
        <v>0</v>
      </c>
      <c r="AC247" s="105">
        <f>VLOOKUP(A247,Data!$A$2:$Z$179,21,FALSE)</f>
        <v>0</v>
      </c>
      <c r="AD247" s="105">
        <f t="shared" si="69"/>
        <v>0</v>
      </c>
      <c r="AE247" s="105">
        <f>J247+L247+N247+O247+Q247+S247+U247+W247+Y247+AA247+AC247</f>
        <v>12.18381287532428</v>
      </c>
      <c r="AF247" s="105">
        <f t="shared" si="70"/>
        <v>0</v>
      </c>
      <c r="AG247" s="105"/>
      <c r="AH247" s="106">
        <f>AE247-S247-W247</f>
        <v>5.7158128753242803</v>
      </c>
      <c r="AI247" s="85">
        <f>AH247/AE247</f>
        <v>0.469131702350784</v>
      </c>
      <c r="AK247" s="106">
        <f t="shared" si="67"/>
        <v>6.468</v>
      </c>
      <c r="AL247" s="106">
        <f t="shared" si="68"/>
        <v>6.468</v>
      </c>
      <c r="AQ247" s="107"/>
      <c r="AS247" s="108"/>
    </row>
    <row r="248" spans="1:45" x14ac:dyDescent="0.2">
      <c r="C248" s="92"/>
      <c r="D248" s="92"/>
      <c r="F248" s="109"/>
      <c r="G248" s="109"/>
      <c r="H248" s="109"/>
      <c r="I248" s="109"/>
      <c r="J248" s="105"/>
      <c r="K248" s="105"/>
      <c r="L248" s="105"/>
      <c r="M248" s="105">
        <f t="shared" si="71"/>
        <v>0</v>
      </c>
      <c r="N248" s="105"/>
      <c r="O248" s="105"/>
      <c r="P248" s="105">
        <f t="shared" si="72"/>
        <v>0</v>
      </c>
      <c r="Q248" s="105"/>
      <c r="R248" s="105">
        <f t="shared" si="73"/>
        <v>0</v>
      </c>
      <c r="S248" s="105"/>
      <c r="T248" s="105">
        <f t="shared" si="78"/>
        <v>0</v>
      </c>
      <c r="U248" s="105"/>
      <c r="V248" s="91">
        <f t="shared" si="74"/>
        <v>0</v>
      </c>
      <c r="W248" s="105"/>
      <c r="X248" s="105">
        <f t="shared" si="75"/>
        <v>0</v>
      </c>
      <c r="Y248" s="105"/>
      <c r="Z248" s="105">
        <f t="shared" si="76"/>
        <v>0</v>
      </c>
      <c r="AA248" s="105"/>
      <c r="AB248" s="105">
        <f t="shared" ref="AB248:AB256" si="80">$F248*AA248</f>
        <v>0</v>
      </c>
      <c r="AC248" s="105"/>
      <c r="AD248" s="105">
        <f t="shared" si="69"/>
        <v>0</v>
      </c>
      <c r="AE248" s="105"/>
      <c r="AF248" s="105">
        <f t="shared" si="70"/>
        <v>0</v>
      </c>
      <c r="AG248" s="105"/>
      <c r="AH248" s="106"/>
      <c r="AK248" s="106">
        <f t="shared" si="67"/>
        <v>0</v>
      </c>
      <c r="AL248" s="106">
        <f t="shared" si="68"/>
        <v>0</v>
      </c>
      <c r="AQ248" s="107"/>
      <c r="AR248" s="112"/>
      <c r="AS248" s="108"/>
    </row>
    <row r="249" spans="1:45" x14ac:dyDescent="0.2">
      <c r="A249" s="85" t="s">
        <v>111</v>
      </c>
      <c r="B249" s="101" t="s">
        <v>109</v>
      </c>
      <c r="C249" s="86" t="s">
        <v>652</v>
      </c>
      <c r="F249" s="102">
        <f>E249</f>
        <v>0</v>
      </c>
      <c r="G249" s="103"/>
      <c r="H249" s="103"/>
      <c r="I249" s="103"/>
      <c r="J249" s="105"/>
      <c r="K249" s="105"/>
      <c r="L249" s="105"/>
      <c r="M249" s="105">
        <f t="shared" si="71"/>
        <v>0</v>
      </c>
      <c r="N249" s="105"/>
      <c r="O249" s="105"/>
      <c r="P249" s="105">
        <f t="shared" si="72"/>
        <v>0</v>
      </c>
      <c r="Q249" s="105"/>
      <c r="R249" s="105">
        <f t="shared" si="73"/>
        <v>0</v>
      </c>
      <c r="S249" s="105"/>
      <c r="T249" s="105">
        <f t="shared" si="78"/>
        <v>0</v>
      </c>
      <c r="U249" s="105"/>
      <c r="V249" s="91">
        <f t="shared" si="74"/>
        <v>0</v>
      </c>
      <c r="W249" s="105"/>
      <c r="X249" s="105">
        <f t="shared" si="75"/>
        <v>0</v>
      </c>
      <c r="Y249" s="105"/>
      <c r="Z249" s="105">
        <f t="shared" si="76"/>
        <v>0</v>
      </c>
      <c r="AA249" s="105"/>
      <c r="AB249" s="105">
        <f t="shared" si="80"/>
        <v>0</v>
      </c>
      <c r="AC249" s="105"/>
      <c r="AD249" s="105">
        <f t="shared" si="69"/>
        <v>0</v>
      </c>
      <c r="AE249" s="105"/>
      <c r="AF249" s="105">
        <f t="shared" si="70"/>
        <v>0</v>
      </c>
      <c r="AG249" s="105"/>
      <c r="AH249" s="106"/>
      <c r="AK249" s="106">
        <f t="shared" si="67"/>
        <v>0</v>
      </c>
      <c r="AL249" s="106">
        <f t="shared" si="68"/>
        <v>0</v>
      </c>
      <c r="AQ249" s="107"/>
      <c r="AR249" s="112"/>
      <c r="AS249" s="108"/>
    </row>
    <row r="250" spans="1:45" x14ac:dyDescent="0.2">
      <c r="A250" s="85" t="s">
        <v>111</v>
      </c>
      <c r="B250" s="101"/>
      <c r="C250" s="92" t="s">
        <v>653</v>
      </c>
      <c r="D250" s="92"/>
      <c r="F250" s="104">
        <f>SUM(F249)</f>
        <v>0</v>
      </c>
      <c r="G250" s="104">
        <f>F250</f>
        <v>0</v>
      </c>
      <c r="H250" s="105">
        <f>VLOOKUP(A250,Data!$A$2:$Z$179,24,FALSE)</f>
        <v>4.3949999999999996</v>
      </c>
      <c r="I250" s="105">
        <f>VLOOKUP(A250,Data!$A$2:$Z$179,25,FALSE)</f>
        <v>1.1640000000000001</v>
      </c>
      <c r="J250" s="105">
        <f>VLOOKUP(A250,Data!$A$2:$Z$179,7,FALSE)</f>
        <v>3.2309999999999999</v>
      </c>
      <c r="K250" s="105">
        <f>$F250*J250</f>
        <v>0</v>
      </c>
      <c r="L250" s="105">
        <f>VLOOKUP(A250,Data!$A$2:$Z$179,8,FALSE)</f>
        <v>0</v>
      </c>
      <c r="M250" s="105">
        <f>L250*F250</f>
        <v>0</v>
      </c>
      <c r="N250" s="105">
        <f>VLOOKUP(A250,Data!$A$2:$Z$179,9,FALSE)</f>
        <v>0</v>
      </c>
      <c r="O250" s="105">
        <f>VLOOKUP(A249,Data!$A$2:$Z$179,10,FALSE)</f>
        <v>0</v>
      </c>
      <c r="P250" s="105">
        <f>O250*F250</f>
        <v>0</v>
      </c>
      <c r="Q250" s="105">
        <f>VLOOKUP(A250,Data!$A$2:$Z$179,11,FALSE)</f>
        <v>0</v>
      </c>
      <c r="R250" s="105">
        <f t="shared" si="73"/>
        <v>0</v>
      </c>
      <c r="S250" s="105">
        <f>VLOOKUP(A250,Data!$A$2:$Z$179,12,FALSE)</f>
        <v>4.2930000000000001</v>
      </c>
      <c r="T250" s="105">
        <f>S250*F250</f>
        <v>0</v>
      </c>
      <c r="U250" s="105">
        <f>VLOOKUP(A250,Data!$A$2:$Z$179,13,FALSE)</f>
        <v>1.2952100209514638E-2</v>
      </c>
      <c r="V250" s="91">
        <f t="shared" si="74"/>
        <v>0</v>
      </c>
      <c r="W250" s="105">
        <f>VLOOKUP(A250,Data!$A$2:$Z$179,22,FALSE)</f>
        <v>0</v>
      </c>
      <c r="X250" s="105">
        <f>W250*F250</f>
        <v>0</v>
      </c>
      <c r="Y250" s="105">
        <f>VLOOKUP(A250,Data!$A$2:$Z$179,19,FALSE)</f>
        <v>0</v>
      </c>
      <c r="Z250" s="105">
        <f t="shared" si="76"/>
        <v>0</v>
      </c>
      <c r="AA250" s="105">
        <f>VLOOKUP(A250,Data!$A$2:$Z$179,20,FALSE)</f>
        <v>0</v>
      </c>
      <c r="AB250" s="105">
        <f t="shared" si="80"/>
        <v>0</v>
      </c>
      <c r="AC250" s="105">
        <f>VLOOKUP(A250,Data!$A$2:$Z$179,21,FALSE)</f>
        <v>0</v>
      </c>
      <c r="AD250" s="105">
        <f t="shared" si="69"/>
        <v>0</v>
      </c>
      <c r="AE250" s="105">
        <f>J250+L250+N250+O250+Q250+S250+U250+W250+Y250+AA250+AC250</f>
        <v>7.5369521002095148</v>
      </c>
      <c r="AF250" s="105">
        <f t="shared" si="70"/>
        <v>0</v>
      </c>
      <c r="AG250" s="105"/>
      <c r="AH250" s="106">
        <f>AE250-S250-W250</f>
        <v>3.2439521002095146</v>
      </c>
      <c r="AI250" s="85">
        <f>AH250/AE250</f>
        <v>0.4304063575141121</v>
      </c>
      <c r="AK250" s="106">
        <f t="shared" si="67"/>
        <v>4.2930000000000001</v>
      </c>
      <c r="AL250" s="106">
        <f t="shared" si="68"/>
        <v>4.2930000000000001</v>
      </c>
      <c r="AQ250" s="107"/>
      <c r="AS250" s="108"/>
    </row>
    <row r="251" spans="1:45" x14ac:dyDescent="0.2">
      <c r="B251" s="101"/>
      <c r="C251" s="92"/>
      <c r="D251" s="92"/>
      <c r="F251" s="109"/>
      <c r="G251" s="109"/>
      <c r="H251" s="109"/>
      <c r="I251" s="109"/>
      <c r="J251" s="105"/>
      <c r="K251" s="105"/>
      <c r="L251" s="105"/>
      <c r="M251" s="105">
        <f t="shared" si="71"/>
        <v>0</v>
      </c>
      <c r="N251" s="105"/>
      <c r="O251" s="105"/>
      <c r="P251" s="105">
        <f t="shared" si="72"/>
        <v>0</v>
      </c>
      <c r="Q251" s="105"/>
      <c r="R251" s="105">
        <f t="shared" si="73"/>
        <v>0</v>
      </c>
      <c r="S251" s="105"/>
      <c r="T251" s="105">
        <f t="shared" si="78"/>
        <v>0</v>
      </c>
      <c r="U251" s="105"/>
      <c r="V251" s="91">
        <f t="shared" si="74"/>
        <v>0</v>
      </c>
      <c r="W251" s="105"/>
      <c r="X251" s="105">
        <f t="shared" si="75"/>
        <v>0</v>
      </c>
      <c r="Y251" s="105"/>
      <c r="Z251" s="105">
        <f t="shared" si="76"/>
        <v>0</v>
      </c>
      <c r="AA251" s="105"/>
      <c r="AB251" s="105">
        <f t="shared" si="80"/>
        <v>0</v>
      </c>
      <c r="AC251" s="105"/>
      <c r="AD251" s="105">
        <f t="shared" si="69"/>
        <v>0</v>
      </c>
      <c r="AE251" s="105"/>
      <c r="AF251" s="105">
        <f t="shared" si="70"/>
        <v>0</v>
      </c>
      <c r="AG251" s="105"/>
      <c r="AH251" s="106"/>
      <c r="AK251" s="106">
        <f t="shared" si="67"/>
        <v>0</v>
      </c>
      <c r="AL251" s="106">
        <f t="shared" si="68"/>
        <v>0</v>
      </c>
      <c r="AQ251" s="107"/>
      <c r="AS251" s="108"/>
    </row>
    <row r="252" spans="1:45" x14ac:dyDescent="0.2">
      <c r="A252" s="85" t="s">
        <v>112</v>
      </c>
      <c r="B252" s="101" t="s">
        <v>113</v>
      </c>
      <c r="C252" s="86" t="s">
        <v>654</v>
      </c>
      <c r="F252" s="102">
        <f>E252</f>
        <v>0</v>
      </c>
      <c r="G252" s="103"/>
      <c r="H252" s="103"/>
      <c r="I252" s="103"/>
      <c r="J252" s="105"/>
      <c r="K252" s="105"/>
      <c r="L252" s="105"/>
      <c r="M252" s="105">
        <f t="shared" si="71"/>
        <v>0</v>
      </c>
      <c r="N252" s="105"/>
      <c r="O252" s="105"/>
      <c r="P252" s="105">
        <f t="shared" si="72"/>
        <v>0</v>
      </c>
      <c r="Q252" s="105"/>
      <c r="R252" s="105">
        <f t="shared" si="73"/>
        <v>0</v>
      </c>
      <c r="S252" s="105"/>
      <c r="T252" s="105">
        <f t="shared" si="78"/>
        <v>0</v>
      </c>
      <c r="U252" s="105"/>
      <c r="V252" s="91">
        <f t="shared" si="74"/>
        <v>0</v>
      </c>
      <c r="W252" s="105"/>
      <c r="X252" s="105">
        <f t="shared" si="75"/>
        <v>0</v>
      </c>
      <c r="Y252" s="105"/>
      <c r="Z252" s="105">
        <f t="shared" si="76"/>
        <v>0</v>
      </c>
      <c r="AA252" s="105"/>
      <c r="AB252" s="105">
        <f t="shared" si="80"/>
        <v>0</v>
      </c>
      <c r="AC252" s="105"/>
      <c r="AD252" s="105">
        <f t="shared" si="69"/>
        <v>0</v>
      </c>
      <c r="AE252" s="105"/>
      <c r="AF252" s="105">
        <f t="shared" si="70"/>
        <v>0</v>
      </c>
      <c r="AG252" s="105"/>
      <c r="AH252" s="106"/>
      <c r="AK252" s="106">
        <f t="shared" si="67"/>
        <v>0</v>
      </c>
      <c r="AL252" s="106">
        <f t="shared" si="68"/>
        <v>0</v>
      </c>
      <c r="AQ252" s="107"/>
      <c r="AS252" s="108"/>
    </row>
    <row r="253" spans="1:45" x14ac:dyDescent="0.2">
      <c r="A253" s="85" t="s">
        <v>112</v>
      </c>
      <c r="C253" s="92" t="s">
        <v>655</v>
      </c>
      <c r="D253" s="92"/>
      <c r="F253" s="104">
        <f>SUM(F252)</f>
        <v>0</v>
      </c>
      <c r="G253" s="104">
        <f>F253</f>
        <v>0</v>
      </c>
      <c r="H253" s="105">
        <f>VLOOKUP(A253,Data!$A$2:$Z$179,24,FALSE)</f>
        <v>6.6509999999999998</v>
      </c>
      <c r="I253" s="105">
        <f>VLOOKUP(A253,Data!$A$2:$Z$179,25,FALSE)</f>
        <v>1.5760000000000001</v>
      </c>
      <c r="J253" s="105">
        <f>VLOOKUP(A253,Data!$A$2:$Z$179,7,FALSE)</f>
        <v>5.0750000000000002</v>
      </c>
      <c r="K253" s="105">
        <f>$F253*J253</f>
        <v>0</v>
      </c>
      <c r="L253" s="105">
        <f>VLOOKUP(A253,Data!$A$2:$Z$179,8,FALSE)</f>
        <v>0</v>
      </c>
      <c r="M253" s="105">
        <f>L253*F253</f>
        <v>0</v>
      </c>
      <c r="N253" s="105">
        <f>VLOOKUP(A253,Data!$A$2:$Z$179,9,FALSE)</f>
        <v>0</v>
      </c>
      <c r="O253" s="105">
        <f>VLOOKUP(A252,Data!$A$2:$Z$179,10,FALSE)</f>
        <v>0</v>
      </c>
      <c r="P253" s="105">
        <f>O253*F253</f>
        <v>0</v>
      </c>
      <c r="Q253" s="105">
        <f>VLOOKUP(A253,Data!$A$2:$Z$179,11,FALSE)</f>
        <v>0</v>
      </c>
      <c r="R253" s="105">
        <f t="shared" si="73"/>
        <v>0</v>
      </c>
      <c r="S253" s="105">
        <f>VLOOKUP(A253,Data!$A$2:$Z$179,12,FALSE)</f>
        <v>2.754</v>
      </c>
      <c r="T253" s="105">
        <f>S253*F253</f>
        <v>0</v>
      </c>
      <c r="U253" s="105">
        <f>VLOOKUP(A253,Data!$A$2:$Z$179,13,FALSE)</f>
        <v>5.3425729290046723E-4</v>
      </c>
      <c r="V253" s="91">
        <f t="shared" si="74"/>
        <v>0</v>
      </c>
      <c r="W253" s="105">
        <f>VLOOKUP(A253,Data!$A$2:$Z$179,22,FALSE)</f>
        <v>0</v>
      </c>
      <c r="X253" s="105">
        <f>W253*F253</f>
        <v>0</v>
      </c>
      <c r="Y253" s="105">
        <f>VLOOKUP(A253,Data!$A$2:$Z$179,19,FALSE)</f>
        <v>0</v>
      </c>
      <c r="Z253" s="105">
        <f t="shared" si="76"/>
        <v>0</v>
      </c>
      <c r="AA253" s="105">
        <f>VLOOKUP(A253,Data!$A$2:$Z$179,20,FALSE)</f>
        <v>0</v>
      </c>
      <c r="AB253" s="105">
        <f t="shared" si="80"/>
        <v>0</v>
      </c>
      <c r="AC253" s="105">
        <f>VLOOKUP(A253,Data!$A$2:$Z$179,21,FALSE)</f>
        <v>0</v>
      </c>
      <c r="AD253" s="105">
        <f t="shared" si="69"/>
        <v>0</v>
      </c>
      <c r="AE253" s="105">
        <f>J253+L253+N253+O253+Q253+S253+U253+W253+Y253+AA253+AC253</f>
        <v>7.8295342572929014</v>
      </c>
      <c r="AF253" s="105">
        <f t="shared" si="70"/>
        <v>0</v>
      </c>
      <c r="AG253" s="105"/>
      <c r="AH253" s="106">
        <f>AE253-S253-W253</f>
        <v>5.075534257292901</v>
      </c>
      <c r="AI253" s="85">
        <f>AH253/AE253</f>
        <v>0.64825493963006053</v>
      </c>
      <c r="AK253" s="106">
        <f t="shared" si="67"/>
        <v>2.754</v>
      </c>
      <c r="AL253" s="106">
        <f t="shared" si="68"/>
        <v>2.754</v>
      </c>
      <c r="AQ253" s="107"/>
      <c r="AS253" s="108"/>
    </row>
    <row r="254" spans="1:45" x14ac:dyDescent="0.2">
      <c r="C254" s="92"/>
      <c r="D254" s="92"/>
      <c r="F254" s="109"/>
      <c r="G254" s="109"/>
      <c r="H254" s="109"/>
      <c r="I254" s="109"/>
      <c r="J254" s="105"/>
      <c r="K254" s="105"/>
      <c r="L254" s="105"/>
      <c r="M254" s="105">
        <f t="shared" si="71"/>
        <v>0</v>
      </c>
      <c r="N254" s="105"/>
      <c r="O254" s="105"/>
      <c r="P254" s="105">
        <f t="shared" si="72"/>
        <v>0</v>
      </c>
      <c r="Q254" s="105"/>
      <c r="R254" s="105">
        <f t="shared" si="73"/>
        <v>0</v>
      </c>
      <c r="S254" s="105"/>
      <c r="T254" s="105">
        <f t="shared" ref="T254:T279" si="81">S254*F254</f>
        <v>0</v>
      </c>
      <c r="U254" s="105"/>
      <c r="V254" s="91">
        <f t="shared" si="74"/>
        <v>0</v>
      </c>
      <c r="W254" s="105"/>
      <c r="X254" s="105">
        <f t="shared" si="75"/>
        <v>0</v>
      </c>
      <c r="Y254" s="105"/>
      <c r="Z254" s="105">
        <f t="shared" si="76"/>
        <v>0</v>
      </c>
      <c r="AA254" s="105"/>
      <c r="AB254" s="105">
        <f t="shared" si="80"/>
        <v>0</v>
      </c>
      <c r="AC254" s="105"/>
      <c r="AD254" s="105">
        <f t="shared" si="69"/>
        <v>0</v>
      </c>
      <c r="AE254" s="105"/>
      <c r="AF254" s="105">
        <f t="shared" si="70"/>
        <v>0</v>
      </c>
      <c r="AG254" s="105"/>
      <c r="AH254" s="106"/>
      <c r="AK254" s="106">
        <f t="shared" si="67"/>
        <v>0</v>
      </c>
      <c r="AL254" s="106">
        <f t="shared" si="68"/>
        <v>0</v>
      </c>
      <c r="AQ254" s="107"/>
      <c r="AR254" s="112"/>
      <c r="AS254" s="108"/>
    </row>
    <row r="255" spans="1:45" x14ac:dyDescent="0.2">
      <c r="A255" s="85" t="s">
        <v>114</v>
      </c>
      <c r="B255" s="101" t="s">
        <v>115</v>
      </c>
      <c r="C255" s="86" t="s">
        <v>656</v>
      </c>
      <c r="D255" s="102">
        <v>112782055</v>
      </c>
      <c r="E255" s="102">
        <v>0</v>
      </c>
      <c r="F255" s="102">
        <f>E255</f>
        <v>0</v>
      </c>
      <c r="G255" s="102"/>
      <c r="H255" s="102"/>
      <c r="I255" s="102"/>
      <c r="J255" s="105"/>
      <c r="K255" s="105"/>
      <c r="L255" s="105"/>
      <c r="M255" s="105">
        <f t="shared" si="71"/>
        <v>0</v>
      </c>
      <c r="N255" s="105"/>
      <c r="O255" s="105"/>
      <c r="P255" s="105">
        <f t="shared" si="72"/>
        <v>0</v>
      </c>
      <c r="Q255" s="105"/>
      <c r="R255" s="105">
        <f t="shared" si="73"/>
        <v>0</v>
      </c>
      <c r="S255" s="105"/>
      <c r="T255" s="105">
        <f t="shared" si="81"/>
        <v>0</v>
      </c>
      <c r="U255" s="105"/>
      <c r="V255" s="91">
        <f t="shared" si="74"/>
        <v>0</v>
      </c>
      <c r="W255" s="105"/>
      <c r="X255" s="105">
        <f t="shared" si="75"/>
        <v>0</v>
      </c>
      <c r="Y255" s="105"/>
      <c r="Z255" s="105">
        <f t="shared" si="76"/>
        <v>0</v>
      </c>
      <c r="AA255" s="105"/>
      <c r="AB255" s="105">
        <f t="shared" si="80"/>
        <v>0</v>
      </c>
      <c r="AC255" s="105"/>
      <c r="AD255" s="105">
        <f t="shared" si="69"/>
        <v>0</v>
      </c>
      <c r="AE255" s="105"/>
      <c r="AF255" s="105">
        <f t="shared" si="70"/>
        <v>0</v>
      </c>
      <c r="AG255" s="105"/>
      <c r="AH255" s="106"/>
      <c r="AK255" s="106">
        <f t="shared" si="67"/>
        <v>0</v>
      </c>
      <c r="AL255" s="106">
        <f t="shared" si="68"/>
        <v>0</v>
      </c>
      <c r="AQ255" s="107"/>
      <c r="AR255" s="112"/>
      <c r="AS255" s="108"/>
    </row>
    <row r="256" spans="1:45" x14ac:dyDescent="0.2">
      <c r="A256" s="85" t="s">
        <v>114</v>
      </c>
      <c r="B256" s="101" t="s">
        <v>230</v>
      </c>
      <c r="C256" s="86" t="s">
        <v>656</v>
      </c>
      <c r="D256" s="102"/>
      <c r="E256" s="102"/>
      <c r="F256" s="102">
        <f>E256</f>
        <v>0</v>
      </c>
      <c r="G256" s="102"/>
      <c r="H256" s="102"/>
      <c r="I256" s="102"/>
      <c r="J256" s="105"/>
      <c r="K256" s="105"/>
      <c r="L256" s="105"/>
      <c r="M256" s="105">
        <f t="shared" si="71"/>
        <v>0</v>
      </c>
      <c r="N256" s="105"/>
      <c r="O256" s="105"/>
      <c r="P256" s="105">
        <f t="shared" si="72"/>
        <v>0</v>
      </c>
      <c r="Q256" s="105"/>
      <c r="R256" s="105">
        <f t="shared" si="73"/>
        <v>0</v>
      </c>
      <c r="S256" s="105"/>
      <c r="T256" s="105">
        <f t="shared" si="81"/>
        <v>0</v>
      </c>
      <c r="U256" s="105"/>
      <c r="V256" s="91">
        <f t="shared" si="74"/>
        <v>0</v>
      </c>
      <c r="W256" s="105"/>
      <c r="X256" s="105">
        <f t="shared" si="75"/>
        <v>0</v>
      </c>
      <c r="Y256" s="105"/>
      <c r="Z256" s="105">
        <f t="shared" si="76"/>
        <v>0</v>
      </c>
      <c r="AA256" s="105"/>
      <c r="AB256" s="105">
        <f t="shared" si="80"/>
        <v>0</v>
      </c>
      <c r="AC256" s="105"/>
      <c r="AD256" s="105">
        <f t="shared" si="69"/>
        <v>0</v>
      </c>
      <c r="AE256" s="105"/>
      <c r="AF256" s="105">
        <f t="shared" si="70"/>
        <v>0</v>
      </c>
      <c r="AG256" s="105"/>
      <c r="AH256" s="106"/>
      <c r="AK256" s="106">
        <f t="shared" si="67"/>
        <v>0</v>
      </c>
      <c r="AL256" s="106">
        <f t="shared" si="68"/>
        <v>0</v>
      </c>
      <c r="AQ256" s="107"/>
      <c r="AR256" s="112"/>
      <c r="AS256" s="108"/>
    </row>
    <row r="257" spans="1:45" x14ac:dyDescent="0.2">
      <c r="A257" s="85" t="s">
        <v>114</v>
      </c>
      <c r="B257" s="101" t="s">
        <v>79</v>
      </c>
      <c r="C257" s="86" t="s">
        <v>656</v>
      </c>
      <c r="D257" s="102"/>
      <c r="E257" s="102"/>
      <c r="F257" s="102">
        <f>E257</f>
        <v>0</v>
      </c>
      <c r="G257" s="102"/>
      <c r="H257" s="102"/>
      <c r="I257" s="102"/>
      <c r="J257" s="105"/>
      <c r="K257" s="105"/>
      <c r="L257" s="105"/>
      <c r="M257" s="105">
        <f t="shared" si="71"/>
        <v>0</v>
      </c>
      <c r="N257" s="105"/>
      <c r="O257" s="105"/>
      <c r="P257" s="105">
        <f t="shared" si="72"/>
        <v>0</v>
      </c>
      <c r="Q257" s="105"/>
      <c r="R257" s="105">
        <f t="shared" si="73"/>
        <v>0</v>
      </c>
      <c r="S257" s="105"/>
      <c r="T257" s="105">
        <f t="shared" si="81"/>
        <v>0</v>
      </c>
      <c r="U257" s="105"/>
      <c r="V257" s="91">
        <f t="shared" si="74"/>
        <v>0</v>
      </c>
      <c r="W257" s="105"/>
      <c r="X257" s="105">
        <f t="shared" si="75"/>
        <v>0</v>
      </c>
      <c r="Y257" s="105"/>
      <c r="Z257" s="105">
        <f t="shared" si="76"/>
        <v>0</v>
      </c>
      <c r="AA257" s="105"/>
      <c r="AB257" s="105">
        <f>$F255*AA257</f>
        <v>0</v>
      </c>
      <c r="AC257" s="105"/>
      <c r="AD257" s="105">
        <f t="shared" si="69"/>
        <v>0</v>
      </c>
      <c r="AE257" s="105"/>
      <c r="AF257" s="105">
        <f t="shared" si="70"/>
        <v>0</v>
      </c>
      <c r="AG257" s="105"/>
      <c r="AH257" s="106"/>
      <c r="AK257" s="106">
        <f t="shared" si="67"/>
        <v>0</v>
      </c>
      <c r="AL257" s="106">
        <f t="shared" si="68"/>
        <v>0</v>
      </c>
      <c r="AQ257" s="107"/>
      <c r="AS257" s="108"/>
    </row>
    <row r="258" spans="1:45" x14ac:dyDescent="0.2">
      <c r="A258" s="85" t="s">
        <v>114</v>
      </c>
      <c r="B258" s="101"/>
      <c r="C258" s="92" t="s">
        <v>657</v>
      </c>
      <c r="D258" s="92"/>
      <c r="F258" s="104">
        <f>SUM(F255:F257)</f>
        <v>0</v>
      </c>
      <c r="G258" s="104">
        <f>F258</f>
        <v>0</v>
      </c>
      <c r="H258" s="105">
        <f>VLOOKUP(A258,Data!$A$2:$Z$179,24,FALSE)</f>
        <v>13.811</v>
      </c>
      <c r="I258" s="105">
        <f>VLOOKUP(A258,Data!$A$2:$Z$179,25,FALSE)</f>
        <v>0</v>
      </c>
      <c r="J258" s="105">
        <f>VLOOKUP(A258,Data!$A$2:$Z$179,7,FALSE)</f>
        <v>13.811</v>
      </c>
      <c r="K258" s="105">
        <f>$F258*J258</f>
        <v>0</v>
      </c>
      <c r="L258" s="105">
        <f>VLOOKUP(A258,Data!$A$2:$Z$179,8,FALSE)</f>
        <v>0</v>
      </c>
      <c r="M258" s="105">
        <f>L258*F258</f>
        <v>0</v>
      </c>
      <c r="N258" s="105">
        <f>VLOOKUP(A258,Data!$A$2:$Z$179,9,FALSE)</f>
        <v>0</v>
      </c>
      <c r="O258" s="105">
        <f>VLOOKUP(A257,Data!$A$2:$Z$179,10,FALSE)</f>
        <v>0</v>
      </c>
      <c r="P258" s="105">
        <f>O258*F258</f>
        <v>0</v>
      </c>
      <c r="Q258" s="105">
        <f>VLOOKUP(A258,Data!$A$2:$Z$179,11,FALSE)</f>
        <v>0</v>
      </c>
      <c r="R258" s="105">
        <f t="shared" si="73"/>
        <v>0</v>
      </c>
      <c r="S258" s="105">
        <f>VLOOKUP(A258,Data!$A$2:$Z$179,12,FALSE)</f>
        <v>4.8770000000000007</v>
      </c>
      <c r="T258" s="105">
        <f>S258*F258</f>
        <v>0</v>
      </c>
      <c r="U258" s="105">
        <f>VLOOKUP(A258,Data!$A$2:$Z$179,13,FALSE)</f>
        <v>5.004652557536747E-2</v>
      </c>
      <c r="V258" s="91">
        <f t="shared" si="74"/>
        <v>0</v>
      </c>
      <c r="W258" s="105">
        <f>VLOOKUP(A258,Data!$A$2:$Z$179,22,FALSE)</f>
        <v>0</v>
      </c>
      <c r="X258" s="105">
        <f>W258*F258</f>
        <v>0</v>
      </c>
      <c r="Y258" s="105">
        <f>VLOOKUP(A258,Data!$A$2:$Z$179,19,FALSE)</f>
        <v>0</v>
      </c>
      <c r="Z258" s="105">
        <f t="shared" si="76"/>
        <v>0</v>
      </c>
      <c r="AA258" s="105">
        <f>VLOOKUP(A258,Data!$A$2:$Z$179,20,FALSE)</f>
        <v>0</v>
      </c>
      <c r="AB258" s="105">
        <f>$F258*AA258</f>
        <v>0</v>
      </c>
      <c r="AC258" s="105">
        <f>VLOOKUP(A258,Data!$A$2:$Z$179,21,FALSE)</f>
        <v>0</v>
      </c>
      <c r="AD258" s="105">
        <f t="shared" si="69"/>
        <v>0</v>
      </c>
      <c r="AE258" s="105">
        <f>J258+L258+N258+O258+Q258+S258+U258+W258+Y258+AA258+AC258</f>
        <v>18.738046525575371</v>
      </c>
      <c r="AF258" s="105">
        <f t="shared" si="70"/>
        <v>0</v>
      </c>
      <c r="AG258" s="105"/>
      <c r="AH258" s="106">
        <f>AE258-S258-W258</f>
        <v>13.86104652557537</v>
      </c>
      <c r="AI258" s="85">
        <f>AH258/AE258</f>
        <v>0.73972740470339682</v>
      </c>
      <c r="AK258" s="106">
        <f t="shared" si="67"/>
        <v>4.8770000000000007</v>
      </c>
      <c r="AL258" s="106">
        <f t="shared" si="68"/>
        <v>4.8770000000000007</v>
      </c>
      <c r="AQ258" s="107"/>
      <c r="AS258" s="108"/>
    </row>
    <row r="259" spans="1:45" x14ac:dyDescent="0.2">
      <c r="B259" s="101"/>
      <c r="C259" s="92"/>
      <c r="D259" s="92"/>
      <c r="F259" s="109"/>
      <c r="G259" s="109"/>
      <c r="H259" s="109"/>
      <c r="I259" s="109"/>
      <c r="J259" s="105"/>
      <c r="K259" s="105"/>
      <c r="L259" s="105"/>
      <c r="M259" s="105">
        <f t="shared" si="71"/>
        <v>0</v>
      </c>
      <c r="N259" s="105"/>
      <c r="O259" s="105"/>
      <c r="P259" s="105">
        <f t="shared" si="72"/>
        <v>0</v>
      </c>
      <c r="Q259" s="105"/>
      <c r="R259" s="105">
        <f t="shared" si="73"/>
        <v>0</v>
      </c>
      <c r="S259" s="105"/>
      <c r="T259" s="105">
        <f t="shared" si="81"/>
        <v>0</v>
      </c>
      <c r="U259" s="105"/>
      <c r="V259" s="91">
        <f t="shared" si="74"/>
        <v>0</v>
      </c>
      <c r="W259" s="105"/>
      <c r="X259" s="105">
        <f t="shared" si="75"/>
        <v>0</v>
      </c>
      <c r="Y259" s="105"/>
      <c r="Z259" s="105">
        <f t="shared" si="76"/>
        <v>0</v>
      </c>
      <c r="AA259" s="105"/>
      <c r="AB259" s="105">
        <f>$F257*AA259</f>
        <v>0</v>
      </c>
      <c r="AC259" s="105"/>
      <c r="AD259" s="105">
        <f t="shared" si="69"/>
        <v>0</v>
      </c>
      <c r="AE259" s="105"/>
      <c r="AF259" s="105">
        <f t="shared" si="70"/>
        <v>0</v>
      </c>
      <c r="AG259" s="105"/>
      <c r="AH259" s="106"/>
      <c r="AK259" s="106">
        <f t="shared" si="67"/>
        <v>0</v>
      </c>
      <c r="AL259" s="106">
        <f t="shared" si="68"/>
        <v>0</v>
      </c>
      <c r="AQ259" s="107"/>
      <c r="AS259" s="108"/>
    </row>
    <row r="260" spans="1:45" x14ac:dyDescent="0.2">
      <c r="A260" s="85" t="s">
        <v>116</v>
      </c>
      <c r="B260" s="101" t="s">
        <v>115</v>
      </c>
      <c r="C260" s="86" t="s">
        <v>658</v>
      </c>
      <c r="F260" s="102">
        <f>E260</f>
        <v>0</v>
      </c>
      <c r="G260" s="103"/>
      <c r="H260" s="103"/>
      <c r="I260" s="103"/>
      <c r="J260" s="105"/>
      <c r="K260" s="105"/>
      <c r="L260" s="105"/>
      <c r="M260" s="105">
        <f t="shared" si="71"/>
        <v>0</v>
      </c>
      <c r="N260" s="105"/>
      <c r="O260" s="105"/>
      <c r="P260" s="105">
        <f t="shared" si="72"/>
        <v>0</v>
      </c>
      <c r="Q260" s="105"/>
      <c r="R260" s="105">
        <f t="shared" si="73"/>
        <v>0</v>
      </c>
      <c r="S260" s="105"/>
      <c r="T260" s="105">
        <f t="shared" si="81"/>
        <v>0</v>
      </c>
      <c r="U260" s="105"/>
      <c r="V260" s="91">
        <f t="shared" si="74"/>
        <v>0</v>
      </c>
      <c r="W260" s="105"/>
      <c r="X260" s="105">
        <f t="shared" si="75"/>
        <v>0</v>
      </c>
      <c r="Y260" s="105"/>
      <c r="Z260" s="105">
        <f t="shared" si="76"/>
        <v>0</v>
      </c>
      <c r="AA260" s="105"/>
      <c r="AB260" s="105">
        <f>$F258*AA260</f>
        <v>0</v>
      </c>
      <c r="AC260" s="105"/>
      <c r="AD260" s="105">
        <f t="shared" si="69"/>
        <v>0</v>
      </c>
      <c r="AE260" s="105"/>
      <c r="AF260" s="105">
        <f t="shared" si="70"/>
        <v>0</v>
      </c>
      <c r="AG260" s="105"/>
      <c r="AH260" s="106"/>
      <c r="AK260" s="106">
        <f t="shared" si="67"/>
        <v>0</v>
      </c>
      <c r="AL260" s="106">
        <f t="shared" si="68"/>
        <v>0</v>
      </c>
      <c r="AQ260" s="107"/>
      <c r="AS260" s="108"/>
    </row>
    <row r="261" spans="1:45" x14ac:dyDescent="0.2">
      <c r="A261" s="85" t="s">
        <v>116</v>
      </c>
      <c r="B261" s="101"/>
      <c r="C261" s="92" t="s">
        <v>659</v>
      </c>
      <c r="D261" s="92"/>
      <c r="F261" s="104">
        <f>SUM(F260)</f>
        <v>0</v>
      </c>
      <c r="G261" s="104">
        <f>F261</f>
        <v>0</v>
      </c>
      <c r="H261" s="105">
        <f>VLOOKUP(A261,Data!$A$2:$Z$179,24,FALSE)</f>
        <v>12.776999999999999</v>
      </c>
      <c r="I261" s="105">
        <f>VLOOKUP(A261,Data!$A$2:$Z$179,25,FALSE)</f>
        <v>2.0000000000000018E-3</v>
      </c>
      <c r="J261" s="105">
        <f>VLOOKUP(A261,Data!$A$2:$Z$179,7,FALSE)</f>
        <v>12.775</v>
      </c>
      <c r="K261" s="105">
        <f>$F261*J261</f>
        <v>0</v>
      </c>
      <c r="L261" s="105">
        <f>VLOOKUP(A261,Data!$A$2:$Z$179,8,FALSE)</f>
        <v>0</v>
      </c>
      <c r="M261" s="105">
        <f>L261*F261</f>
        <v>0</v>
      </c>
      <c r="N261" s="105">
        <f>VLOOKUP(A261,Data!$A$2:$Z$179,9,FALSE)</f>
        <v>0</v>
      </c>
      <c r="O261" s="105">
        <f>VLOOKUP(A260,Data!$A$2:$Z$179,10,FALSE)</f>
        <v>1.0129999999999999</v>
      </c>
      <c r="P261" s="105">
        <f>O261*F261</f>
        <v>0</v>
      </c>
      <c r="Q261" s="105">
        <f>VLOOKUP(A261,Data!$A$2:$Z$179,11,FALSE)</f>
        <v>0</v>
      </c>
      <c r="R261" s="105">
        <f t="shared" si="73"/>
        <v>0</v>
      </c>
      <c r="S261" s="105">
        <f>VLOOKUP(A261,Data!$A$2:$Z$179,12,FALSE)</f>
        <v>1.7170000000000001</v>
      </c>
      <c r="T261" s="105">
        <f>S261*F261</f>
        <v>0</v>
      </c>
      <c r="U261" s="105">
        <f>VLOOKUP(A261,Data!$A$2:$Z$179,13,FALSE)</f>
        <v>0</v>
      </c>
      <c r="V261" s="91">
        <f t="shared" si="74"/>
        <v>0</v>
      </c>
      <c r="W261" s="105">
        <f>VLOOKUP(A261,Data!$A$2:$Z$179,22,FALSE)</f>
        <v>0</v>
      </c>
      <c r="X261" s="105">
        <f>W261*F261</f>
        <v>0</v>
      </c>
      <c r="Y261" s="105">
        <f>VLOOKUP(A261,Data!$A$2:$Z$179,19,FALSE)</f>
        <v>0</v>
      </c>
      <c r="Z261" s="105">
        <f t="shared" si="76"/>
        <v>0</v>
      </c>
      <c r="AA261" s="105">
        <f>VLOOKUP(A261,Data!$A$2:$Z$179,20,FALSE)</f>
        <v>0</v>
      </c>
      <c r="AB261" s="105">
        <f>$F261*AA261</f>
        <v>0</v>
      </c>
      <c r="AC261" s="105">
        <f>VLOOKUP(A261,Data!$A$2:$Z$179,21,FALSE)</f>
        <v>0</v>
      </c>
      <c r="AD261" s="105">
        <f t="shared" si="69"/>
        <v>0</v>
      </c>
      <c r="AE261" s="105">
        <f>J261+L261+N261+O261+Q261+S261+U261+W261+Y261+AA261+AC261</f>
        <v>15.505000000000001</v>
      </c>
      <c r="AF261" s="105">
        <f t="shared" si="70"/>
        <v>0</v>
      </c>
      <c r="AG261" s="105"/>
      <c r="AH261" s="106">
        <f>AE261-S261-W261</f>
        <v>13.788</v>
      </c>
      <c r="AI261" s="85">
        <f>AH261/AE261</f>
        <v>0.88926152853918083</v>
      </c>
      <c r="AK261" s="106">
        <f t="shared" si="67"/>
        <v>2.73</v>
      </c>
      <c r="AL261" s="106">
        <f t="shared" si="68"/>
        <v>2.73</v>
      </c>
      <c r="AQ261" s="107"/>
      <c r="AS261" s="108"/>
    </row>
    <row r="262" spans="1:45" x14ac:dyDescent="0.2">
      <c r="B262" s="101"/>
      <c r="C262" s="92"/>
      <c r="D262" s="92"/>
      <c r="F262" s="109"/>
      <c r="G262" s="109"/>
      <c r="H262" s="109"/>
      <c r="I262" s="109"/>
      <c r="J262" s="105"/>
      <c r="K262" s="105"/>
      <c r="L262" s="105"/>
      <c r="M262" s="105">
        <f t="shared" si="71"/>
        <v>0</v>
      </c>
      <c r="N262" s="105"/>
      <c r="O262" s="105"/>
      <c r="P262" s="105">
        <f t="shared" si="72"/>
        <v>0</v>
      </c>
      <c r="Q262" s="105"/>
      <c r="R262" s="105">
        <f t="shared" si="73"/>
        <v>0</v>
      </c>
      <c r="S262" s="105"/>
      <c r="T262" s="105">
        <f t="shared" si="81"/>
        <v>0</v>
      </c>
      <c r="U262" s="105"/>
      <c r="V262" s="91">
        <f t="shared" si="74"/>
        <v>0</v>
      </c>
      <c r="W262" s="105"/>
      <c r="X262" s="105">
        <f t="shared" si="75"/>
        <v>0</v>
      </c>
      <c r="Y262" s="105"/>
      <c r="Z262" s="105">
        <f t="shared" si="76"/>
        <v>0</v>
      </c>
      <c r="AA262" s="105"/>
      <c r="AB262" s="105">
        <f>$F262*AA262</f>
        <v>0</v>
      </c>
      <c r="AC262" s="105"/>
      <c r="AD262" s="105">
        <f t="shared" si="69"/>
        <v>0</v>
      </c>
      <c r="AE262" s="105"/>
      <c r="AF262" s="105">
        <f t="shared" si="70"/>
        <v>0</v>
      </c>
      <c r="AG262" s="105"/>
      <c r="AH262" s="106"/>
      <c r="AK262" s="106">
        <f t="shared" si="67"/>
        <v>0</v>
      </c>
      <c r="AL262" s="106">
        <f t="shared" si="68"/>
        <v>0</v>
      </c>
      <c r="AQ262" s="107"/>
      <c r="AS262" s="108"/>
    </row>
    <row r="263" spans="1:45" x14ac:dyDescent="0.2">
      <c r="A263" s="85" t="s">
        <v>117</v>
      </c>
      <c r="B263" s="101" t="s">
        <v>118</v>
      </c>
      <c r="C263" s="86" t="s">
        <v>660</v>
      </c>
      <c r="F263" s="102">
        <f>E263</f>
        <v>0</v>
      </c>
      <c r="G263" s="102"/>
      <c r="H263" s="102"/>
      <c r="I263" s="102"/>
      <c r="J263" s="105"/>
      <c r="K263" s="105"/>
      <c r="L263" s="105"/>
      <c r="M263" s="105">
        <f t="shared" si="71"/>
        <v>0</v>
      </c>
      <c r="N263" s="105"/>
      <c r="O263" s="105"/>
      <c r="P263" s="105">
        <f t="shared" si="72"/>
        <v>0</v>
      </c>
      <c r="Q263" s="105"/>
      <c r="R263" s="105">
        <f t="shared" si="73"/>
        <v>0</v>
      </c>
      <c r="S263" s="105"/>
      <c r="T263" s="105">
        <f t="shared" si="81"/>
        <v>0</v>
      </c>
      <c r="U263" s="105"/>
      <c r="V263" s="91">
        <f t="shared" si="74"/>
        <v>0</v>
      </c>
      <c r="W263" s="105"/>
      <c r="X263" s="105">
        <f t="shared" si="75"/>
        <v>0</v>
      </c>
      <c r="Y263" s="105"/>
      <c r="Z263" s="105">
        <f t="shared" si="76"/>
        <v>0</v>
      </c>
      <c r="AA263" s="105"/>
      <c r="AB263" s="105">
        <f>$F263*AA263</f>
        <v>0</v>
      </c>
      <c r="AC263" s="105"/>
      <c r="AD263" s="105">
        <f t="shared" si="69"/>
        <v>0</v>
      </c>
      <c r="AE263" s="105"/>
      <c r="AF263" s="105">
        <f t="shared" si="70"/>
        <v>0</v>
      </c>
      <c r="AG263" s="105"/>
      <c r="AH263" s="106"/>
      <c r="AK263" s="106">
        <f t="shared" si="67"/>
        <v>0</v>
      </c>
      <c r="AL263" s="106">
        <f t="shared" si="68"/>
        <v>0</v>
      </c>
      <c r="AQ263" s="107"/>
      <c r="AS263" s="108"/>
    </row>
    <row r="264" spans="1:45" x14ac:dyDescent="0.2">
      <c r="A264" s="85" t="s">
        <v>117</v>
      </c>
      <c r="B264" s="101" t="s">
        <v>218</v>
      </c>
      <c r="C264" s="86" t="s">
        <v>660</v>
      </c>
      <c r="F264" s="102">
        <f>E264</f>
        <v>0</v>
      </c>
      <c r="G264" s="102"/>
      <c r="H264" s="102"/>
      <c r="I264" s="102"/>
      <c r="J264" s="105"/>
      <c r="K264" s="105"/>
      <c r="L264" s="105"/>
      <c r="M264" s="105">
        <f t="shared" si="71"/>
        <v>0</v>
      </c>
      <c r="N264" s="105"/>
      <c r="O264" s="105"/>
      <c r="P264" s="105">
        <f t="shared" si="72"/>
        <v>0</v>
      </c>
      <c r="Q264" s="105"/>
      <c r="R264" s="105">
        <f t="shared" si="73"/>
        <v>0</v>
      </c>
      <c r="S264" s="105"/>
      <c r="T264" s="105">
        <f t="shared" si="81"/>
        <v>0</v>
      </c>
      <c r="U264" s="105"/>
      <c r="V264" s="91">
        <f t="shared" si="74"/>
        <v>0</v>
      </c>
      <c r="W264" s="105"/>
      <c r="X264" s="105">
        <f t="shared" si="75"/>
        <v>0</v>
      </c>
      <c r="Y264" s="105"/>
      <c r="Z264" s="105">
        <f t="shared" si="76"/>
        <v>0</v>
      </c>
      <c r="AA264" s="105"/>
      <c r="AB264" s="105">
        <f>$F263*AA264</f>
        <v>0</v>
      </c>
      <c r="AC264" s="105"/>
      <c r="AD264" s="105">
        <f t="shared" si="69"/>
        <v>0</v>
      </c>
      <c r="AE264" s="105"/>
      <c r="AF264" s="105">
        <f t="shared" si="70"/>
        <v>0</v>
      </c>
      <c r="AG264" s="105"/>
      <c r="AH264" s="106"/>
      <c r="AK264" s="106">
        <f t="shared" ref="AK264:AK327" si="82">O264+Q264+S264</f>
        <v>0</v>
      </c>
      <c r="AL264" s="106">
        <f t="shared" ref="AL264:AL327" si="83">O264+Q264+S264</f>
        <v>0</v>
      </c>
      <c r="AQ264" s="107"/>
      <c r="AS264" s="108"/>
    </row>
    <row r="265" spans="1:45" x14ac:dyDescent="0.2">
      <c r="A265" s="85" t="s">
        <v>117</v>
      </c>
      <c r="B265" s="101"/>
      <c r="C265" s="92" t="s">
        <v>661</v>
      </c>
      <c r="D265" s="92"/>
      <c r="F265" s="104">
        <f>SUM(F263:F264)</f>
        <v>0</v>
      </c>
      <c r="G265" s="104">
        <f>F265</f>
        <v>0</v>
      </c>
      <c r="H265" s="105">
        <f>VLOOKUP(A265,Data!$A$2:$Z$179,24,FALSE)</f>
        <v>15.736000000000001</v>
      </c>
      <c r="I265" s="105">
        <f>VLOOKUP(A265,Data!$A$2:$Z$179,25,FALSE)</f>
        <v>0</v>
      </c>
      <c r="J265" s="105">
        <f>VLOOKUP(A265,Data!$A$2:$Z$179,7,FALSE)</f>
        <v>15.736000000000001</v>
      </c>
      <c r="K265" s="105">
        <f>$F265*J265</f>
        <v>0</v>
      </c>
      <c r="L265" s="105">
        <f>VLOOKUP(A265,Data!$A$2:$Z$179,8,FALSE)</f>
        <v>0</v>
      </c>
      <c r="M265" s="105">
        <f>L265*F265</f>
        <v>0</v>
      </c>
      <c r="N265" s="105">
        <f>VLOOKUP(A265,Data!$A$2:$Z$179,9,FALSE)</f>
        <v>0</v>
      </c>
      <c r="O265" s="105">
        <f>VLOOKUP(A264,Data!$A$2:$Z$179,10,FALSE)</f>
        <v>0</v>
      </c>
      <c r="P265" s="105">
        <f>O265*F265</f>
        <v>0</v>
      </c>
      <c r="Q265" s="105">
        <f>VLOOKUP(A265,Data!$A$2:$Z$179,11,FALSE)</f>
        <v>0</v>
      </c>
      <c r="R265" s="105">
        <f t="shared" si="73"/>
        <v>0</v>
      </c>
      <c r="S265" s="105">
        <f>VLOOKUP(A265,Data!$A$2:$Z$179,12,FALSE)</f>
        <v>4.97</v>
      </c>
      <c r="T265" s="105">
        <f>S265*F265</f>
        <v>0</v>
      </c>
      <c r="U265" s="105">
        <f>VLOOKUP(A265,Data!$A$2:$Z$179,13,FALSE)</f>
        <v>4.2160890499535857E-2</v>
      </c>
      <c r="V265" s="91">
        <f t="shared" si="74"/>
        <v>0</v>
      </c>
      <c r="W265" s="105">
        <f>VLOOKUP(A265,Data!$A$2:$Z$179,22,FALSE)</f>
        <v>0</v>
      </c>
      <c r="X265" s="105">
        <f>W265*F265</f>
        <v>0</v>
      </c>
      <c r="Y265" s="105">
        <f>VLOOKUP(A265,Data!$A$2:$Z$179,19,FALSE)</f>
        <v>0</v>
      </c>
      <c r="Z265" s="105">
        <f t="shared" si="76"/>
        <v>0</v>
      </c>
      <c r="AA265" s="105">
        <f>VLOOKUP(A265,Data!$A$2:$Z$179,20,FALSE)</f>
        <v>0</v>
      </c>
      <c r="AB265" s="105">
        <f>$F265*AA265</f>
        <v>0</v>
      </c>
      <c r="AC265" s="105">
        <f>VLOOKUP(A265,Data!$A$2:$Z$179,21,FALSE)</f>
        <v>0</v>
      </c>
      <c r="AD265" s="105">
        <f t="shared" si="69"/>
        <v>0</v>
      </c>
      <c r="AE265" s="105">
        <f>J265+L265+N265+O265+Q265+S265+U265+W265+Y265+AA265+AC265</f>
        <v>20.748160890499534</v>
      </c>
      <c r="AF265" s="105">
        <f t="shared" si="70"/>
        <v>0</v>
      </c>
      <c r="AG265" s="105"/>
      <c r="AH265" s="106">
        <f>AE265-S265-W265</f>
        <v>15.778160890499535</v>
      </c>
      <c r="AI265" s="85">
        <f>AH265/AE265</f>
        <v>0.76046069691527529</v>
      </c>
      <c r="AK265" s="106">
        <f t="shared" si="82"/>
        <v>4.97</v>
      </c>
      <c r="AL265" s="106">
        <f t="shared" si="83"/>
        <v>4.97</v>
      </c>
      <c r="AQ265" s="107"/>
      <c r="AS265" s="108"/>
    </row>
    <row r="266" spans="1:45" x14ac:dyDescent="0.2">
      <c r="B266" s="101"/>
      <c r="C266" s="92"/>
      <c r="D266" s="92"/>
      <c r="F266" s="109"/>
      <c r="G266" s="109"/>
      <c r="H266" s="109"/>
      <c r="I266" s="109"/>
      <c r="J266" s="105"/>
      <c r="K266" s="105"/>
      <c r="L266" s="105"/>
      <c r="M266" s="105">
        <f t="shared" si="71"/>
        <v>0</v>
      </c>
      <c r="N266" s="105"/>
      <c r="O266" s="105"/>
      <c r="P266" s="105">
        <f t="shared" si="72"/>
        <v>0</v>
      </c>
      <c r="Q266" s="105"/>
      <c r="R266" s="105">
        <f t="shared" si="73"/>
        <v>0</v>
      </c>
      <c r="S266" s="105"/>
      <c r="T266" s="105">
        <f t="shared" si="81"/>
        <v>0</v>
      </c>
      <c r="U266" s="105"/>
      <c r="V266" s="91">
        <f t="shared" si="74"/>
        <v>0</v>
      </c>
      <c r="W266" s="105"/>
      <c r="X266" s="105">
        <f t="shared" si="75"/>
        <v>0</v>
      </c>
      <c r="Y266" s="105"/>
      <c r="Z266" s="105">
        <f t="shared" si="76"/>
        <v>0</v>
      </c>
      <c r="AA266" s="105"/>
      <c r="AB266" s="105">
        <f>$F265*AA266</f>
        <v>0</v>
      </c>
      <c r="AC266" s="105"/>
      <c r="AD266" s="105">
        <f t="shared" si="69"/>
        <v>0</v>
      </c>
      <c r="AE266" s="105"/>
      <c r="AF266" s="105">
        <f t="shared" si="70"/>
        <v>0</v>
      </c>
      <c r="AG266" s="105"/>
      <c r="AH266" s="106"/>
      <c r="AK266" s="106">
        <f t="shared" si="82"/>
        <v>0</v>
      </c>
      <c r="AL266" s="106">
        <f t="shared" si="83"/>
        <v>0</v>
      </c>
      <c r="AQ266" s="107"/>
      <c r="AS266" s="108"/>
    </row>
    <row r="267" spans="1:45" x14ac:dyDescent="0.2">
      <c r="A267" s="85" t="s">
        <v>119</v>
      </c>
      <c r="B267" s="101" t="s">
        <v>120</v>
      </c>
      <c r="C267" s="86" t="s">
        <v>662</v>
      </c>
      <c r="F267" s="102">
        <f>E267</f>
        <v>0</v>
      </c>
      <c r="G267" s="103"/>
      <c r="H267" s="103"/>
      <c r="I267" s="103"/>
      <c r="J267" s="105"/>
      <c r="K267" s="105"/>
      <c r="L267" s="105"/>
      <c r="M267" s="105">
        <f t="shared" si="71"/>
        <v>0</v>
      </c>
      <c r="N267" s="105"/>
      <c r="O267" s="105"/>
      <c r="P267" s="105">
        <f t="shared" si="72"/>
        <v>0</v>
      </c>
      <c r="Q267" s="105"/>
      <c r="R267" s="105">
        <f t="shared" si="73"/>
        <v>0</v>
      </c>
      <c r="S267" s="105"/>
      <c r="T267" s="105">
        <f t="shared" si="81"/>
        <v>0</v>
      </c>
      <c r="U267" s="105"/>
      <c r="V267" s="91">
        <f t="shared" si="74"/>
        <v>0</v>
      </c>
      <c r="W267" s="105"/>
      <c r="X267" s="105">
        <f t="shared" si="75"/>
        <v>0</v>
      </c>
      <c r="Y267" s="105"/>
      <c r="Z267" s="105">
        <f t="shared" si="76"/>
        <v>0</v>
      </c>
      <c r="AA267" s="105"/>
      <c r="AB267" s="105">
        <f>$F266*AA267</f>
        <v>0</v>
      </c>
      <c r="AC267" s="105"/>
      <c r="AD267" s="105">
        <f t="shared" si="69"/>
        <v>0</v>
      </c>
      <c r="AE267" s="105"/>
      <c r="AF267" s="105">
        <f t="shared" si="70"/>
        <v>0</v>
      </c>
      <c r="AG267" s="105"/>
      <c r="AH267" s="106"/>
      <c r="AK267" s="106">
        <f t="shared" si="82"/>
        <v>0</v>
      </c>
      <c r="AL267" s="106">
        <f t="shared" si="83"/>
        <v>0</v>
      </c>
      <c r="AQ267" s="107"/>
      <c r="AS267" s="108"/>
    </row>
    <row r="268" spans="1:45" x14ac:dyDescent="0.2">
      <c r="A268" s="85" t="s">
        <v>119</v>
      </c>
      <c r="B268" s="101"/>
      <c r="C268" s="92" t="s">
        <v>663</v>
      </c>
      <c r="D268" s="92"/>
      <c r="F268" s="104">
        <f>SUM(F267)</f>
        <v>0</v>
      </c>
      <c r="G268" s="104">
        <f>F268</f>
        <v>0</v>
      </c>
      <c r="H268" s="105">
        <f>VLOOKUP(A268,Data!$A$2:$Z$179,24,FALSE)</f>
        <v>19.067</v>
      </c>
      <c r="I268" s="105">
        <f>VLOOKUP(A268,Data!$A$2:$Z$179,25,FALSE)</f>
        <v>1.468</v>
      </c>
      <c r="J268" s="105">
        <f>VLOOKUP(A268,Data!$A$2:$Z$179,7,FALSE)</f>
        <v>17.599</v>
      </c>
      <c r="K268" s="105">
        <f>$F268*J268</f>
        <v>0</v>
      </c>
      <c r="L268" s="105">
        <f>VLOOKUP(A268,Data!$A$2:$Z$179,8,FALSE)</f>
        <v>0</v>
      </c>
      <c r="M268" s="105">
        <f>L268*F268</f>
        <v>0</v>
      </c>
      <c r="N268" s="105">
        <f>VLOOKUP(A268,Data!$A$2:$Z$179,9,FALSE)</f>
        <v>0</v>
      </c>
      <c r="O268" s="105">
        <f>VLOOKUP(A267,Data!$A$2:$Z$179,10,FALSE)</f>
        <v>0</v>
      </c>
      <c r="P268" s="105">
        <f>O268*F268</f>
        <v>0</v>
      </c>
      <c r="Q268" s="105">
        <f>VLOOKUP(A268,Data!$A$2:$Z$179,11,FALSE)</f>
        <v>0</v>
      </c>
      <c r="R268" s="105">
        <f t="shared" si="73"/>
        <v>0</v>
      </c>
      <c r="S268" s="105">
        <f>VLOOKUP(A268,Data!$A$2:$Z$179,12,FALSE)</f>
        <v>0</v>
      </c>
      <c r="T268" s="105">
        <f>S268*F268</f>
        <v>0</v>
      </c>
      <c r="U268" s="105">
        <f>VLOOKUP(A268,Data!$A$2:$Z$179,13,FALSE)</f>
        <v>0</v>
      </c>
      <c r="V268" s="91">
        <f t="shared" si="74"/>
        <v>0</v>
      </c>
      <c r="W268" s="105">
        <f>VLOOKUP(A268,Data!$A$2:$Z$179,22,FALSE)</f>
        <v>0</v>
      </c>
      <c r="X268" s="105">
        <f>W268*F268</f>
        <v>0</v>
      </c>
      <c r="Y268" s="105">
        <f>VLOOKUP(A268,Data!$A$2:$Z$179,19,FALSE)</f>
        <v>0</v>
      </c>
      <c r="Z268" s="105">
        <f t="shared" si="76"/>
        <v>0</v>
      </c>
      <c r="AA268" s="105">
        <f>VLOOKUP(A268,Data!$A$2:$Z$179,20,FALSE)</f>
        <v>0</v>
      </c>
      <c r="AB268" s="105">
        <f>$F268*AA268</f>
        <v>0</v>
      </c>
      <c r="AC268" s="105">
        <f>VLOOKUP(A268,Data!$A$2:$Z$179,21,FALSE)</f>
        <v>0</v>
      </c>
      <c r="AD268" s="105">
        <f t="shared" si="69"/>
        <v>0</v>
      </c>
      <c r="AE268" s="105">
        <f>J268+L268+N268+O268+Q268+S268+U268+W268+Y268+AA268+AC268</f>
        <v>17.599</v>
      </c>
      <c r="AF268" s="105">
        <f t="shared" si="70"/>
        <v>0</v>
      </c>
      <c r="AG268" s="105"/>
      <c r="AH268" s="106">
        <f>AE268-S268-W268</f>
        <v>17.599</v>
      </c>
      <c r="AI268" s="85">
        <f>AH268/AE268</f>
        <v>1</v>
      </c>
      <c r="AK268" s="106">
        <f t="shared" si="82"/>
        <v>0</v>
      </c>
      <c r="AL268" s="106">
        <f t="shared" si="83"/>
        <v>0</v>
      </c>
      <c r="AQ268" s="107"/>
      <c r="AS268" s="108"/>
    </row>
    <row r="269" spans="1:45" x14ac:dyDescent="0.2">
      <c r="B269" s="101"/>
      <c r="C269" s="92"/>
      <c r="D269" s="92"/>
      <c r="F269" s="109"/>
      <c r="G269" s="109"/>
      <c r="H269" s="109"/>
      <c r="I269" s="109"/>
      <c r="J269" s="105"/>
      <c r="K269" s="105"/>
      <c r="L269" s="105"/>
      <c r="M269" s="105">
        <f t="shared" si="71"/>
        <v>0</v>
      </c>
      <c r="N269" s="105"/>
      <c r="O269" s="105"/>
      <c r="P269" s="105">
        <f t="shared" si="72"/>
        <v>0</v>
      </c>
      <c r="Q269" s="105"/>
      <c r="R269" s="105">
        <f t="shared" si="73"/>
        <v>0</v>
      </c>
      <c r="S269" s="105"/>
      <c r="T269" s="105">
        <f t="shared" si="81"/>
        <v>0</v>
      </c>
      <c r="U269" s="105"/>
      <c r="V269" s="91">
        <f t="shared" si="74"/>
        <v>0</v>
      </c>
      <c r="W269" s="105"/>
      <c r="X269" s="105">
        <f t="shared" si="75"/>
        <v>0</v>
      </c>
      <c r="Y269" s="105"/>
      <c r="Z269" s="105">
        <f t="shared" si="76"/>
        <v>0</v>
      </c>
      <c r="AA269" s="105"/>
      <c r="AB269" s="105">
        <f t="shared" ref="AB269:AB289" si="84">$F269*AA269</f>
        <v>0</v>
      </c>
      <c r="AC269" s="105"/>
      <c r="AD269" s="105">
        <f t="shared" si="69"/>
        <v>0</v>
      </c>
      <c r="AE269" s="105"/>
      <c r="AF269" s="105">
        <f t="shared" si="70"/>
        <v>0</v>
      </c>
      <c r="AG269" s="105"/>
      <c r="AH269" s="106"/>
      <c r="AK269" s="106">
        <f t="shared" si="82"/>
        <v>0</v>
      </c>
      <c r="AL269" s="106">
        <f t="shared" si="83"/>
        <v>0</v>
      </c>
      <c r="AQ269" s="107"/>
      <c r="AS269" s="108"/>
    </row>
    <row r="270" spans="1:45" x14ac:dyDescent="0.2">
      <c r="A270" s="85" t="s">
        <v>121</v>
      </c>
      <c r="B270" s="101" t="s">
        <v>122</v>
      </c>
      <c r="C270" s="86" t="s">
        <v>664</v>
      </c>
      <c r="F270" s="102">
        <f>E270</f>
        <v>0</v>
      </c>
      <c r="G270" s="103"/>
      <c r="H270" s="103"/>
      <c r="I270" s="103"/>
      <c r="J270" s="105"/>
      <c r="K270" s="105"/>
      <c r="L270" s="105"/>
      <c r="M270" s="105">
        <f t="shared" si="71"/>
        <v>0</v>
      </c>
      <c r="N270" s="105"/>
      <c r="O270" s="105"/>
      <c r="P270" s="105">
        <f t="shared" si="72"/>
        <v>0</v>
      </c>
      <c r="Q270" s="105"/>
      <c r="R270" s="105">
        <f t="shared" si="73"/>
        <v>0</v>
      </c>
      <c r="S270" s="105"/>
      <c r="T270" s="105">
        <f t="shared" si="81"/>
        <v>0</v>
      </c>
      <c r="U270" s="105"/>
      <c r="V270" s="91">
        <f t="shared" si="74"/>
        <v>0</v>
      </c>
      <c r="W270" s="105"/>
      <c r="X270" s="105">
        <f t="shared" si="75"/>
        <v>0</v>
      </c>
      <c r="Y270" s="105"/>
      <c r="Z270" s="105">
        <f t="shared" si="76"/>
        <v>0</v>
      </c>
      <c r="AA270" s="105"/>
      <c r="AB270" s="105">
        <f t="shared" si="84"/>
        <v>0</v>
      </c>
      <c r="AC270" s="105"/>
      <c r="AD270" s="105">
        <f t="shared" si="69"/>
        <v>0</v>
      </c>
      <c r="AE270" s="105"/>
      <c r="AF270" s="105">
        <f t="shared" si="70"/>
        <v>0</v>
      </c>
      <c r="AG270" s="105"/>
      <c r="AH270" s="106"/>
      <c r="AK270" s="106">
        <f t="shared" si="82"/>
        <v>0</v>
      </c>
      <c r="AL270" s="106">
        <f t="shared" si="83"/>
        <v>0</v>
      </c>
      <c r="AQ270" s="107"/>
      <c r="AS270" s="108"/>
    </row>
    <row r="271" spans="1:45" x14ac:dyDescent="0.2">
      <c r="A271" s="85" t="s">
        <v>121</v>
      </c>
      <c r="B271" s="101"/>
      <c r="C271" s="92" t="s">
        <v>665</v>
      </c>
      <c r="D271" s="92"/>
      <c r="F271" s="104">
        <f>SUM(F270)</f>
        <v>0</v>
      </c>
      <c r="G271" s="104">
        <f>F271</f>
        <v>0</v>
      </c>
      <c r="H271" s="105">
        <f>VLOOKUP(A271,Data!$A$2:$Z$179,24,FALSE)</f>
        <v>27</v>
      </c>
      <c r="I271" s="105">
        <f>VLOOKUP(A271,Data!$A$2:$Z$179,25,FALSE)</f>
        <v>2.2189999999999999</v>
      </c>
      <c r="J271" s="105">
        <f>VLOOKUP(A271,Data!$A$2:$Z$179,7,FALSE)</f>
        <v>24.780999999999999</v>
      </c>
      <c r="K271" s="105">
        <f>$F271*J271</f>
        <v>0</v>
      </c>
      <c r="L271" s="105">
        <f>VLOOKUP(A271,Data!$A$2:$Z$179,8,FALSE)</f>
        <v>0</v>
      </c>
      <c r="M271" s="105">
        <f>L271*F271</f>
        <v>0</v>
      </c>
      <c r="N271" s="105">
        <f>VLOOKUP(A271,Data!$A$2:$Z$179,9,FALSE)</f>
        <v>0</v>
      </c>
      <c r="O271" s="105">
        <f>VLOOKUP(A270,Data!$A$2:$Z$179,10,FALSE)</f>
        <v>0</v>
      </c>
      <c r="P271" s="105">
        <f>O271*F271</f>
        <v>0</v>
      </c>
      <c r="Q271" s="105">
        <f>VLOOKUP(A271,Data!$A$2:$Z$179,11,FALSE)</f>
        <v>0</v>
      </c>
      <c r="R271" s="105">
        <f t="shared" si="73"/>
        <v>0</v>
      </c>
      <c r="S271" s="105">
        <f>VLOOKUP(A271,Data!$A$2:$Z$179,12,FALSE)</f>
        <v>0</v>
      </c>
      <c r="T271" s="105">
        <f>S271*F271</f>
        <v>0</v>
      </c>
      <c r="U271" s="105">
        <f>VLOOKUP(A271,Data!$A$2:$Z$179,13,FALSE)</f>
        <v>6.1783834861932042E-2</v>
      </c>
      <c r="V271" s="91">
        <f t="shared" si="74"/>
        <v>0</v>
      </c>
      <c r="W271" s="105">
        <f>VLOOKUP(A271,Data!$A$2:$Z$179,22,FALSE)</f>
        <v>0</v>
      </c>
      <c r="X271" s="105">
        <f>W271*F271</f>
        <v>0</v>
      </c>
      <c r="Y271" s="105">
        <f>VLOOKUP(A271,Data!$A$2:$Z$179,19,FALSE)</f>
        <v>0</v>
      </c>
      <c r="Z271" s="105">
        <f t="shared" si="76"/>
        <v>0</v>
      </c>
      <c r="AA271" s="105">
        <f>VLOOKUP(A271,Data!$A$2:$Z$179,20,FALSE)</f>
        <v>0</v>
      </c>
      <c r="AB271" s="105">
        <f t="shared" si="84"/>
        <v>0</v>
      </c>
      <c r="AC271" s="105">
        <f>VLOOKUP(A271,Data!$A$2:$Z$179,21,FALSE)</f>
        <v>0</v>
      </c>
      <c r="AD271" s="105">
        <f t="shared" si="69"/>
        <v>0</v>
      </c>
      <c r="AE271" s="105">
        <f>J271+L271+N271+O271+Q271+S271+U271+W271+Y271+AA271+AC271</f>
        <v>24.84278383486193</v>
      </c>
      <c r="AF271" s="105">
        <f t="shared" si="70"/>
        <v>0</v>
      </c>
      <c r="AG271" s="105"/>
      <c r="AH271" s="106">
        <f>AE271-S271-W271</f>
        <v>24.84278383486193</v>
      </c>
      <c r="AI271" s="85">
        <f>AH271/AE271</f>
        <v>1</v>
      </c>
      <c r="AK271" s="106">
        <f t="shared" si="82"/>
        <v>0</v>
      </c>
      <c r="AL271" s="106">
        <f t="shared" si="83"/>
        <v>0</v>
      </c>
      <c r="AQ271" s="107"/>
      <c r="AS271" s="108"/>
    </row>
    <row r="272" spans="1:45" x14ac:dyDescent="0.2">
      <c r="B272" s="101"/>
      <c r="C272" s="92"/>
      <c r="D272" s="92"/>
      <c r="F272" s="109"/>
      <c r="G272" s="109"/>
      <c r="H272" s="109"/>
      <c r="I272" s="109"/>
      <c r="J272" s="105"/>
      <c r="K272" s="105"/>
      <c r="L272" s="105"/>
      <c r="M272" s="105">
        <f t="shared" si="71"/>
        <v>0</v>
      </c>
      <c r="N272" s="105"/>
      <c r="O272" s="105"/>
      <c r="P272" s="105">
        <f t="shared" si="72"/>
        <v>0</v>
      </c>
      <c r="Q272" s="105"/>
      <c r="R272" s="105">
        <f t="shared" si="73"/>
        <v>0</v>
      </c>
      <c r="S272" s="105"/>
      <c r="T272" s="105">
        <f t="shared" si="81"/>
        <v>0</v>
      </c>
      <c r="U272" s="105"/>
      <c r="V272" s="91">
        <f t="shared" si="74"/>
        <v>0</v>
      </c>
      <c r="W272" s="105"/>
      <c r="X272" s="105">
        <f t="shared" si="75"/>
        <v>0</v>
      </c>
      <c r="Y272" s="105"/>
      <c r="Z272" s="105">
        <f t="shared" si="76"/>
        <v>0</v>
      </c>
      <c r="AA272" s="105"/>
      <c r="AB272" s="105">
        <f t="shared" si="84"/>
        <v>0</v>
      </c>
      <c r="AC272" s="105"/>
      <c r="AD272" s="105">
        <f t="shared" si="69"/>
        <v>0</v>
      </c>
      <c r="AE272" s="105"/>
      <c r="AF272" s="105">
        <f t="shared" si="70"/>
        <v>0</v>
      </c>
      <c r="AG272" s="105"/>
      <c r="AH272" s="106"/>
      <c r="AK272" s="106">
        <f t="shared" si="82"/>
        <v>0</v>
      </c>
      <c r="AL272" s="106">
        <f t="shared" si="83"/>
        <v>0</v>
      </c>
      <c r="AQ272" s="107"/>
      <c r="AS272" s="108"/>
    </row>
    <row r="273" spans="1:45" x14ac:dyDescent="0.2">
      <c r="A273" s="85" t="s">
        <v>123</v>
      </c>
      <c r="B273" s="101" t="s">
        <v>122</v>
      </c>
      <c r="C273" s="86" t="s">
        <v>666</v>
      </c>
      <c r="F273" s="102">
        <f>E273</f>
        <v>0</v>
      </c>
      <c r="G273" s="103"/>
      <c r="H273" s="103"/>
      <c r="I273" s="103"/>
      <c r="J273" s="105"/>
      <c r="K273" s="105"/>
      <c r="L273" s="105"/>
      <c r="M273" s="105">
        <f t="shared" si="71"/>
        <v>0</v>
      </c>
      <c r="N273" s="105"/>
      <c r="O273" s="105"/>
      <c r="P273" s="105">
        <f t="shared" si="72"/>
        <v>0</v>
      </c>
      <c r="Q273" s="105"/>
      <c r="R273" s="105">
        <f t="shared" si="73"/>
        <v>0</v>
      </c>
      <c r="S273" s="105"/>
      <c r="T273" s="105">
        <f t="shared" si="81"/>
        <v>0</v>
      </c>
      <c r="U273" s="105"/>
      <c r="V273" s="91">
        <f t="shared" si="74"/>
        <v>0</v>
      </c>
      <c r="W273" s="105"/>
      <c r="X273" s="105">
        <f t="shared" si="75"/>
        <v>0</v>
      </c>
      <c r="Y273" s="105"/>
      <c r="Z273" s="105">
        <f t="shared" si="76"/>
        <v>0</v>
      </c>
      <c r="AA273" s="105"/>
      <c r="AB273" s="105">
        <f t="shared" si="84"/>
        <v>0</v>
      </c>
      <c r="AC273" s="105"/>
      <c r="AD273" s="105">
        <f t="shared" ref="AD273:AD279" si="85">$F273*AC273</f>
        <v>0</v>
      </c>
      <c r="AE273" s="105"/>
      <c r="AF273" s="105">
        <f t="shared" ref="AF273:AF279" si="86">$F273*AE273</f>
        <v>0</v>
      </c>
      <c r="AG273" s="105"/>
      <c r="AH273" s="106"/>
      <c r="AK273" s="106">
        <f t="shared" si="82"/>
        <v>0</v>
      </c>
      <c r="AL273" s="106">
        <f t="shared" si="83"/>
        <v>0</v>
      </c>
      <c r="AQ273" s="107"/>
      <c r="AR273" s="112"/>
      <c r="AS273" s="108"/>
    </row>
    <row r="274" spans="1:45" x14ac:dyDescent="0.2">
      <c r="A274" s="85" t="s">
        <v>123</v>
      </c>
      <c r="B274" s="101"/>
      <c r="C274" s="92" t="s">
        <v>667</v>
      </c>
      <c r="D274" s="92"/>
      <c r="F274" s="104">
        <f>SUM(F273)</f>
        <v>0</v>
      </c>
      <c r="G274" s="104">
        <f>F274</f>
        <v>0</v>
      </c>
      <c r="H274" s="105">
        <f>VLOOKUP(A274,Data!$A$2:$Z$179,24,FALSE)</f>
        <v>27</v>
      </c>
      <c r="I274" s="105">
        <f>VLOOKUP(A274,Data!$A$2:$Z$179,25,FALSE)</f>
        <v>0</v>
      </c>
      <c r="J274" s="105">
        <f>VLOOKUP(A274,Data!$A$2:$Z$179,7,FALSE)</f>
        <v>27</v>
      </c>
      <c r="K274" s="105">
        <f>$F274*J274</f>
        <v>0</v>
      </c>
      <c r="L274" s="105">
        <f>VLOOKUP(A274,Data!$A$2:$Z$179,8,FALSE)</f>
        <v>0</v>
      </c>
      <c r="M274" s="105">
        <f>L274*F274</f>
        <v>0</v>
      </c>
      <c r="N274" s="105">
        <f>VLOOKUP(A274,Data!$A$2:$Z$179,9,FALSE)</f>
        <v>0</v>
      </c>
      <c r="O274" s="105">
        <f>VLOOKUP(A273,Data!$A$2:$Z$179,10,FALSE)</f>
        <v>0</v>
      </c>
      <c r="P274" s="105">
        <f>O274*F274</f>
        <v>0</v>
      </c>
      <c r="Q274" s="105">
        <f>VLOOKUP(A274,Data!$A$2:$Z$179,11,FALSE)</f>
        <v>0</v>
      </c>
      <c r="R274" s="105">
        <f t="shared" ref="R274:R279" si="87">$F274*Q274</f>
        <v>0</v>
      </c>
      <c r="S274" s="105">
        <f>VLOOKUP(A274,Data!$A$2:$Z$179,12,FALSE)</f>
        <v>0</v>
      </c>
      <c r="T274" s="105">
        <f>S274*F274</f>
        <v>0</v>
      </c>
      <c r="U274" s="105">
        <f>VLOOKUP(A274,Data!$A$2:$Z$179,13,FALSE)</f>
        <v>0</v>
      </c>
      <c r="V274" s="91">
        <f t="shared" ref="V274:V337" si="88">U274*F274/1000</f>
        <v>0</v>
      </c>
      <c r="W274" s="105">
        <f>VLOOKUP(A274,Data!$A$2:$Z$179,22,FALSE)</f>
        <v>0</v>
      </c>
      <c r="X274" s="105">
        <f>W274*F274</f>
        <v>0</v>
      </c>
      <c r="Y274" s="105">
        <f>VLOOKUP(A274,Data!$A$2:$Z$179,19,FALSE)</f>
        <v>0</v>
      </c>
      <c r="Z274" s="105">
        <f t="shared" ref="Z274:Z279" si="89">$F274*Y274</f>
        <v>0</v>
      </c>
      <c r="AA274" s="105">
        <f>VLOOKUP(A274,Data!$A$2:$Z$179,20,FALSE)</f>
        <v>0</v>
      </c>
      <c r="AB274" s="105">
        <f t="shared" si="84"/>
        <v>0</v>
      </c>
      <c r="AC274" s="105">
        <f>VLOOKUP(A274,Data!$A$2:$Z$179,21,FALSE)</f>
        <v>0</v>
      </c>
      <c r="AD274" s="105">
        <f t="shared" si="85"/>
        <v>0</v>
      </c>
      <c r="AE274" s="105">
        <f>J274+L274+N274+O274+Q274+S274+U274+W274+Y274+AA274+AC274</f>
        <v>27</v>
      </c>
      <c r="AF274" s="105">
        <f t="shared" si="86"/>
        <v>0</v>
      </c>
      <c r="AG274" s="105"/>
      <c r="AH274" s="106">
        <f>AE274-S274-W274</f>
        <v>27</v>
      </c>
      <c r="AI274" s="85">
        <f>AH274/AE274</f>
        <v>1</v>
      </c>
      <c r="AK274" s="106">
        <f t="shared" si="82"/>
        <v>0</v>
      </c>
      <c r="AL274" s="106">
        <f t="shared" si="83"/>
        <v>0</v>
      </c>
      <c r="AQ274" s="107"/>
      <c r="AR274" s="112"/>
      <c r="AS274" s="108"/>
    </row>
    <row r="275" spans="1:45" x14ac:dyDescent="0.2">
      <c r="B275" s="101"/>
      <c r="C275" s="92"/>
      <c r="D275" s="92"/>
      <c r="F275" s="109"/>
      <c r="G275" s="109"/>
      <c r="H275" s="109"/>
      <c r="I275" s="109"/>
      <c r="J275" s="105"/>
      <c r="K275" s="105"/>
      <c r="L275" s="105"/>
      <c r="M275" s="105">
        <f t="shared" ref="M275:M279" si="90">L275*F275</f>
        <v>0</v>
      </c>
      <c r="N275" s="105"/>
      <c r="O275" s="105"/>
      <c r="P275" s="105">
        <f t="shared" ref="P275:P279" si="91">O275*F275</f>
        <v>0</v>
      </c>
      <c r="Q275" s="105"/>
      <c r="R275" s="105">
        <f t="shared" si="87"/>
        <v>0</v>
      </c>
      <c r="S275" s="105"/>
      <c r="T275" s="105">
        <f t="shared" si="81"/>
        <v>0</v>
      </c>
      <c r="U275" s="105"/>
      <c r="V275" s="91">
        <f t="shared" si="88"/>
        <v>0</v>
      </c>
      <c r="W275" s="105"/>
      <c r="X275" s="105">
        <f t="shared" ref="X275:X279" si="92">W275*F275</f>
        <v>0</v>
      </c>
      <c r="Y275" s="105"/>
      <c r="Z275" s="105">
        <f t="shared" si="89"/>
        <v>0</v>
      </c>
      <c r="AA275" s="105"/>
      <c r="AB275" s="105">
        <f t="shared" si="84"/>
        <v>0</v>
      </c>
      <c r="AC275" s="105"/>
      <c r="AD275" s="105">
        <f t="shared" si="85"/>
        <v>0</v>
      </c>
      <c r="AE275" s="105"/>
      <c r="AF275" s="105">
        <f t="shared" si="86"/>
        <v>0</v>
      </c>
      <c r="AG275" s="105"/>
      <c r="AH275" s="106"/>
      <c r="AK275" s="106">
        <f t="shared" si="82"/>
        <v>0</v>
      </c>
      <c r="AL275" s="106">
        <f t="shared" si="83"/>
        <v>0</v>
      </c>
      <c r="AQ275" s="107"/>
      <c r="AR275" s="112"/>
      <c r="AS275" s="108"/>
    </row>
    <row r="276" spans="1:45" x14ac:dyDescent="0.2">
      <c r="A276" s="85" t="s">
        <v>124</v>
      </c>
      <c r="B276" s="101" t="s">
        <v>125</v>
      </c>
      <c r="C276" s="86" t="s">
        <v>668</v>
      </c>
      <c r="F276" s="102">
        <f>E276</f>
        <v>0</v>
      </c>
      <c r="G276" s="103"/>
      <c r="H276" s="103"/>
      <c r="I276" s="103"/>
      <c r="J276" s="105"/>
      <c r="K276" s="105"/>
      <c r="L276" s="105"/>
      <c r="M276" s="105">
        <f t="shared" si="90"/>
        <v>0</v>
      </c>
      <c r="N276" s="105"/>
      <c r="O276" s="105"/>
      <c r="P276" s="105">
        <f t="shared" si="91"/>
        <v>0</v>
      </c>
      <c r="Q276" s="105"/>
      <c r="R276" s="105">
        <f t="shared" si="87"/>
        <v>0</v>
      </c>
      <c r="S276" s="105"/>
      <c r="T276" s="105">
        <f t="shared" si="81"/>
        <v>0</v>
      </c>
      <c r="U276" s="105"/>
      <c r="V276" s="91">
        <f t="shared" si="88"/>
        <v>0</v>
      </c>
      <c r="W276" s="105"/>
      <c r="X276" s="105">
        <f t="shared" si="92"/>
        <v>0</v>
      </c>
      <c r="Y276" s="105"/>
      <c r="Z276" s="105">
        <f t="shared" si="89"/>
        <v>0</v>
      </c>
      <c r="AA276" s="105"/>
      <c r="AB276" s="105">
        <f t="shared" si="84"/>
        <v>0</v>
      </c>
      <c r="AC276" s="105"/>
      <c r="AD276" s="105">
        <f t="shared" si="85"/>
        <v>0</v>
      </c>
      <c r="AE276" s="105"/>
      <c r="AF276" s="105">
        <f t="shared" si="86"/>
        <v>0</v>
      </c>
      <c r="AG276" s="105"/>
      <c r="AH276" s="106"/>
      <c r="AK276" s="106">
        <f t="shared" si="82"/>
        <v>0</v>
      </c>
      <c r="AL276" s="106">
        <f t="shared" si="83"/>
        <v>0</v>
      </c>
      <c r="AQ276" s="107"/>
      <c r="AS276" s="108"/>
    </row>
    <row r="277" spans="1:45" x14ac:dyDescent="0.2">
      <c r="A277" s="85" t="s">
        <v>124</v>
      </c>
      <c r="B277" s="101"/>
      <c r="C277" s="92" t="s">
        <v>669</v>
      </c>
      <c r="D277" s="92"/>
      <c r="F277" s="104">
        <f>SUM(F276)</f>
        <v>0</v>
      </c>
      <c r="G277" s="104">
        <f>F277</f>
        <v>0</v>
      </c>
      <c r="H277" s="105">
        <f>VLOOKUP(A277,Data!$A$2:$Z$179,24,FALSE)</f>
        <v>23.041</v>
      </c>
      <c r="I277" s="105">
        <f>VLOOKUP(A277,Data!$A$2:$Z$179,25,FALSE)</f>
        <v>0</v>
      </c>
      <c r="J277" s="105">
        <f>VLOOKUP(A277,Data!$A$2:$Z$179,7,FALSE)</f>
        <v>23.041</v>
      </c>
      <c r="K277" s="105">
        <f>$F277*J277</f>
        <v>0</v>
      </c>
      <c r="L277" s="105">
        <f>VLOOKUP(A277,Data!$A$2:$Z$179,8,FALSE)</f>
        <v>0</v>
      </c>
      <c r="M277" s="105">
        <f>L277*F277</f>
        <v>0</v>
      </c>
      <c r="N277" s="105">
        <f>VLOOKUP(A277,Data!$A$2:$Z$179,9,FALSE)</f>
        <v>0</v>
      </c>
      <c r="O277" s="105">
        <f>VLOOKUP(A276,Data!$A$2:$Z$179,10,FALSE)</f>
        <v>0</v>
      </c>
      <c r="P277" s="105">
        <f>O277*F277</f>
        <v>0</v>
      </c>
      <c r="Q277" s="105">
        <f>VLOOKUP(A277,Data!$A$2:$Z$179,11,FALSE)</f>
        <v>0</v>
      </c>
      <c r="R277" s="105">
        <f t="shared" si="87"/>
        <v>0</v>
      </c>
      <c r="S277" s="105">
        <f>VLOOKUP(A277,Data!$A$2:$Z$179,12,FALSE)</f>
        <v>0</v>
      </c>
      <c r="T277" s="105">
        <f>S277*F277</f>
        <v>0</v>
      </c>
      <c r="U277" s="105">
        <f>VLOOKUP(A277,Data!$A$2:$Z$179,13,FALSE)</f>
        <v>4.5193713989299104E-2</v>
      </c>
      <c r="V277" s="91">
        <f t="shared" si="88"/>
        <v>0</v>
      </c>
      <c r="W277" s="105">
        <f>VLOOKUP(A277,Data!$A$2:$Z$179,22,FALSE)</f>
        <v>0</v>
      </c>
      <c r="X277" s="105">
        <f>W277*F277</f>
        <v>0</v>
      </c>
      <c r="Y277" s="105">
        <f>VLOOKUP(A277,Data!$A$2:$Z$179,19,FALSE)</f>
        <v>0</v>
      </c>
      <c r="Z277" s="105">
        <f t="shared" si="89"/>
        <v>0</v>
      </c>
      <c r="AA277" s="105">
        <f>VLOOKUP(A277,Data!$A$2:$Z$179,20,FALSE)</f>
        <v>0</v>
      </c>
      <c r="AB277" s="105">
        <f t="shared" si="84"/>
        <v>0</v>
      </c>
      <c r="AC277" s="105">
        <f>VLOOKUP(A277,Data!$A$2:$Z$179,21,FALSE)</f>
        <v>0</v>
      </c>
      <c r="AD277" s="105">
        <f t="shared" si="85"/>
        <v>0</v>
      </c>
      <c r="AE277" s="105">
        <f>J277+L277+N277+O277+Q277+S277+U277+W277+Y277+AA277+AC277</f>
        <v>23.086193713989299</v>
      </c>
      <c r="AF277" s="105">
        <f t="shared" si="86"/>
        <v>0</v>
      </c>
      <c r="AG277" s="105"/>
      <c r="AH277" s="106">
        <f>AE277-S277-W277</f>
        <v>23.086193713989299</v>
      </c>
      <c r="AI277" s="85">
        <f>AH277/AE277</f>
        <v>1</v>
      </c>
      <c r="AK277" s="106">
        <f t="shared" si="82"/>
        <v>0</v>
      </c>
      <c r="AL277" s="106">
        <f t="shared" si="83"/>
        <v>0</v>
      </c>
      <c r="AQ277" s="107"/>
      <c r="AS277" s="108"/>
    </row>
    <row r="278" spans="1:45" x14ac:dyDescent="0.2">
      <c r="B278" s="101"/>
      <c r="C278" s="92"/>
      <c r="D278" s="92"/>
      <c r="F278" s="109"/>
      <c r="G278" s="109"/>
      <c r="H278" s="109"/>
      <c r="I278" s="109"/>
      <c r="J278" s="105"/>
      <c r="K278" s="105"/>
      <c r="L278" s="105"/>
      <c r="M278" s="105">
        <f t="shared" si="90"/>
        <v>0</v>
      </c>
      <c r="N278" s="105"/>
      <c r="O278" s="105"/>
      <c r="P278" s="105">
        <f t="shared" si="91"/>
        <v>0</v>
      </c>
      <c r="Q278" s="105"/>
      <c r="R278" s="105">
        <f t="shared" si="87"/>
        <v>0</v>
      </c>
      <c r="S278" s="105"/>
      <c r="T278" s="105">
        <f t="shared" si="81"/>
        <v>0</v>
      </c>
      <c r="U278" s="105"/>
      <c r="V278" s="91">
        <f t="shared" si="88"/>
        <v>0</v>
      </c>
      <c r="W278" s="105"/>
      <c r="X278" s="105">
        <f t="shared" si="92"/>
        <v>0</v>
      </c>
      <c r="Y278" s="105"/>
      <c r="Z278" s="105">
        <f t="shared" si="89"/>
        <v>0</v>
      </c>
      <c r="AA278" s="105"/>
      <c r="AB278" s="105">
        <f t="shared" si="84"/>
        <v>0</v>
      </c>
      <c r="AC278" s="105"/>
      <c r="AD278" s="105">
        <f t="shared" si="85"/>
        <v>0</v>
      </c>
      <c r="AE278" s="105"/>
      <c r="AF278" s="105">
        <f t="shared" si="86"/>
        <v>0</v>
      </c>
      <c r="AG278" s="105"/>
      <c r="AH278" s="106"/>
      <c r="AK278" s="106">
        <f t="shared" si="82"/>
        <v>0</v>
      </c>
      <c r="AL278" s="106">
        <f t="shared" si="83"/>
        <v>0</v>
      </c>
      <c r="AQ278" s="107"/>
      <c r="AS278" s="108"/>
    </row>
    <row r="279" spans="1:45" x14ac:dyDescent="0.2">
      <c r="A279" s="110" t="s">
        <v>126</v>
      </c>
      <c r="B279" s="101" t="s">
        <v>127</v>
      </c>
      <c r="C279" s="86" t="s">
        <v>670</v>
      </c>
      <c r="F279" s="102">
        <f>E279</f>
        <v>0</v>
      </c>
      <c r="G279" s="103"/>
      <c r="H279" s="103"/>
      <c r="I279" s="103"/>
      <c r="J279" s="105"/>
      <c r="K279" s="105"/>
      <c r="L279" s="105"/>
      <c r="M279" s="105">
        <f t="shared" si="90"/>
        <v>0</v>
      </c>
      <c r="N279" s="105"/>
      <c r="O279" s="105"/>
      <c r="P279" s="105">
        <f t="shared" si="91"/>
        <v>0</v>
      </c>
      <c r="Q279" s="105"/>
      <c r="R279" s="105">
        <f t="shared" si="87"/>
        <v>0</v>
      </c>
      <c r="S279" s="105"/>
      <c r="T279" s="105">
        <f t="shared" si="81"/>
        <v>0</v>
      </c>
      <c r="U279" s="105"/>
      <c r="V279" s="91">
        <f t="shared" si="88"/>
        <v>0</v>
      </c>
      <c r="W279" s="105"/>
      <c r="X279" s="105">
        <f t="shared" si="92"/>
        <v>0</v>
      </c>
      <c r="Y279" s="105"/>
      <c r="Z279" s="105">
        <f t="shared" si="89"/>
        <v>0</v>
      </c>
      <c r="AA279" s="105"/>
      <c r="AB279" s="105">
        <f t="shared" si="84"/>
        <v>0</v>
      </c>
      <c r="AC279" s="105"/>
      <c r="AD279" s="105">
        <f t="shared" si="85"/>
        <v>0</v>
      </c>
      <c r="AE279" s="105"/>
      <c r="AF279" s="105">
        <f t="shared" si="86"/>
        <v>0</v>
      </c>
      <c r="AG279" s="105"/>
      <c r="AH279" s="106"/>
      <c r="AK279" s="106">
        <f t="shared" si="82"/>
        <v>0</v>
      </c>
      <c r="AL279" s="106">
        <f t="shared" si="83"/>
        <v>0</v>
      </c>
      <c r="AQ279" s="107"/>
      <c r="AS279" s="108"/>
    </row>
    <row r="280" spans="1:45" x14ac:dyDescent="0.2">
      <c r="A280" s="110" t="s">
        <v>126</v>
      </c>
      <c r="B280" s="101" t="s">
        <v>519</v>
      </c>
      <c r="C280" s="86" t="s">
        <v>670</v>
      </c>
      <c r="F280" s="102">
        <f>E280</f>
        <v>0</v>
      </c>
      <c r="G280" s="103"/>
      <c r="H280" s="103"/>
      <c r="I280" s="103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91">
        <f t="shared" si="88"/>
        <v>0</v>
      </c>
      <c r="W280" s="105"/>
      <c r="X280" s="105"/>
      <c r="Y280" s="105"/>
      <c r="Z280" s="105">
        <v>0</v>
      </c>
      <c r="AA280" s="105"/>
      <c r="AB280" s="105">
        <f t="shared" si="84"/>
        <v>0</v>
      </c>
      <c r="AC280" s="105"/>
      <c r="AD280" s="105"/>
      <c r="AE280" s="105"/>
      <c r="AF280" s="105"/>
      <c r="AG280" s="105"/>
      <c r="AH280" s="106"/>
      <c r="AK280" s="106">
        <f t="shared" si="82"/>
        <v>0</v>
      </c>
      <c r="AL280" s="106">
        <f t="shared" si="83"/>
        <v>0</v>
      </c>
      <c r="AQ280" s="107"/>
      <c r="AS280" s="108"/>
    </row>
    <row r="281" spans="1:45" x14ac:dyDescent="0.2">
      <c r="A281" s="110" t="s">
        <v>126</v>
      </c>
      <c r="B281" s="101"/>
      <c r="C281" s="92" t="s">
        <v>671</v>
      </c>
      <c r="D281" s="92"/>
      <c r="F281" s="104">
        <f>SUM(F279:F280)</f>
        <v>0</v>
      </c>
      <c r="G281" s="104">
        <f>F281</f>
        <v>0</v>
      </c>
      <c r="H281" s="105">
        <f>VLOOKUP(A281,Data!$A$2:$Z$179,24,FALSE)</f>
        <v>27</v>
      </c>
      <c r="I281" s="105">
        <f>VLOOKUP(A281,Data!$A$2:$Z$179,25,FALSE)</f>
        <v>0</v>
      </c>
      <c r="J281" s="105">
        <f>VLOOKUP(A281,Data!$A$2:$Z$179,7,FALSE)</f>
        <v>27</v>
      </c>
      <c r="K281" s="105">
        <f>$F281*J281</f>
        <v>0</v>
      </c>
      <c r="L281" s="105">
        <f>VLOOKUP(A281,Data!$A$2:$Z$179,8,FALSE)</f>
        <v>0</v>
      </c>
      <c r="M281" s="105">
        <f>L281*F281</f>
        <v>0</v>
      </c>
      <c r="N281" s="105">
        <f>VLOOKUP(A281,Data!$A$2:$Z$179,9,FALSE)</f>
        <v>0</v>
      </c>
      <c r="O281" s="105">
        <f>VLOOKUP(A280,Data!$A$2:$Z$179,10,FALSE)</f>
        <v>0</v>
      </c>
      <c r="P281" s="105">
        <f>O281*F281</f>
        <v>0</v>
      </c>
      <c r="Q281" s="105">
        <f>VLOOKUP(A281,Data!$A$2:$Z$179,11,FALSE)</f>
        <v>0</v>
      </c>
      <c r="R281" s="105">
        <f>$F281*Q281</f>
        <v>0</v>
      </c>
      <c r="S281" s="105">
        <f>VLOOKUP(A281,Data!$A$2:$Z$179,12,FALSE)</f>
        <v>9.5809999999999995</v>
      </c>
      <c r="T281" s="105">
        <f>S281*F281</f>
        <v>0</v>
      </c>
      <c r="U281" s="105">
        <f>VLOOKUP(A281,Data!$A$2:$Z$179,13,FALSE)</f>
        <v>0.40307369911144469</v>
      </c>
      <c r="V281" s="91">
        <f t="shared" si="88"/>
        <v>0</v>
      </c>
      <c r="W281" s="105">
        <f>VLOOKUP(A281,Data!$A$2:$Z$179,22,FALSE)</f>
        <v>0</v>
      </c>
      <c r="X281" s="105">
        <f>W281*F281</f>
        <v>0</v>
      </c>
      <c r="Y281" s="105">
        <f>VLOOKUP(A281,Data!$A$2:$Z$179,19,FALSE)</f>
        <v>0</v>
      </c>
      <c r="Z281" s="105">
        <f>$F281*Y281</f>
        <v>0</v>
      </c>
      <c r="AA281" s="105">
        <f>VLOOKUP(A281,Data!$A$2:$Z$179,20,FALSE)</f>
        <v>0</v>
      </c>
      <c r="AB281" s="105">
        <f t="shared" si="84"/>
        <v>0</v>
      </c>
      <c r="AC281" s="105">
        <f>VLOOKUP(A281,Data!$A$2:$Z$179,21,FALSE)</f>
        <v>0</v>
      </c>
      <c r="AD281" s="105">
        <f t="shared" ref="AD281:AD344" si="93">$F281*AC281</f>
        <v>0</v>
      </c>
      <c r="AE281" s="105">
        <f>J281+L281+N281+O281+Q281+S281+U281+W281+Y281+AA281+AC281</f>
        <v>36.984073699111448</v>
      </c>
      <c r="AF281" s="105">
        <f t="shared" ref="AF281:AF344" si="94">$F281*AE281</f>
        <v>0</v>
      </c>
      <c r="AG281" s="105"/>
      <c r="AH281" s="106">
        <f>AE281-S281-W281</f>
        <v>27.403073699111449</v>
      </c>
      <c r="AI281" s="85">
        <f>AH281/AE281</f>
        <v>0.74094254521696501</v>
      </c>
      <c r="AK281" s="106">
        <f t="shared" si="82"/>
        <v>9.5809999999999995</v>
      </c>
      <c r="AL281" s="106">
        <f t="shared" si="83"/>
        <v>9.5809999999999995</v>
      </c>
      <c r="AQ281" s="107"/>
      <c r="AS281" s="108"/>
    </row>
    <row r="282" spans="1:45" x14ac:dyDescent="0.2">
      <c r="B282" s="101"/>
      <c r="C282" s="92"/>
      <c r="D282" s="92"/>
      <c r="F282" s="109"/>
      <c r="G282" s="109"/>
      <c r="H282" s="109"/>
      <c r="I282" s="109"/>
      <c r="J282" s="105"/>
      <c r="K282" s="105"/>
      <c r="L282" s="105"/>
      <c r="M282" s="105">
        <f t="shared" ref="M282:M345" si="95">L282*F282</f>
        <v>0</v>
      </c>
      <c r="N282" s="105"/>
      <c r="O282" s="105"/>
      <c r="P282" s="105">
        <f t="shared" ref="P282:P345" si="96">O282*F282</f>
        <v>0</v>
      </c>
      <c r="Q282" s="105"/>
      <c r="R282" s="105">
        <f t="shared" ref="R282:R344" si="97">$F282*Q282</f>
        <v>0</v>
      </c>
      <c r="S282" s="105"/>
      <c r="T282" s="105">
        <f t="shared" ref="T282:T345" si="98">S282*F282</f>
        <v>0</v>
      </c>
      <c r="U282" s="105"/>
      <c r="V282" s="91">
        <f t="shared" si="88"/>
        <v>0</v>
      </c>
      <c r="W282" s="105"/>
      <c r="X282" s="105">
        <f t="shared" ref="X282:X344" si="99">W282*F282</f>
        <v>0</v>
      </c>
      <c r="Y282" s="105"/>
      <c r="Z282" s="105">
        <f t="shared" ref="Z282:Z344" si="100">$F282*Y282</f>
        <v>0</v>
      </c>
      <c r="AA282" s="105"/>
      <c r="AB282" s="105">
        <f t="shared" si="84"/>
        <v>0</v>
      </c>
      <c r="AC282" s="105"/>
      <c r="AD282" s="105">
        <f t="shared" si="93"/>
        <v>0</v>
      </c>
      <c r="AE282" s="105"/>
      <c r="AF282" s="105">
        <f t="shared" si="94"/>
        <v>0</v>
      </c>
      <c r="AG282" s="105"/>
      <c r="AH282" s="106"/>
      <c r="AK282" s="106">
        <f t="shared" si="82"/>
        <v>0</v>
      </c>
      <c r="AL282" s="106">
        <f t="shared" si="83"/>
        <v>0</v>
      </c>
      <c r="AQ282" s="107"/>
      <c r="AS282" s="108"/>
    </row>
    <row r="283" spans="1:45" x14ac:dyDescent="0.2">
      <c r="A283" s="85" t="s">
        <v>128</v>
      </c>
      <c r="B283" s="101" t="s">
        <v>83</v>
      </c>
      <c r="C283" s="86" t="s">
        <v>672</v>
      </c>
      <c r="F283" s="102">
        <f>E283</f>
        <v>0</v>
      </c>
      <c r="G283" s="103"/>
      <c r="H283" s="103"/>
      <c r="I283" s="103"/>
      <c r="J283" s="105"/>
      <c r="K283" s="105"/>
      <c r="L283" s="105"/>
      <c r="M283" s="105">
        <f t="shared" si="95"/>
        <v>0</v>
      </c>
      <c r="N283" s="105"/>
      <c r="O283" s="105"/>
      <c r="P283" s="105">
        <f t="shared" si="96"/>
        <v>0</v>
      </c>
      <c r="Q283" s="105"/>
      <c r="R283" s="105">
        <f t="shared" si="97"/>
        <v>0</v>
      </c>
      <c r="S283" s="105"/>
      <c r="T283" s="105">
        <f t="shared" si="98"/>
        <v>0</v>
      </c>
      <c r="U283" s="105"/>
      <c r="V283" s="91">
        <f t="shared" si="88"/>
        <v>0</v>
      </c>
      <c r="W283" s="105"/>
      <c r="X283" s="105">
        <f t="shared" si="99"/>
        <v>0</v>
      </c>
      <c r="Y283" s="105"/>
      <c r="Z283" s="105">
        <f t="shared" si="100"/>
        <v>0</v>
      </c>
      <c r="AA283" s="105"/>
      <c r="AB283" s="105">
        <f t="shared" si="84"/>
        <v>0</v>
      </c>
      <c r="AC283" s="105"/>
      <c r="AD283" s="105">
        <f t="shared" si="93"/>
        <v>0</v>
      </c>
      <c r="AE283" s="105"/>
      <c r="AF283" s="105">
        <f t="shared" si="94"/>
        <v>0</v>
      </c>
      <c r="AG283" s="105"/>
      <c r="AH283" s="106"/>
      <c r="AK283" s="106">
        <f t="shared" si="82"/>
        <v>0</v>
      </c>
      <c r="AL283" s="106">
        <f t="shared" si="83"/>
        <v>0</v>
      </c>
      <c r="AQ283" s="107"/>
      <c r="AS283" s="108"/>
    </row>
    <row r="284" spans="1:45" x14ac:dyDescent="0.2">
      <c r="A284" s="85" t="s">
        <v>128</v>
      </c>
      <c r="B284" s="101"/>
      <c r="C284" s="92" t="s">
        <v>673</v>
      </c>
      <c r="D284" s="92"/>
      <c r="F284" s="104">
        <f>SUM(F283)</f>
        <v>0</v>
      </c>
      <c r="G284" s="104">
        <f>F284</f>
        <v>0</v>
      </c>
      <c r="H284" s="105">
        <f>VLOOKUP(A284,Data!$A$2:$Z$179,24,FALSE)</f>
        <v>27</v>
      </c>
      <c r="I284" s="105">
        <f>VLOOKUP(A284,Data!$A$2:$Z$179,25,FALSE)</f>
        <v>3.8010000000000002</v>
      </c>
      <c r="J284" s="105">
        <f>VLOOKUP(A284,Data!$A$2:$Z$179,7,FALSE)</f>
        <v>23.199000000000002</v>
      </c>
      <c r="K284" s="105">
        <f>$F284*J284</f>
        <v>0</v>
      </c>
      <c r="L284" s="105">
        <f>VLOOKUP(A284,Data!$A$2:$Z$179,8,FALSE)</f>
        <v>0</v>
      </c>
      <c r="M284" s="105">
        <f>L284*F284</f>
        <v>0</v>
      </c>
      <c r="N284" s="105">
        <f>VLOOKUP(A284,Data!$A$2:$Z$179,9,FALSE)</f>
        <v>0</v>
      </c>
      <c r="O284" s="105">
        <f>VLOOKUP(A283,Data!$A$2:$Z$179,10,FALSE)</f>
        <v>0</v>
      </c>
      <c r="P284" s="105">
        <f>O284*F284</f>
        <v>0</v>
      </c>
      <c r="Q284" s="105">
        <f>VLOOKUP(A284,Data!$A$2:$Z$179,11,FALSE)</f>
        <v>0</v>
      </c>
      <c r="R284" s="105">
        <f t="shared" si="97"/>
        <v>0</v>
      </c>
      <c r="S284" s="105">
        <f>VLOOKUP(A284,Data!$A$2:$Z$179,12,FALSE)</f>
        <v>0</v>
      </c>
      <c r="T284" s="105">
        <f>S284*F284</f>
        <v>0</v>
      </c>
      <c r="U284" s="105">
        <f>VLOOKUP(A284,Data!$A$2:$Z$179,13,FALSE)</f>
        <v>1.4587365184133823E-4</v>
      </c>
      <c r="V284" s="91">
        <f t="shared" si="88"/>
        <v>0</v>
      </c>
      <c r="W284" s="105">
        <f>VLOOKUP(A284,Data!$A$2:$Z$179,22,FALSE)</f>
        <v>0</v>
      </c>
      <c r="X284" s="105">
        <f>W284*F284</f>
        <v>0</v>
      </c>
      <c r="Y284" s="105">
        <f>VLOOKUP(A284,Data!$A$2:$Z$179,19,FALSE)</f>
        <v>0</v>
      </c>
      <c r="Z284" s="105">
        <f t="shared" si="100"/>
        <v>0</v>
      </c>
      <c r="AA284" s="105">
        <f>VLOOKUP(A284,Data!$A$2:$Z$179,20,FALSE)</f>
        <v>0</v>
      </c>
      <c r="AB284" s="105">
        <f t="shared" si="84"/>
        <v>0</v>
      </c>
      <c r="AC284" s="105">
        <f>VLOOKUP(A284,Data!$A$2:$Z$179,21,FALSE)</f>
        <v>0</v>
      </c>
      <c r="AD284" s="105">
        <f t="shared" si="93"/>
        <v>0</v>
      </c>
      <c r="AE284" s="105">
        <f>J284+L284+N284+O284+Q284+S284+U284+W284+Y284+AA284+AC284</f>
        <v>23.199145873651844</v>
      </c>
      <c r="AF284" s="105">
        <f t="shared" si="94"/>
        <v>0</v>
      </c>
      <c r="AG284" s="105"/>
      <c r="AH284" s="106">
        <f>AE284-S284-W284</f>
        <v>23.199145873651844</v>
      </c>
      <c r="AI284" s="85">
        <f>AH284/AE284</f>
        <v>1</v>
      </c>
      <c r="AK284" s="106">
        <f t="shared" si="82"/>
        <v>0</v>
      </c>
      <c r="AL284" s="106">
        <f t="shared" si="83"/>
        <v>0</v>
      </c>
      <c r="AQ284" s="107"/>
      <c r="AS284" s="108"/>
    </row>
    <row r="285" spans="1:45" x14ac:dyDescent="0.2">
      <c r="B285" s="101"/>
      <c r="C285" s="92"/>
      <c r="D285" s="92"/>
      <c r="F285" s="109"/>
      <c r="G285" s="109"/>
      <c r="H285" s="109"/>
      <c r="I285" s="109"/>
      <c r="J285" s="105"/>
      <c r="K285" s="105"/>
      <c r="L285" s="105"/>
      <c r="M285" s="105">
        <f t="shared" si="95"/>
        <v>0</v>
      </c>
      <c r="N285" s="105"/>
      <c r="O285" s="105"/>
      <c r="P285" s="105">
        <f t="shared" si="96"/>
        <v>0</v>
      </c>
      <c r="Q285" s="105"/>
      <c r="R285" s="105">
        <f t="shared" si="97"/>
        <v>0</v>
      </c>
      <c r="S285" s="105"/>
      <c r="T285" s="105">
        <f t="shared" si="98"/>
        <v>0</v>
      </c>
      <c r="U285" s="105"/>
      <c r="V285" s="91">
        <f t="shared" si="88"/>
        <v>0</v>
      </c>
      <c r="W285" s="105"/>
      <c r="X285" s="105">
        <f t="shared" si="99"/>
        <v>0</v>
      </c>
      <c r="Y285" s="105"/>
      <c r="Z285" s="105">
        <f t="shared" si="100"/>
        <v>0</v>
      </c>
      <c r="AA285" s="105"/>
      <c r="AB285" s="105">
        <f t="shared" si="84"/>
        <v>0</v>
      </c>
      <c r="AC285" s="105"/>
      <c r="AD285" s="105">
        <f t="shared" si="93"/>
        <v>0</v>
      </c>
      <c r="AE285" s="105"/>
      <c r="AF285" s="105">
        <f t="shared" si="94"/>
        <v>0</v>
      </c>
      <c r="AG285" s="105"/>
      <c r="AH285" s="106"/>
      <c r="AK285" s="106">
        <f t="shared" si="82"/>
        <v>0</v>
      </c>
      <c r="AL285" s="106">
        <f t="shared" si="83"/>
        <v>0</v>
      </c>
      <c r="AQ285" s="107"/>
      <c r="AS285" s="108"/>
    </row>
    <row r="286" spans="1:45" x14ac:dyDescent="0.2">
      <c r="A286" s="85" t="s">
        <v>129</v>
      </c>
      <c r="B286" s="101" t="s">
        <v>83</v>
      </c>
      <c r="C286" s="86" t="s">
        <v>674</v>
      </c>
      <c r="F286" s="102">
        <f>E286</f>
        <v>0</v>
      </c>
      <c r="G286" s="103"/>
      <c r="H286" s="103"/>
      <c r="I286" s="103"/>
      <c r="J286" s="105"/>
      <c r="K286" s="105"/>
      <c r="L286" s="105"/>
      <c r="M286" s="105">
        <f t="shared" si="95"/>
        <v>0</v>
      </c>
      <c r="N286" s="105"/>
      <c r="O286" s="105"/>
      <c r="P286" s="105">
        <f t="shared" si="96"/>
        <v>0</v>
      </c>
      <c r="Q286" s="105"/>
      <c r="R286" s="105">
        <f t="shared" si="97"/>
        <v>0</v>
      </c>
      <c r="S286" s="105"/>
      <c r="T286" s="105">
        <f t="shared" si="98"/>
        <v>0</v>
      </c>
      <c r="U286" s="105"/>
      <c r="V286" s="91">
        <f t="shared" si="88"/>
        <v>0</v>
      </c>
      <c r="W286" s="105"/>
      <c r="X286" s="105">
        <f t="shared" si="99"/>
        <v>0</v>
      </c>
      <c r="Y286" s="105"/>
      <c r="Z286" s="105">
        <f t="shared" si="100"/>
        <v>0</v>
      </c>
      <c r="AA286" s="105"/>
      <c r="AB286" s="105">
        <f t="shared" si="84"/>
        <v>0</v>
      </c>
      <c r="AC286" s="105"/>
      <c r="AD286" s="105">
        <f t="shared" si="93"/>
        <v>0</v>
      </c>
      <c r="AE286" s="105"/>
      <c r="AF286" s="105">
        <f t="shared" si="94"/>
        <v>0</v>
      </c>
      <c r="AG286" s="105"/>
      <c r="AH286" s="106"/>
      <c r="AK286" s="106">
        <f t="shared" si="82"/>
        <v>0</v>
      </c>
      <c r="AL286" s="106">
        <f t="shared" si="83"/>
        <v>0</v>
      </c>
      <c r="AQ286" s="107"/>
      <c r="AS286" s="108"/>
    </row>
    <row r="287" spans="1:45" x14ac:dyDescent="0.2">
      <c r="A287" s="85" t="s">
        <v>129</v>
      </c>
      <c r="B287" s="101"/>
      <c r="C287" s="92" t="s">
        <v>675</v>
      </c>
      <c r="D287" s="92"/>
      <c r="F287" s="104">
        <f>SUM(F286)</f>
        <v>0</v>
      </c>
      <c r="G287" s="104">
        <f>F287</f>
        <v>0</v>
      </c>
      <c r="H287" s="105">
        <f>VLOOKUP(A287,Data!$A$2:$Z$179,24,FALSE)</f>
        <v>27</v>
      </c>
      <c r="I287" s="105">
        <f>VLOOKUP(A287,Data!$A$2:$Z$179,25,FALSE)</f>
        <v>6.48</v>
      </c>
      <c r="J287" s="105">
        <f>VLOOKUP(A287,Data!$A$2:$Z$179,7,FALSE)</f>
        <v>20.52</v>
      </c>
      <c r="K287" s="105">
        <f>$F287*J287</f>
        <v>0</v>
      </c>
      <c r="L287" s="105">
        <f>VLOOKUP(A287,Data!$A$2:$Z$179,8,FALSE)</f>
        <v>0</v>
      </c>
      <c r="M287" s="105">
        <f>L287*F287</f>
        <v>0</v>
      </c>
      <c r="N287" s="105">
        <f>VLOOKUP(A287,Data!$A$2:$Z$179,9,FALSE)</f>
        <v>0</v>
      </c>
      <c r="O287" s="105">
        <f>VLOOKUP(A286,Data!$A$2:$Z$179,10,FALSE)</f>
        <v>3.8580000000000001</v>
      </c>
      <c r="P287" s="105">
        <f>O287*F287</f>
        <v>0</v>
      </c>
      <c r="Q287" s="105">
        <f>VLOOKUP(A287,Data!$A$2:$Z$179,11,FALSE)</f>
        <v>0</v>
      </c>
      <c r="R287" s="105">
        <f t="shared" si="97"/>
        <v>0</v>
      </c>
      <c r="S287" s="105">
        <f>VLOOKUP(A287,Data!$A$2:$Z$179,12,FALSE)</f>
        <v>0</v>
      </c>
      <c r="T287" s="105">
        <f>S287*F287</f>
        <v>0</v>
      </c>
      <c r="U287" s="105">
        <f>VLOOKUP(A287,Data!$A$2:$Z$179,13,FALSE)</f>
        <v>6.9813869529354101E-4</v>
      </c>
      <c r="V287" s="91">
        <f t="shared" si="88"/>
        <v>0</v>
      </c>
      <c r="W287" s="105">
        <f>VLOOKUP(A287,Data!$A$2:$Z$179,22,FALSE)</f>
        <v>0</v>
      </c>
      <c r="X287" s="105">
        <f>W287*F287</f>
        <v>0</v>
      </c>
      <c r="Y287" s="105">
        <f>VLOOKUP(A287,Data!$A$2:$Z$179,19,FALSE)</f>
        <v>0</v>
      </c>
      <c r="Z287" s="105">
        <f t="shared" si="100"/>
        <v>0</v>
      </c>
      <c r="AA287" s="105">
        <f>VLOOKUP(A287,Data!$A$2:$Z$179,20,FALSE)</f>
        <v>0</v>
      </c>
      <c r="AB287" s="105">
        <f t="shared" si="84"/>
        <v>0</v>
      </c>
      <c r="AC287" s="105">
        <f>VLOOKUP(A287,Data!$A$2:$Z$179,21,FALSE)</f>
        <v>0</v>
      </c>
      <c r="AD287" s="105">
        <f t="shared" si="93"/>
        <v>0</v>
      </c>
      <c r="AE287" s="105">
        <f>J287+L287+N287+O287+Q287+S287+U287+W287+Y287+AA287+AC287</f>
        <v>24.378698138695295</v>
      </c>
      <c r="AF287" s="105">
        <f t="shared" si="94"/>
        <v>0</v>
      </c>
      <c r="AG287" s="105"/>
      <c r="AH287" s="106">
        <f>AE287-S287-W287</f>
        <v>24.378698138695295</v>
      </c>
      <c r="AI287" s="85">
        <f>AH287/AE287</f>
        <v>1</v>
      </c>
      <c r="AK287" s="106">
        <f t="shared" si="82"/>
        <v>3.8580000000000001</v>
      </c>
      <c r="AL287" s="106">
        <f t="shared" si="83"/>
        <v>3.8580000000000001</v>
      </c>
      <c r="AQ287" s="107"/>
      <c r="AS287" s="108"/>
    </row>
    <row r="288" spans="1:45" x14ac:dyDescent="0.2">
      <c r="B288" s="101"/>
      <c r="C288" s="92"/>
      <c r="D288" s="92"/>
      <c r="F288" s="109"/>
      <c r="G288" s="109"/>
      <c r="H288" s="109"/>
      <c r="I288" s="109"/>
      <c r="J288" s="105"/>
      <c r="K288" s="105"/>
      <c r="L288" s="105"/>
      <c r="M288" s="105">
        <f t="shared" si="95"/>
        <v>0</v>
      </c>
      <c r="N288" s="105"/>
      <c r="O288" s="105"/>
      <c r="P288" s="105">
        <f t="shared" si="96"/>
        <v>0</v>
      </c>
      <c r="Q288" s="105"/>
      <c r="R288" s="105">
        <f t="shared" si="97"/>
        <v>0</v>
      </c>
      <c r="S288" s="105"/>
      <c r="T288" s="105">
        <f t="shared" si="98"/>
        <v>0</v>
      </c>
      <c r="U288" s="105"/>
      <c r="V288" s="91">
        <f t="shared" si="88"/>
        <v>0</v>
      </c>
      <c r="W288" s="105"/>
      <c r="X288" s="105">
        <f t="shared" si="99"/>
        <v>0</v>
      </c>
      <c r="Y288" s="105"/>
      <c r="Z288" s="105">
        <f t="shared" si="100"/>
        <v>0</v>
      </c>
      <c r="AA288" s="105"/>
      <c r="AB288" s="105">
        <f t="shared" si="84"/>
        <v>0</v>
      </c>
      <c r="AC288" s="105"/>
      <c r="AD288" s="105">
        <f t="shared" si="93"/>
        <v>0</v>
      </c>
      <c r="AE288" s="105"/>
      <c r="AF288" s="105">
        <f t="shared" si="94"/>
        <v>0</v>
      </c>
      <c r="AG288" s="105"/>
      <c r="AH288" s="106"/>
      <c r="AK288" s="106">
        <f t="shared" si="82"/>
        <v>0</v>
      </c>
      <c r="AL288" s="106">
        <f t="shared" si="83"/>
        <v>0</v>
      </c>
      <c r="AQ288" s="107"/>
      <c r="AS288" s="108"/>
    </row>
    <row r="289" spans="1:45" x14ac:dyDescent="0.2">
      <c r="A289" s="85" t="s">
        <v>130</v>
      </c>
      <c r="B289" s="101" t="s">
        <v>55</v>
      </c>
      <c r="C289" s="86" t="s">
        <v>676</v>
      </c>
      <c r="F289" s="102">
        <f>E289</f>
        <v>0</v>
      </c>
      <c r="G289" s="102"/>
      <c r="H289" s="102"/>
      <c r="I289" s="102"/>
      <c r="J289" s="105"/>
      <c r="K289" s="105"/>
      <c r="L289" s="105"/>
      <c r="M289" s="105">
        <f t="shared" si="95"/>
        <v>0</v>
      </c>
      <c r="N289" s="105"/>
      <c r="O289" s="105"/>
      <c r="P289" s="105">
        <f t="shared" si="96"/>
        <v>0</v>
      </c>
      <c r="Q289" s="105"/>
      <c r="R289" s="105">
        <f t="shared" si="97"/>
        <v>0</v>
      </c>
      <c r="S289" s="105"/>
      <c r="T289" s="105">
        <f t="shared" si="98"/>
        <v>0</v>
      </c>
      <c r="U289" s="105"/>
      <c r="V289" s="91">
        <f t="shared" si="88"/>
        <v>0</v>
      </c>
      <c r="W289" s="105"/>
      <c r="X289" s="105">
        <f t="shared" si="99"/>
        <v>0</v>
      </c>
      <c r="Y289" s="105"/>
      <c r="Z289" s="105">
        <f t="shared" si="100"/>
        <v>0</v>
      </c>
      <c r="AA289" s="105"/>
      <c r="AB289" s="105">
        <f t="shared" si="84"/>
        <v>0</v>
      </c>
      <c r="AC289" s="105"/>
      <c r="AD289" s="105">
        <f t="shared" si="93"/>
        <v>0</v>
      </c>
      <c r="AE289" s="105"/>
      <c r="AF289" s="105">
        <f t="shared" si="94"/>
        <v>0</v>
      </c>
      <c r="AG289" s="105"/>
      <c r="AH289" s="106"/>
      <c r="AK289" s="106">
        <f t="shared" si="82"/>
        <v>0</v>
      </c>
      <c r="AL289" s="106">
        <f t="shared" si="83"/>
        <v>0</v>
      </c>
      <c r="AQ289" s="107"/>
      <c r="AS289" s="108"/>
    </row>
    <row r="290" spans="1:45" x14ac:dyDescent="0.2">
      <c r="A290" s="85" t="s">
        <v>130</v>
      </c>
      <c r="B290" s="101" t="s">
        <v>152</v>
      </c>
      <c r="C290" s="86" t="s">
        <v>676</v>
      </c>
      <c r="F290" s="102">
        <f>E290</f>
        <v>0</v>
      </c>
      <c r="G290" s="102"/>
      <c r="H290" s="102"/>
      <c r="I290" s="102"/>
      <c r="J290" s="105"/>
      <c r="K290" s="105"/>
      <c r="L290" s="105"/>
      <c r="M290" s="105">
        <f t="shared" si="95"/>
        <v>0</v>
      </c>
      <c r="N290" s="105"/>
      <c r="O290" s="105"/>
      <c r="P290" s="105">
        <f t="shared" si="96"/>
        <v>0</v>
      </c>
      <c r="Q290" s="105"/>
      <c r="R290" s="105">
        <f t="shared" si="97"/>
        <v>0</v>
      </c>
      <c r="S290" s="105"/>
      <c r="T290" s="105">
        <f t="shared" si="98"/>
        <v>0</v>
      </c>
      <c r="U290" s="105"/>
      <c r="V290" s="91">
        <f t="shared" si="88"/>
        <v>0</v>
      </c>
      <c r="W290" s="105"/>
      <c r="X290" s="105">
        <f t="shared" si="99"/>
        <v>0</v>
      </c>
      <c r="Y290" s="105"/>
      <c r="Z290" s="105">
        <f t="shared" si="100"/>
        <v>0</v>
      </c>
      <c r="AA290" s="105"/>
      <c r="AB290" s="105">
        <f>$F289*AA290</f>
        <v>0</v>
      </c>
      <c r="AC290" s="105"/>
      <c r="AD290" s="105">
        <f t="shared" si="93"/>
        <v>0</v>
      </c>
      <c r="AE290" s="105"/>
      <c r="AF290" s="105">
        <f t="shared" si="94"/>
        <v>0</v>
      </c>
      <c r="AG290" s="105"/>
      <c r="AH290" s="106"/>
      <c r="AK290" s="106">
        <f t="shared" si="82"/>
        <v>0</v>
      </c>
      <c r="AL290" s="106">
        <f t="shared" si="83"/>
        <v>0</v>
      </c>
      <c r="AQ290" s="107"/>
      <c r="AS290" s="108"/>
    </row>
    <row r="291" spans="1:45" x14ac:dyDescent="0.2">
      <c r="A291" s="85" t="s">
        <v>130</v>
      </c>
      <c r="B291" s="101"/>
      <c r="C291" s="92" t="s">
        <v>677</v>
      </c>
      <c r="D291" s="92"/>
      <c r="F291" s="104">
        <f>SUM(F289:F290)</f>
        <v>0</v>
      </c>
      <c r="G291" s="104">
        <f>F291</f>
        <v>0</v>
      </c>
      <c r="H291" s="105">
        <f>VLOOKUP(A291,Data!$A$2:$Z$179,24,FALSE)</f>
        <v>27</v>
      </c>
      <c r="I291" s="105">
        <f>VLOOKUP(A291,Data!$A$2:$Z$179,25,FALSE)</f>
        <v>0</v>
      </c>
      <c r="J291" s="105">
        <f>VLOOKUP(A291,Data!$A$2:$Z$179,7,FALSE)</f>
        <v>27</v>
      </c>
      <c r="K291" s="105">
        <f>$F291*J291</f>
        <v>0</v>
      </c>
      <c r="L291" s="105">
        <f>VLOOKUP(A291,Data!$A$2:$Z$179,8,FALSE)</f>
        <v>0</v>
      </c>
      <c r="M291" s="105">
        <f>L291*F291</f>
        <v>0</v>
      </c>
      <c r="N291" s="105">
        <f>VLOOKUP(A291,Data!$A$2:$Z$179,9,FALSE)</f>
        <v>0</v>
      </c>
      <c r="O291" s="105">
        <f>VLOOKUP(A290,Data!$A$2:$Z$179,10,FALSE)</f>
        <v>0</v>
      </c>
      <c r="P291" s="105">
        <f>O291*F291</f>
        <v>0</v>
      </c>
      <c r="Q291" s="105">
        <f>VLOOKUP(A291,Data!$A$2:$Z$179,11,FALSE)</f>
        <v>0</v>
      </c>
      <c r="R291" s="105">
        <f t="shared" si="97"/>
        <v>0</v>
      </c>
      <c r="S291" s="105">
        <f>VLOOKUP(A291,Data!$A$2:$Z$179,12,FALSE)</f>
        <v>0</v>
      </c>
      <c r="T291" s="105">
        <f>S291*F291</f>
        <v>0</v>
      </c>
      <c r="U291" s="105">
        <f>VLOOKUP(A291,Data!$A$2:$Z$179,13,FALSE)</f>
        <v>4.574759297186265E-2</v>
      </c>
      <c r="V291" s="91">
        <f t="shared" si="88"/>
        <v>0</v>
      </c>
      <c r="W291" s="105">
        <f>VLOOKUP(A291,Data!$A$2:$Z$179,22,FALSE)</f>
        <v>0</v>
      </c>
      <c r="X291" s="105">
        <f>W291*F291</f>
        <v>0</v>
      </c>
      <c r="Y291" s="105">
        <f>VLOOKUP(A291,Data!$A$2:$Z$179,19,FALSE)</f>
        <v>0</v>
      </c>
      <c r="Z291" s="105">
        <f t="shared" si="100"/>
        <v>0</v>
      </c>
      <c r="AA291" s="105">
        <f>VLOOKUP(A291,Data!$A$2:$Z$179,20,FALSE)</f>
        <v>0</v>
      </c>
      <c r="AB291" s="105">
        <f>$F291*AA291</f>
        <v>0</v>
      </c>
      <c r="AC291" s="105">
        <f>VLOOKUP(A291,Data!$A$2:$Z$179,21,FALSE)</f>
        <v>0</v>
      </c>
      <c r="AD291" s="105">
        <f t="shared" si="93"/>
        <v>0</v>
      </c>
      <c r="AE291" s="105">
        <f>J291+L291+N291+O291+Q291+S291+U291+W291+Y291+AA291+AC291</f>
        <v>27.045747592971864</v>
      </c>
      <c r="AF291" s="105">
        <f t="shared" si="94"/>
        <v>0</v>
      </c>
      <c r="AG291" s="105"/>
      <c r="AH291" s="106">
        <f>AE291-S291-W291</f>
        <v>27.045747592971864</v>
      </c>
      <c r="AI291" s="85">
        <f>AH291/AE291</f>
        <v>1</v>
      </c>
      <c r="AK291" s="106">
        <f t="shared" si="82"/>
        <v>0</v>
      </c>
      <c r="AL291" s="106">
        <f t="shared" si="83"/>
        <v>0</v>
      </c>
      <c r="AQ291" s="107"/>
      <c r="AS291" s="108"/>
    </row>
    <row r="292" spans="1:45" x14ac:dyDescent="0.2">
      <c r="B292" s="101"/>
      <c r="C292" s="92"/>
      <c r="D292" s="92"/>
      <c r="F292" s="109"/>
      <c r="G292" s="109"/>
      <c r="H292" s="109"/>
      <c r="I292" s="109"/>
      <c r="J292" s="105"/>
      <c r="K292" s="105"/>
      <c r="L292" s="105"/>
      <c r="M292" s="105">
        <f t="shared" si="95"/>
        <v>0</v>
      </c>
      <c r="N292" s="105"/>
      <c r="O292" s="105"/>
      <c r="P292" s="105">
        <f t="shared" si="96"/>
        <v>0</v>
      </c>
      <c r="Q292" s="105"/>
      <c r="R292" s="105">
        <f t="shared" si="97"/>
        <v>0</v>
      </c>
      <c r="S292" s="105"/>
      <c r="T292" s="105">
        <f t="shared" si="98"/>
        <v>0</v>
      </c>
      <c r="U292" s="105"/>
      <c r="V292" s="91">
        <f t="shared" si="88"/>
        <v>0</v>
      </c>
      <c r="W292" s="105"/>
      <c r="X292" s="105">
        <f t="shared" si="99"/>
        <v>0</v>
      </c>
      <c r="Y292" s="105"/>
      <c r="Z292" s="105">
        <f t="shared" si="100"/>
        <v>0</v>
      </c>
      <c r="AA292" s="105"/>
      <c r="AB292" s="105">
        <f>$F291*AA292</f>
        <v>0</v>
      </c>
      <c r="AC292" s="105"/>
      <c r="AD292" s="105">
        <f t="shared" si="93"/>
        <v>0</v>
      </c>
      <c r="AE292" s="105"/>
      <c r="AF292" s="105">
        <f t="shared" si="94"/>
        <v>0</v>
      </c>
      <c r="AG292" s="105"/>
      <c r="AH292" s="106"/>
      <c r="AK292" s="106">
        <f t="shared" si="82"/>
        <v>0</v>
      </c>
      <c r="AL292" s="106">
        <f t="shared" si="83"/>
        <v>0</v>
      </c>
      <c r="AQ292" s="107"/>
      <c r="AS292" s="108"/>
    </row>
    <row r="293" spans="1:45" x14ac:dyDescent="0.2">
      <c r="A293" s="112" t="s">
        <v>131</v>
      </c>
      <c r="B293" s="101" t="s">
        <v>55</v>
      </c>
      <c r="C293" s="113" t="s">
        <v>678</v>
      </c>
      <c r="F293" s="102">
        <f>E293</f>
        <v>0</v>
      </c>
      <c r="G293" s="103"/>
      <c r="H293" s="103"/>
      <c r="I293" s="103"/>
      <c r="J293" s="105"/>
      <c r="K293" s="105"/>
      <c r="L293" s="105"/>
      <c r="M293" s="105">
        <f t="shared" si="95"/>
        <v>0</v>
      </c>
      <c r="N293" s="105"/>
      <c r="O293" s="105"/>
      <c r="P293" s="105">
        <f t="shared" si="96"/>
        <v>0</v>
      </c>
      <c r="Q293" s="105"/>
      <c r="R293" s="105">
        <f t="shared" si="97"/>
        <v>0</v>
      </c>
      <c r="S293" s="105"/>
      <c r="T293" s="105">
        <f t="shared" si="98"/>
        <v>0</v>
      </c>
      <c r="U293" s="105"/>
      <c r="V293" s="91">
        <f t="shared" si="88"/>
        <v>0</v>
      </c>
      <c r="W293" s="105"/>
      <c r="X293" s="105">
        <f t="shared" si="99"/>
        <v>0</v>
      </c>
      <c r="Y293" s="105"/>
      <c r="Z293" s="105">
        <f t="shared" si="100"/>
        <v>0</v>
      </c>
      <c r="AA293" s="105"/>
      <c r="AB293" s="105">
        <f>$F292*AA293</f>
        <v>0</v>
      </c>
      <c r="AC293" s="105"/>
      <c r="AD293" s="105">
        <f t="shared" si="93"/>
        <v>0</v>
      </c>
      <c r="AE293" s="105"/>
      <c r="AF293" s="105">
        <f t="shared" si="94"/>
        <v>0</v>
      </c>
      <c r="AG293" s="105"/>
      <c r="AH293" s="106"/>
      <c r="AK293" s="106">
        <f t="shared" si="82"/>
        <v>0</v>
      </c>
      <c r="AL293" s="106">
        <f t="shared" si="83"/>
        <v>0</v>
      </c>
      <c r="AQ293" s="107"/>
      <c r="AS293" s="108"/>
    </row>
    <row r="294" spans="1:45" x14ac:dyDescent="0.2">
      <c r="A294" s="112" t="s">
        <v>131</v>
      </c>
      <c r="B294" s="101"/>
      <c r="C294" s="92" t="s">
        <v>679</v>
      </c>
      <c r="D294" s="92"/>
      <c r="F294" s="104">
        <f>SUM(F293)</f>
        <v>0</v>
      </c>
      <c r="G294" s="104">
        <f>F294</f>
        <v>0</v>
      </c>
      <c r="H294" s="105">
        <f>VLOOKUP(A294,Data!$A$2:$Z$179,24,FALSE)</f>
        <v>24.334</v>
      </c>
      <c r="I294" s="105">
        <f>VLOOKUP(A294,Data!$A$2:$Z$179,25,FALSE)</f>
        <v>0.871</v>
      </c>
      <c r="J294" s="105">
        <f>VLOOKUP(A294,Data!$A$2:$Z$179,7,FALSE)</f>
        <v>23.463000000000001</v>
      </c>
      <c r="K294" s="105">
        <f>$F294*J294</f>
        <v>0</v>
      </c>
      <c r="L294" s="105">
        <f>VLOOKUP(A294,Data!$A$2:$Z$179,8,FALSE)</f>
        <v>0</v>
      </c>
      <c r="M294" s="105">
        <f>L294*F294</f>
        <v>0</v>
      </c>
      <c r="N294" s="105">
        <f>VLOOKUP(A294,Data!$A$2:$Z$179,9,FALSE)</f>
        <v>0</v>
      </c>
      <c r="O294" s="105">
        <f>VLOOKUP(A293,Data!$A$2:$Z$179,10,FALSE)</f>
        <v>4.1339999999999995</v>
      </c>
      <c r="P294" s="105">
        <f>O294*F294</f>
        <v>0</v>
      </c>
      <c r="Q294" s="105">
        <f>VLOOKUP(A294,Data!$A$2:$Z$179,11,FALSE)</f>
        <v>0</v>
      </c>
      <c r="R294" s="105">
        <f t="shared" si="97"/>
        <v>0</v>
      </c>
      <c r="S294" s="105">
        <f>VLOOKUP(A294,Data!$A$2:$Z$179,12,FALSE)</f>
        <v>0</v>
      </c>
      <c r="T294" s="105">
        <f>S294*F294</f>
        <v>0</v>
      </c>
      <c r="U294" s="105">
        <f>VLOOKUP(A294,Data!$A$2:$Z$179,13,FALSE)</f>
        <v>2.1059479266112149E-2</v>
      </c>
      <c r="V294" s="91">
        <f t="shared" si="88"/>
        <v>0</v>
      </c>
      <c r="W294" s="105">
        <f>VLOOKUP(A294,Data!$A$2:$Z$179,22,FALSE)</f>
        <v>0</v>
      </c>
      <c r="X294" s="105">
        <f>W294*F294</f>
        <v>0</v>
      </c>
      <c r="Y294" s="105">
        <f>VLOOKUP(A294,Data!$A$2:$Z$179,19,FALSE)</f>
        <v>0</v>
      </c>
      <c r="Z294" s="105">
        <f t="shared" si="100"/>
        <v>0</v>
      </c>
      <c r="AA294" s="105">
        <f>VLOOKUP(A294,Data!$A$2:$Z$179,20,FALSE)</f>
        <v>0</v>
      </c>
      <c r="AB294" s="105">
        <f>$F294*AA294</f>
        <v>0</v>
      </c>
      <c r="AC294" s="105">
        <f>VLOOKUP(A294,Data!$A$2:$Z$179,21,FALSE)</f>
        <v>0</v>
      </c>
      <c r="AD294" s="105">
        <f t="shared" si="93"/>
        <v>0</v>
      </c>
      <c r="AE294" s="105">
        <f>J294+L294+N294+O294+Q294+S294+U294+W294+Y294+AA294+AC294</f>
        <v>27.618059479266112</v>
      </c>
      <c r="AF294" s="105">
        <f t="shared" si="94"/>
        <v>0</v>
      </c>
      <c r="AG294" s="105"/>
      <c r="AH294" s="106">
        <f>AE294-S294-W294</f>
        <v>27.618059479266112</v>
      </c>
      <c r="AI294" s="85">
        <f>AH294/AE294</f>
        <v>1</v>
      </c>
      <c r="AK294" s="106">
        <f t="shared" si="82"/>
        <v>4.1339999999999995</v>
      </c>
      <c r="AL294" s="106">
        <f t="shared" si="83"/>
        <v>4.1339999999999995</v>
      </c>
      <c r="AQ294" s="107"/>
      <c r="AR294" s="112"/>
      <c r="AS294" s="108"/>
    </row>
    <row r="295" spans="1:45" x14ac:dyDescent="0.2">
      <c r="B295" s="101"/>
      <c r="C295" s="92"/>
      <c r="D295" s="92"/>
      <c r="F295" s="109"/>
      <c r="G295" s="109"/>
      <c r="H295" s="109"/>
      <c r="I295" s="109"/>
      <c r="J295" s="105"/>
      <c r="K295" s="105"/>
      <c r="L295" s="105"/>
      <c r="M295" s="105">
        <f t="shared" si="95"/>
        <v>0</v>
      </c>
      <c r="N295" s="105"/>
      <c r="O295" s="105"/>
      <c r="P295" s="105">
        <f t="shared" si="96"/>
        <v>0</v>
      </c>
      <c r="Q295" s="105"/>
      <c r="R295" s="105">
        <f t="shared" si="97"/>
        <v>0</v>
      </c>
      <c r="S295" s="105"/>
      <c r="T295" s="105">
        <f t="shared" si="98"/>
        <v>0</v>
      </c>
      <c r="U295" s="105"/>
      <c r="V295" s="91">
        <f t="shared" si="88"/>
        <v>0</v>
      </c>
      <c r="W295" s="105"/>
      <c r="X295" s="105">
        <f t="shared" si="99"/>
        <v>0</v>
      </c>
      <c r="Y295" s="105"/>
      <c r="Z295" s="105">
        <f t="shared" si="100"/>
        <v>0</v>
      </c>
      <c r="AA295" s="105"/>
      <c r="AB295" s="105">
        <f t="shared" ref="AB295:AB302" si="101">$F295*AA295</f>
        <v>0</v>
      </c>
      <c r="AC295" s="105"/>
      <c r="AD295" s="105">
        <f t="shared" si="93"/>
        <v>0</v>
      </c>
      <c r="AE295" s="105"/>
      <c r="AF295" s="105">
        <f t="shared" si="94"/>
        <v>0</v>
      </c>
      <c r="AG295" s="105"/>
      <c r="AH295" s="106"/>
      <c r="AK295" s="106">
        <f t="shared" si="82"/>
        <v>0</v>
      </c>
      <c r="AL295" s="106">
        <f t="shared" si="83"/>
        <v>0</v>
      </c>
      <c r="AQ295" s="107"/>
      <c r="AR295" s="112"/>
      <c r="AS295" s="108"/>
    </row>
    <row r="296" spans="1:45" x14ac:dyDescent="0.2">
      <c r="A296" s="85" t="s">
        <v>132</v>
      </c>
      <c r="B296" s="101" t="s">
        <v>55</v>
      </c>
      <c r="C296" s="86" t="s">
        <v>680</v>
      </c>
      <c r="F296" s="102">
        <f>E296</f>
        <v>0</v>
      </c>
      <c r="G296" s="103"/>
      <c r="H296" s="103"/>
      <c r="I296" s="103"/>
      <c r="J296" s="105"/>
      <c r="K296" s="105"/>
      <c r="L296" s="105"/>
      <c r="M296" s="105">
        <f t="shared" si="95"/>
        <v>0</v>
      </c>
      <c r="N296" s="105"/>
      <c r="O296" s="105"/>
      <c r="P296" s="105">
        <f t="shared" si="96"/>
        <v>0</v>
      </c>
      <c r="Q296" s="105"/>
      <c r="R296" s="105">
        <f t="shared" si="97"/>
        <v>0</v>
      </c>
      <c r="S296" s="105"/>
      <c r="T296" s="105">
        <f t="shared" si="98"/>
        <v>0</v>
      </c>
      <c r="U296" s="105"/>
      <c r="V296" s="91">
        <f t="shared" si="88"/>
        <v>0</v>
      </c>
      <c r="W296" s="105"/>
      <c r="X296" s="105">
        <f t="shared" si="99"/>
        <v>0</v>
      </c>
      <c r="Y296" s="105"/>
      <c r="Z296" s="105">
        <f t="shared" si="100"/>
        <v>0</v>
      </c>
      <c r="AA296" s="105"/>
      <c r="AB296" s="105">
        <f t="shared" si="101"/>
        <v>0</v>
      </c>
      <c r="AC296" s="105"/>
      <c r="AD296" s="105">
        <f t="shared" si="93"/>
        <v>0</v>
      </c>
      <c r="AE296" s="105"/>
      <c r="AF296" s="105">
        <f t="shared" si="94"/>
        <v>0</v>
      </c>
      <c r="AG296" s="105"/>
      <c r="AH296" s="106"/>
      <c r="AK296" s="106">
        <f t="shared" si="82"/>
        <v>0</v>
      </c>
      <c r="AL296" s="106">
        <f t="shared" si="83"/>
        <v>0</v>
      </c>
      <c r="AQ296" s="107"/>
      <c r="AS296" s="108"/>
    </row>
    <row r="297" spans="1:45" x14ac:dyDescent="0.2">
      <c r="A297" s="85" t="s">
        <v>132</v>
      </c>
      <c r="B297" s="101"/>
      <c r="C297" s="92" t="s">
        <v>681</v>
      </c>
      <c r="D297" s="92"/>
      <c r="F297" s="104">
        <f>SUM(F296)</f>
        <v>0</v>
      </c>
      <c r="G297" s="104">
        <f>F297</f>
        <v>0</v>
      </c>
      <c r="H297" s="105">
        <f>VLOOKUP(A297,Data!$A$2:$Z$179,24,FALSE)</f>
        <v>27</v>
      </c>
      <c r="I297" s="105">
        <f>VLOOKUP(A297,Data!$A$2:$Z$179,25,FALSE)</f>
        <v>0</v>
      </c>
      <c r="J297" s="105">
        <f>VLOOKUP(A297,Data!$A$2:$Z$179,7,FALSE)</f>
        <v>27</v>
      </c>
      <c r="K297" s="105">
        <f>$F297*J297</f>
        <v>0</v>
      </c>
      <c r="L297" s="105">
        <f>VLOOKUP(A297,Data!$A$2:$Z$179,8,FALSE)</f>
        <v>0</v>
      </c>
      <c r="M297" s="105">
        <f>L297*F297</f>
        <v>0</v>
      </c>
      <c r="N297" s="105">
        <f>VLOOKUP(A297,Data!$A$2:$Z$179,9,FALSE)</f>
        <v>0</v>
      </c>
      <c r="O297" s="105">
        <f>VLOOKUP(A296,Data!$A$2:$Z$179,10,FALSE)</f>
        <v>0</v>
      </c>
      <c r="P297" s="105">
        <f>O297*F297</f>
        <v>0</v>
      </c>
      <c r="Q297" s="105">
        <f>VLOOKUP(A297,Data!$A$2:$Z$179,11,FALSE)</f>
        <v>0</v>
      </c>
      <c r="R297" s="105">
        <f t="shared" si="97"/>
        <v>0</v>
      </c>
      <c r="S297" s="105">
        <f>VLOOKUP(A297,Data!$A$2:$Z$179,12,FALSE)</f>
        <v>4.6100000000000003</v>
      </c>
      <c r="T297" s="105">
        <f>S297*F297</f>
        <v>0</v>
      </c>
      <c r="U297" s="105">
        <f>VLOOKUP(A297,Data!$A$2:$Z$179,13,FALSE)</f>
        <v>0.14431405902444164</v>
      </c>
      <c r="V297" s="91">
        <f t="shared" si="88"/>
        <v>0</v>
      </c>
      <c r="W297" s="105">
        <f>VLOOKUP(A297,Data!$A$2:$Z$179,22,FALSE)</f>
        <v>0</v>
      </c>
      <c r="X297" s="105">
        <f>W297*F297</f>
        <v>0</v>
      </c>
      <c r="Y297" s="105">
        <f>VLOOKUP(A297,Data!$A$2:$Z$179,19,FALSE)</f>
        <v>0</v>
      </c>
      <c r="Z297" s="105">
        <f t="shared" si="100"/>
        <v>0</v>
      </c>
      <c r="AA297" s="105">
        <f>VLOOKUP(A297,Data!$A$2:$Z$179,20,FALSE)</f>
        <v>0</v>
      </c>
      <c r="AB297" s="105">
        <f t="shared" si="101"/>
        <v>0</v>
      </c>
      <c r="AC297" s="105">
        <f>VLOOKUP(A297,Data!$A$2:$Z$179,21,FALSE)</f>
        <v>0</v>
      </c>
      <c r="AD297" s="105">
        <f t="shared" si="93"/>
        <v>0</v>
      </c>
      <c r="AE297" s="105">
        <f>J297+L297+N297+O297+Q297+S297+U297+W297+Y297+AA297+AC297</f>
        <v>31.754314059024441</v>
      </c>
      <c r="AF297" s="105">
        <f t="shared" si="94"/>
        <v>0</v>
      </c>
      <c r="AG297" s="105"/>
      <c r="AH297" s="106">
        <f>AE297-S297-W297</f>
        <v>27.144314059024442</v>
      </c>
      <c r="AI297" s="85">
        <f>AH297/AE297</f>
        <v>0.85482287567506576</v>
      </c>
      <c r="AK297" s="106">
        <f t="shared" si="82"/>
        <v>4.6100000000000003</v>
      </c>
      <c r="AL297" s="106">
        <f t="shared" si="83"/>
        <v>4.6100000000000003</v>
      </c>
      <c r="AQ297" s="107"/>
      <c r="AS297" s="108"/>
    </row>
    <row r="298" spans="1:45" x14ac:dyDescent="0.2">
      <c r="B298" s="101"/>
      <c r="C298" s="92"/>
      <c r="D298" s="92"/>
      <c r="F298" s="109"/>
      <c r="G298" s="109"/>
      <c r="H298" s="109"/>
      <c r="I298" s="109"/>
      <c r="J298" s="105"/>
      <c r="K298" s="105"/>
      <c r="L298" s="105"/>
      <c r="M298" s="105">
        <f t="shared" si="95"/>
        <v>0</v>
      </c>
      <c r="N298" s="105"/>
      <c r="O298" s="105"/>
      <c r="P298" s="105">
        <f t="shared" si="96"/>
        <v>0</v>
      </c>
      <c r="Q298" s="105"/>
      <c r="R298" s="105">
        <f t="shared" si="97"/>
        <v>0</v>
      </c>
      <c r="S298" s="105"/>
      <c r="T298" s="105">
        <f t="shared" si="98"/>
        <v>0</v>
      </c>
      <c r="U298" s="105"/>
      <c r="V298" s="91">
        <f t="shared" si="88"/>
        <v>0</v>
      </c>
      <c r="W298" s="105"/>
      <c r="X298" s="105">
        <f t="shared" si="99"/>
        <v>0</v>
      </c>
      <c r="Y298" s="105"/>
      <c r="Z298" s="105">
        <f t="shared" si="100"/>
        <v>0</v>
      </c>
      <c r="AA298" s="105"/>
      <c r="AB298" s="105">
        <f t="shared" si="101"/>
        <v>0</v>
      </c>
      <c r="AC298" s="105"/>
      <c r="AD298" s="105">
        <f t="shared" si="93"/>
        <v>0</v>
      </c>
      <c r="AE298" s="105"/>
      <c r="AF298" s="105">
        <f t="shared" si="94"/>
        <v>0</v>
      </c>
      <c r="AG298" s="105"/>
      <c r="AH298" s="106"/>
      <c r="AK298" s="106">
        <f t="shared" si="82"/>
        <v>0</v>
      </c>
      <c r="AL298" s="106">
        <f t="shared" si="83"/>
        <v>0</v>
      </c>
      <c r="AQ298" s="107"/>
      <c r="AS298" s="108"/>
    </row>
    <row r="299" spans="1:45" x14ac:dyDescent="0.2">
      <c r="A299" s="85" t="s">
        <v>133</v>
      </c>
      <c r="B299" s="101" t="s">
        <v>55</v>
      </c>
      <c r="C299" s="86" t="s">
        <v>682</v>
      </c>
      <c r="F299" s="102">
        <f>E299</f>
        <v>0</v>
      </c>
      <c r="G299" s="103"/>
      <c r="H299" s="103"/>
      <c r="I299" s="103"/>
      <c r="J299" s="105"/>
      <c r="K299" s="105"/>
      <c r="L299" s="105"/>
      <c r="M299" s="105">
        <f t="shared" si="95"/>
        <v>0</v>
      </c>
      <c r="N299" s="105"/>
      <c r="O299" s="105"/>
      <c r="P299" s="105">
        <f t="shared" si="96"/>
        <v>0</v>
      </c>
      <c r="Q299" s="105"/>
      <c r="R299" s="105">
        <f t="shared" si="97"/>
        <v>0</v>
      </c>
      <c r="S299" s="105"/>
      <c r="T299" s="105">
        <f t="shared" si="98"/>
        <v>0</v>
      </c>
      <c r="U299" s="105"/>
      <c r="V299" s="91">
        <f t="shared" si="88"/>
        <v>0</v>
      </c>
      <c r="W299" s="105"/>
      <c r="X299" s="105">
        <f t="shared" si="99"/>
        <v>0</v>
      </c>
      <c r="Y299" s="105"/>
      <c r="Z299" s="105">
        <f t="shared" si="100"/>
        <v>0</v>
      </c>
      <c r="AA299" s="105"/>
      <c r="AB299" s="105">
        <f t="shared" si="101"/>
        <v>0</v>
      </c>
      <c r="AC299" s="105"/>
      <c r="AD299" s="105">
        <f t="shared" si="93"/>
        <v>0</v>
      </c>
      <c r="AE299" s="105"/>
      <c r="AF299" s="105">
        <f t="shared" si="94"/>
        <v>0</v>
      </c>
      <c r="AG299" s="105"/>
      <c r="AH299" s="106"/>
      <c r="AK299" s="106">
        <f t="shared" si="82"/>
        <v>0</v>
      </c>
      <c r="AL299" s="106">
        <f t="shared" si="83"/>
        <v>0</v>
      </c>
      <c r="AQ299" s="107"/>
      <c r="AS299" s="108"/>
    </row>
    <row r="300" spans="1:45" x14ac:dyDescent="0.2">
      <c r="A300" s="85" t="s">
        <v>133</v>
      </c>
      <c r="B300" s="101"/>
      <c r="C300" s="92" t="s">
        <v>683</v>
      </c>
      <c r="D300" s="92"/>
      <c r="F300" s="104">
        <f>SUM(F299)</f>
        <v>0</v>
      </c>
      <c r="G300" s="104">
        <f>F300</f>
        <v>0</v>
      </c>
      <c r="H300" s="105">
        <f>VLOOKUP(A300,Data!$A$2:$Z$179,24,FALSE)</f>
        <v>27</v>
      </c>
      <c r="I300" s="105">
        <f>VLOOKUP(A300,Data!$A$2:$Z$179,25,FALSE)</f>
        <v>3.8120000000000003</v>
      </c>
      <c r="J300" s="105">
        <f>VLOOKUP(A300,Data!$A$2:$Z$179,7,FALSE)</f>
        <v>23.187999999999999</v>
      </c>
      <c r="K300" s="105">
        <f>$F300*J300</f>
        <v>0</v>
      </c>
      <c r="L300" s="105">
        <f>VLOOKUP(A300,Data!$A$2:$Z$179,8,FALSE)</f>
        <v>0</v>
      </c>
      <c r="M300" s="105">
        <f>L300*F300</f>
        <v>0</v>
      </c>
      <c r="N300" s="105">
        <f>VLOOKUP(A300,Data!$A$2:$Z$179,9,FALSE)</f>
        <v>0</v>
      </c>
      <c r="O300" s="105">
        <f>VLOOKUP(A299,Data!$A$2:$Z$179,10,FALSE)</f>
        <v>0</v>
      </c>
      <c r="P300" s="105">
        <f>O300*F300</f>
        <v>0</v>
      </c>
      <c r="Q300" s="105">
        <f>VLOOKUP(A300,Data!$A$2:$Z$179,11,FALSE)</f>
        <v>0</v>
      </c>
      <c r="R300" s="105">
        <f t="shared" si="97"/>
        <v>0</v>
      </c>
      <c r="S300" s="105">
        <f>VLOOKUP(A300,Data!$A$2:$Z$179,12,FALSE)</f>
        <v>0</v>
      </c>
      <c r="T300" s="105">
        <f>S300*F300</f>
        <v>0</v>
      </c>
      <c r="U300" s="105">
        <f>VLOOKUP(A300,Data!$A$2:$Z$179,13,FALSE)</f>
        <v>1.1470081419144016E-2</v>
      </c>
      <c r="V300" s="91">
        <f t="shared" si="88"/>
        <v>0</v>
      </c>
      <c r="W300" s="105">
        <f>VLOOKUP(A300,Data!$A$2:$Z$179,22,FALSE)</f>
        <v>0</v>
      </c>
      <c r="X300" s="105">
        <f>W300*F300</f>
        <v>0</v>
      </c>
      <c r="Y300" s="105">
        <f>VLOOKUP(A300,Data!$A$2:$Z$179,19,FALSE)</f>
        <v>0</v>
      </c>
      <c r="Z300" s="105">
        <f t="shared" si="100"/>
        <v>0</v>
      </c>
      <c r="AA300" s="105">
        <f>VLOOKUP(A300,Data!$A$2:$Z$179,20,FALSE)</f>
        <v>0</v>
      </c>
      <c r="AB300" s="105">
        <f t="shared" si="101"/>
        <v>0</v>
      </c>
      <c r="AC300" s="105">
        <f>VLOOKUP(A300,Data!$A$2:$Z$179,21,FALSE)</f>
        <v>0</v>
      </c>
      <c r="AD300" s="105">
        <f t="shared" si="93"/>
        <v>0</v>
      </c>
      <c r="AE300" s="105">
        <f>J300+L300+N300+O300+Q300+S300+U300+W300+Y300+AA300+AC300</f>
        <v>23.199470081419143</v>
      </c>
      <c r="AF300" s="105">
        <f t="shared" si="94"/>
        <v>0</v>
      </c>
      <c r="AG300" s="105"/>
      <c r="AH300" s="106">
        <f>AE300-S300-W300</f>
        <v>23.199470081419143</v>
      </c>
      <c r="AI300" s="85">
        <f>AH300/AE300</f>
        <v>1</v>
      </c>
      <c r="AK300" s="106">
        <f t="shared" si="82"/>
        <v>0</v>
      </c>
      <c r="AL300" s="106">
        <f t="shared" si="83"/>
        <v>0</v>
      </c>
      <c r="AQ300" s="107"/>
      <c r="AS300" s="108"/>
    </row>
    <row r="301" spans="1:45" x14ac:dyDescent="0.2">
      <c r="B301" s="101"/>
      <c r="C301" s="92"/>
      <c r="D301" s="92"/>
      <c r="F301" s="109"/>
      <c r="G301" s="109"/>
      <c r="H301" s="109"/>
      <c r="I301" s="109"/>
      <c r="J301" s="105"/>
      <c r="K301" s="105"/>
      <c r="L301" s="105"/>
      <c r="M301" s="105">
        <f t="shared" si="95"/>
        <v>0</v>
      </c>
      <c r="N301" s="105"/>
      <c r="O301" s="105"/>
      <c r="P301" s="105">
        <f t="shared" si="96"/>
        <v>0</v>
      </c>
      <c r="Q301" s="105"/>
      <c r="R301" s="105">
        <f t="shared" si="97"/>
        <v>0</v>
      </c>
      <c r="S301" s="105"/>
      <c r="T301" s="105">
        <f t="shared" si="98"/>
        <v>0</v>
      </c>
      <c r="U301" s="105"/>
      <c r="V301" s="91">
        <f t="shared" si="88"/>
        <v>0</v>
      </c>
      <c r="W301" s="105"/>
      <c r="X301" s="105">
        <f t="shared" si="99"/>
        <v>0</v>
      </c>
      <c r="Y301" s="105"/>
      <c r="Z301" s="105">
        <f t="shared" si="100"/>
        <v>0</v>
      </c>
      <c r="AA301" s="105"/>
      <c r="AB301" s="105">
        <f t="shared" si="101"/>
        <v>0</v>
      </c>
      <c r="AC301" s="105"/>
      <c r="AD301" s="105">
        <f t="shared" si="93"/>
        <v>0</v>
      </c>
      <c r="AE301" s="105"/>
      <c r="AF301" s="105">
        <f t="shared" si="94"/>
        <v>0</v>
      </c>
      <c r="AG301" s="105"/>
      <c r="AH301" s="106"/>
      <c r="AK301" s="106">
        <f t="shared" si="82"/>
        <v>0</v>
      </c>
      <c r="AL301" s="106">
        <f t="shared" si="83"/>
        <v>0</v>
      </c>
      <c r="AQ301" s="107"/>
      <c r="AS301" s="108"/>
    </row>
    <row r="302" spans="1:45" x14ac:dyDescent="0.2">
      <c r="A302" s="85" t="s">
        <v>134</v>
      </c>
      <c r="B302" s="101" t="s">
        <v>55</v>
      </c>
      <c r="C302" s="86" t="s">
        <v>684</v>
      </c>
      <c r="F302" s="102">
        <f>E302</f>
        <v>0</v>
      </c>
      <c r="G302" s="102"/>
      <c r="H302" s="102"/>
      <c r="I302" s="102"/>
      <c r="J302" s="105"/>
      <c r="K302" s="105"/>
      <c r="L302" s="105"/>
      <c r="M302" s="105">
        <f t="shared" si="95"/>
        <v>0</v>
      </c>
      <c r="N302" s="105"/>
      <c r="O302" s="105"/>
      <c r="P302" s="105">
        <f t="shared" si="96"/>
        <v>0</v>
      </c>
      <c r="Q302" s="105"/>
      <c r="R302" s="105">
        <f t="shared" si="97"/>
        <v>0</v>
      </c>
      <c r="S302" s="105"/>
      <c r="T302" s="105">
        <f t="shared" si="98"/>
        <v>0</v>
      </c>
      <c r="U302" s="105"/>
      <c r="V302" s="91">
        <f t="shared" si="88"/>
        <v>0</v>
      </c>
      <c r="W302" s="105"/>
      <c r="X302" s="105">
        <f t="shared" si="99"/>
        <v>0</v>
      </c>
      <c r="Y302" s="105"/>
      <c r="Z302" s="105">
        <f t="shared" si="100"/>
        <v>0</v>
      </c>
      <c r="AA302" s="105"/>
      <c r="AB302" s="105">
        <f t="shared" si="101"/>
        <v>0</v>
      </c>
      <c r="AC302" s="105"/>
      <c r="AD302" s="105">
        <f t="shared" si="93"/>
        <v>0</v>
      </c>
      <c r="AE302" s="105"/>
      <c r="AF302" s="105">
        <f t="shared" si="94"/>
        <v>0</v>
      </c>
      <c r="AG302" s="105"/>
      <c r="AH302" s="106"/>
      <c r="AK302" s="106">
        <f t="shared" si="82"/>
        <v>0</v>
      </c>
      <c r="AL302" s="106">
        <f t="shared" si="83"/>
        <v>0</v>
      </c>
      <c r="AQ302" s="107"/>
      <c r="AS302" s="108"/>
    </row>
    <row r="303" spans="1:45" x14ac:dyDescent="0.2">
      <c r="A303" s="85" t="s">
        <v>134</v>
      </c>
      <c r="B303" s="101" t="s">
        <v>254</v>
      </c>
      <c r="C303" s="86" t="s">
        <v>684</v>
      </c>
      <c r="F303" s="102">
        <f>E303</f>
        <v>0</v>
      </c>
      <c r="G303" s="102"/>
      <c r="H303" s="102"/>
      <c r="I303" s="102"/>
      <c r="J303" s="105"/>
      <c r="K303" s="105"/>
      <c r="L303" s="105"/>
      <c r="M303" s="105">
        <f t="shared" si="95"/>
        <v>0</v>
      </c>
      <c r="N303" s="105"/>
      <c r="O303" s="105"/>
      <c r="P303" s="105">
        <f t="shared" si="96"/>
        <v>0</v>
      </c>
      <c r="Q303" s="105"/>
      <c r="R303" s="105">
        <f t="shared" si="97"/>
        <v>0</v>
      </c>
      <c r="S303" s="105"/>
      <c r="T303" s="105">
        <f t="shared" si="98"/>
        <v>0</v>
      </c>
      <c r="U303" s="105"/>
      <c r="V303" s="91">
        <f t="shared" si="88"/>
        <v>0</v>
      </c>
      <c r="W303" s="105"/>
      <c r="X303" s="105">
        <f t="shared" si="99"/>
        <v>0</v>
      </c>
      <c r="Y303" s="105"/>
      <c r="Z303" s="105">
        <f t="shared" si="100"/>
        <v>0</v>
      </c>
      <c r="AA303" s="105"/>
      <c r="AB303" s="105">
        <f>$F302*AA303</f>
        <v>0</v>
      </c>
      <c r="AC303" s="105"/>
      <c r="AD303" s="105">
        <f t="shared" si="93"/>
        <v>0</v>
      </c>
      <c r="AE303" s="105"/>
      <c r="AF303" s="105">
        <f t="shared" si="94"/>
        <v>0</v>
      </c>
      <c r="AG303" s="105"/>
      <c r="AH303" s="106"/>
      <c r="AK303" s="106">
        <f t="shared" si="82"/>
        <v>0</v>
      </c>
      <c r="AL303" s="106">
        <f t="shared" si="83"/>
        <v>0</v>
      </c>
      <c r="AQ303" s="107"/>
      <c r="AS303" s="108"/>
    </row>
    <row r="304" spans="1:45" x14ac:dyDescent="0.2">
      <c r="A304" s="85" t="s">
        <v>134</v>
      </c>
      <c r="B304" s="101"/>
      <c r="C304" s="92" t="s">
        <v>685</v>
      </c>
      <c r="D304" s="92"/>
      <c r="F304" s="104">
        <f>SUM(F302:F303)</f>
        <v>0</v>
      </c>
      <c r="G304" s="104">
        <f>F304</f>
        <v>0</v>
      </c>
      <c r="H304" s="105">
        <f>VLOOKUP(A304,Data!$A$2:$Z$179,24,FALSE)</f>
        <v>27</v>
      </c>
      <c r="I304" s="105">
        <f>VLOOKUP(A304,Data!$A$2:$Z$179,25,FALSE)</f>
        <v>1.8199999999999998</v>
      </c>
      <c r="J304" s="105">
        <f>VLOOKUP(A304,Data!$A$2:$Z$179,7,FALSE)</f>
        <v>25.18</v>
      </c>
      <c r="K304" s="105">
        <f>$F304*J304</f>
        <v>0</v>
      </c>
      <c r="L304" s="105">
        <f>VLOOKUP(A304,Data!$A$2:$Z$179,8,FALSE)</f>
        <v>0</v>
      </c>
      <c r="M304" s="105">
        <f>L304*F304</f>
        <v>0</v>
      </c>
      <c r="N304" s="105">
        <f>VLOOKUP(A304,Data!$A$2:$Z$179,9,FALSE)</f>
        <v>0</v>
      </c>
      <c r="O304" s="105">
        <f>VLOOKUP(A303,Data!$A$2:$Z$179,10,FALSE)</f>
        <v>0</v>
      </c>
      <c r="P304" s="105">
        <f>O304*F304</f>
        <v>0</v>
      </c>
      <c r="Q304" s="105">
        <f>VLOOKUP(A304,Data!$A$2:$Z$179,11,FALSE)</f>
        <v>0</v>
      </c>
      <c r="R304" s="105">
        <f t="shared" si="97"/>
        <v>0</v>
      </c>
      <c r="S304" s="105">
        <f>VLOOKUP(A304,Data!$A$2:$Z$179,12,FALSE)</f>
        <v>3.5150000000000001</v>
      </c>
      <c r="T304" s="105">
        <f>S304*F304</f>
        <v>0</v>
      </c>
      <c r="U304" s="105">
        <f>VLOOKUP(A304,Data!$A$2:$Z$179,13,FALSE)</f>
        <v>7.9762552503151216E-2</v>
      </c>
      <c r="V304" s="91">
        <f t="shared" si="88"/>
        <v>0</v>
      </c>
      <c r="W304" s="105">
        <f>VLOOKUP(A304,Data!$A$2:$Z$179,22,FALSE)</f>
        <v>0</v>
      </c>
      <c r="X304" s="105">
        <f>W304*F304</f>
        <v>0</v>
      </c>
      <c r="Y304" s="105">
        <f>VLOOKUP(A304,Data!$A$2:$Z$179,19,FALSE)</f>
        <v>0</v>
      </c>
      <c r="Z304" s="105">
        <f t="shared" si="100"/>
        <v>0</v>
      </c>
      <c r="AA304" s="105">
        <f>VLOOKUP(A304,Data!$A$2:$Z$179,20,FALSE)</f>
        <v>0</v>
      </c>
      <c r="AB304" s="105">
        <f>$F304*AA304</f>
        <v>0</v>
      </c>
      <c r="AC304" s="105">
        <f>VLOOKUP(A304,Data!$A$2:$Z$179,21,FALSE)</f>
        <v>0</v>
      </c>
      <c r="AD304" s="105">
        <f t="shared" si="93"/>
        <v>0</v>
      </c>
      <c r="AE304" s="105">
        <f>J304+L304+N304+O304+Q304+S304+U304+W304+Y304+AA304+AC304</f>
        <v>28.774762552503152</v>
      </c>
      <c r="AF304" s="105">
        <f t="shared" si="94"/>
        <v>0</v>
      </c>
      <c r="AG304" s="105"/>
      <c r="AH304" s="106">
        <f>AE304-S304-W304</f>
        <v>25.259762552503151</v>
      </c>
      <c r="AI304" s="85">
        <f>AH304/AE304</f>
        <v>0.8778443438556115</v>
      </c>
      <c r="AK304" s="106">
        <f t="shared" si="82"/>
        <v>3.5150000000000001</v>
      </c>
      <c r="AL304" s="106">
        <f t="shared" si="83"/>
        <v>3.5150000000000001</v>
      </c>
      <c r="AQ304" s="107"/>
      <c r="AR304" s="112"/>
      <c r="AS304" s="108"/>
    </row>
    <row r="305" spans="1:45" x14ac:dyDescent="0.2">
      <c r="B305" s="101"/>
      <c r="C305" s="92"/>
      <c r="D305" s="92"/>
      <c r="F305" s="102"/>
      <c r="G305" s="109"/>
      <c r="H305" s="109"/>
      <c r="I305" s="109"/>
      <c r="J305" s="105"/>
      <c r="K305" s="105"/>
      <c r="L305" s="105"/>
      <c r="M305" s="105">
        <f t="shared" si="95"/>
        <v>0</v>
      </c>
      <c r="N305" s="105"/>
      <c r="O305" s="105"/>
      <c r="P305" s="105">
        <f t="shared" si="96"/>
        <v>0</v>
      </c>
      <c r="Q305" s="105"/>
      <c r="R305" s="105">
        <f t="shared" si="97"/>
        <v>0</v>
      </c>
      <c r="S305" s="105"/>
      <c r="T305" s="105">
        <f t="shared" si="98"/>
        <v>0</v>
      </c>
      <c r="U305" s="105"/>
      <c r="V305" s="91">
        <f t="shared" si="88"/>
        <v>0</v>
      </c>
      <c r="W305" s="105"/>
      <c r="X305" s="105">
        <f t="shared" si="99"/>
        <v>0</v>
      </c>
      <c r="Y305" s="105"/>
      <c r="Z305" s="105">
        <f t="shared" si="100"/>
        <v>0</v>
      </c>
      <c r="AA305" s="105"/>
      <c r="AB305" s="105">
        <f>$F304*AA305</f>
        <v>0</v>
      </c>
      <c r="AC305" s="105"/>
      <c r="AD305" s="105">
        <f t="shared" si="93"/>
        <v>0</v>
      </c>
      <c r="AE305" s="105"/>
      <c r="AF305" s="105">
        <f t="shared" si="94"/>
        <v>0</v>
      </c>
      <c r="AG305" s="105"/>
      <c r="AH305" s="106"/>
      <c r="AK305" s="106">
        <f t="shared" si="82"/>
        <v>0</v>
      </c>
      <c r="AL305" s="106">
        <f t="shared" si="83"/>
        <v>0</v>
      </c>
      <c r="AQ305" s="107"/>
      <c r="AR305" s="112"/>
      <c r="AS305" s="108"/>
    </row>
    <row r="306" spans="1:45" x14ac:dyDescent="0.2">
      <c r="A306" s="112" t="s">
        <v>135</v>
      </c>
      <c r="B306" s="101" t="s">
        <v>136</v>
      </c>
      <c r="C306" s="86" t="s">
        <v>686</v>
      </c>
      <c r="F306" s="102">
        <f>E306</f>
        <v>0</v>
      </c>
      <c r="G306" s="103"/>
      <c r="H306" s="103"/>
      <c r="I306" s="103"/>
      <c r="J306" s="105"/>
      <c r="K306" s="105"/>
      <c r="L306" s="105"/>
      <c r="M306" s="105">
        <f t="shared" si="95"/>
        <v>0</v>
      </c>
      <c r="N306" s="105"/>
      <c r="O306" s="105"/>
      <c r="P306" s="105">
        <f t="shared" si="96"/>
        <v>0</v>
      </c>
      <c r="Q306" s="105"/>
      <c r="R306" s="105">
        <f t="shared" si="97"/>
        <v>0</v>
      </c>
      <c r="S306" s="105"/>
      <c r="T306" s="105">
        <f t="shared" si="98"/>
        <v>0</v>
      </c>
      <c r="U306" s="105"/>
      <c r="V306" s="91">
        <f t="shared" si="88"/>
        <v>0</v>
      </c>
      <c r="W306" s="105"/>
      <c r="X306" s="105">
        <f t="shared" si="99"/>
        <v>0</v>
      </c>
      <c r="Y306" s="105"/>
      <c r="Z306" s="105">
        <f t="shared" si="100"/>
        <v>0</v>
      </c>
      <c r="AA306" s="105"/>
      <c r="AB306" s="105">
        <f>$F305*AA306</f>
        <v>0</v>
      </c>
      <c r="AC306" s="105"/>
      <c r="AD306" s="105">
        <f t="shared" si="93"/>
        <v>0</v>
      </c>
      <c r="AE306" s="105"/>
      <c r="AF306" s="105">
        <f t="shared" si="94"/>
        <v>0</v>
      </c>
      <c r="AG306" s="105"/>
      <c r="AH306" s="106"/>
      <c r="AK306" s="106">
        <f t="shared" si="82"/>
        <v>0</v>
      </c>
      <c r="AL306" s="106">
        <f t="shared" si="83"/>
        <v>0</v>
      </c>
      <c r="AQ306" s="107"/>
      <c r="AR306" s="112"/>
      <c r="AS306" s="108"/>
    </row>
    <row r="307" spans="1:45" x14ac:dyDescent="0.2">
      <c r="A307" s="112" t="s">
        <v>135</v>
      </c>
      <c r="B307" s="101"/>
      <c r="C307" s="92" t="s">
        <v>687</v>
      </c>
      <c r="D307" s="92"/>
      <c r="F307" s="104">
        <f>SUM(F306)</f>
        <v>0</v>
      </c>
      <c r="G307" s="104">
        <f>F307</f>
        <v>0</v>
      </c>
      <c r="H307" s="105">
        <f>VLOOKUP(A307,Data!$A$2:$Z$179,24,FALSE)</f>
        <v>26.513999999999999</v>
      </c>
      <c r="I307" s="105">
        <f>VLOOKUP(A307,Data!$A$2:$Z$179,25,FALSE)</f>
        <v>2.0449999999999999</v>
      </c>
      <c r="J307" s="105">
        <f>VLOOKUP(A307,Data!$A$2:$Z$179,7,FALSE)</f>
        <v>24.469000000000001</v>
      </c>
      <c r="K307" s="105">
        <f>$F307*J307</f>
        <v>0</v>
      </c>
      <c r="L307" s="105">
        <f>VLOOKUP(A307,Data!$A$2:$Z$179,8,FALSE)</f>
        <v>0</v>
      </c>
      <c r="M307" s="105">
        <f>L307*F307</f>
        <v>0</v>
      </c>
      <c r="N307" s="105">
        <f>VLOOKUP(A307,Data!$A$2:$Z$179,9,FALSE)</f>
        <v>0</v>
      </c>
      <c r="O307" s="105">
        <f>VLOOKUP(A306,Data!$A$2:$Z$179,10,FALSE)</f>
        <v>0</v>
      </c>
      <c r="P307" s="105">
        <f>O307*F307</f>
        <v>0</v>
      </c>
      <c r="Q307" s="105">
        <f>VLOOKUP(A307,Data!$A$2:$Z$179,11,FALSE)</f>
        <v>0</v>
      </c>
      <c r="R307" s="105">
        <f t="shared" si="97"/>
        <v>0</v>
      </c>
      <c r="S307" s="105">
        <f>VLOOKUP(A307,Data!$A$2:$Z$179,12,FALSE)</f>
        <v>2.9849999999999999</v>
      </c>
      <c r="T307" s="105">
        <f>S307*F307</f>
        <v>0</v>
      </c>
      <c r="U307" s="105">
        <f>VLOOKUP(A307,Data!$A$2:$Z$179,13,FALSE)</f>
        <v>0</v>
      </c>
      <c r="V307" s="91">
        <f t="shared" si="88"/>
        <v>0</v>
      </c>
      <c r="W307" s="105">
        <f>VLOOKUP(A307,Data!$A$2:$Z$179,22,FALSE)</f>
        <v>0</v>
      </c>
      <c r="X307" s="105">
        <f>W307*F307</f>
        <v>0</v>
      </c>
      <c r="Y307" s="105">
        <f>VLOOKUP(A307,Data!$A$2:$Z$179,19,FALSE)</f>
        <v>0</v>
      </c>
      <c r="Z307" s="105">
        <f t="shared" si="100"/>
        <v>0</v>
      </c>
      <c r="AA307" s="105">
        <f>VLOOKUP(A307,Data!$A$2:$Z$179,20,FALSE)</f>
        <v>0</v>
      </c>
      <c r="AB307" s="105">
        <f t="shared" ref="AB307:AB312" si="102">$F307*AA307</f>
        <v>0</v>
      </c>
      <c r="AC307" s="105">
        <f>VLOOKUP(A307,Data!$A$2:$Z$179,21,FALSE)</f>
        <v>0</v>
      </c>
      <c r="AD307" s="105">
        <f t="shared" si="93"/>
        <v>0</v>
      </c>
      <c r="AE307" s="105">
        <f>J307+L307+N307+O307+Q307+S307+U307+W307+Y307+AA307+AC307</f>
        <v>27.454000000000001</v>
      </c>
      <c r="AF307" s="105">
        <f t="shared" si="94"/>
        <v>0</v>
      </c>
      <c r="AG307" s="105"/>
      <c r="AH307" s="106">
        <f>AE307-S307-W307</f>
        <v>24.469000000000001</v>
      </c>
      <c r="AI307" s="85">
        <f>AH307/AE307</f>
        <v>0.89127267429154222</v>
      </c>
      <c r="AK307" s="106">
        <f t="shared" si="82"/>
        <v>2.9849999999999999</v>
      </c>
      <c r="AL307" s="106">
        <f t="shared" si="83"/>
        <v>2.9849999999999999</v>
      </c>
      <c r="AQ307" s="107"/>
      <c r="AR307" s="112"/>
      <c r="AS307" s="108"/>
    </row>
    <row r="308" spans="1:45" x14ac:dyDescent="0.2">
      <c r="B308" s="101"/>
      <c r="C308" s="92"/>
      <c r="D308" s="92"/>
      <c r="F308" s="109"/>
      <c r="G308" s="109"/>
      <c r="H308" s="109"/>
      <c r="I308" s="109"/>
      <c r="J308" s="105"/>
      <c r="K308" s="105"/>
      <c r="L308" s="105"/>
      <c r="M308" s="105">
        <f t="shared" si="95"/>
        <v>0</v>
      </c>
      <c r="N308" s="105"/>
      <c r="O308" s="105"/>
      <c r="P308" s="105">
        <f t="shared" si="96"/>
        <v>0</v>
      </c>
      <c r="Q308" s="105"/>
      <c r="R308" s="105">
        <f t="shared" si="97"/>
        <v>0</v>
      </c>
      <c r="S308" s="105"/>
      <c r="T308" s="105">
        <f t="shared" si="98"/>
        <v>0</v>
      </c>
      <c r="U308" s="105"/>
      <c r="V308" s="91">
        <f t="shared" si="88"/>
        <v>0</v>
      </c>
      <c r="W308" s="105"/>
      <c r="X308" s="105">
        <f t="shared" si="99"/>
        <v>0</v>
      </c>
      <c r="Y308" s="105"/>
      <c r="Z308" s="105">
        <f t="shared" si="100"/>
        <v>0</v>
      </c>
      <c r="AA308" s="105"/>
      <c r="AB308" s="105">
        <f t="shared" si="102"/>
        <v>0</v>
      </c>
      <c r="AC308" s="105"/>
      <c r="AD308" s="105">
        <f t="shared" si="93"/>
        <v>0</v>
      </c>
      <c r="AE308" s="105"/>
      <c r="AF308" s="105">
        <f t="shared" si="94"/>
        <v>0</v>
      </c>
      <c r="AG308" s="105"/>
      <c r="AH308" s="106"/>
      <c r="AK308" s="106">
        <f t="shared" si="82"/>
        <v>0</v>
      </c>
      <c r="AL308" s="106">
        <f t="shared" si="83"/>
        <v>0</v>
      </c>
      <c r="AQ308" s="107"/>
      <c r="AS308" s="108"/>
    </row>
    <row r="309" spans="1:45" x14ac:dyDescent="0.2">
      <c r="A309" s="85" t="s">
        <v>137</v>
      </c>
      <c r="B309" s="101" t="s">
        <v>138</v>
      </c>
      <c r="C309" s="86" t="s">
        <v>688</v>
      </c>
      <c r="F309" s="102">
        <f>E309</f>
        <v>0</v>
      </c>
      <c r="G309" s="103"/>
      <c r="H309" s="103"/>
      <c r="I309" s="103"/>
      <c r="J309" s="105"/>
      <c r="K309" s="105"/>
      <c r="L309" s="105"/>
      <c r="M309" s="105">
        <f t="shared" si="95"/>
        <v>0</v>
      </c>
      <c r="N309" s="105"/>
      <c r="O309" s="105"/>
      <c r="P309" s="105">
        <f t="shared" si="96"/>
        <v>0</v>
      </c>
      <c r="Q309" s="105"/>
      <c r="R309" s="105">
        <f t="shared" si="97"/>
        <v>0</v>
      </c>
      <c r="S309" s="105"/>
      <c r="T309" s="105">
        <f t="shared" si="98"/>
        <v>0</v>
      </c>
      <c r="U309" s="105"/>
      <c r="V309" s="91">
        <f t="shared" si="88"/>
        <v>0</v>
      </c>
      <c r="W309" s="105"/>
      <c r="X309" s="105">
        <f t="shared" si="99"/>
        <v>0</v>
      </c>
      <c r="Y309" s="105"/>
      <c r="Z309" s="105">
        <f t="shared" si="100"/>
        <v>0</v>
      </c>
      <c r="AA309" s="105"/>
      <c r="AB309" s="105">
        <f t="shared" si="102"/>
        <v>0</v>
      </c>
      <c r="AC309" s="105"/>
      <c r="AD309" s="105">
        <f t="shared" si="93"/>
        <v>0</v>
      </c>
      <c r="AE309" s="105"/>
      <c r="AF309" s="105">
        <f t="shared" si="94"/>
        <v>0</v>
      </c>
      <c r="AG309" s="105"/>
      <c r="AH309" s="106"/>
      <c r="AK309" s="106">
        <f t="shared" si="82"/>
        <v>0</v>
      </c>
      <c r="AL309" s="106">
        <f t="shared" si="83"/>
        <v>0</v>
      </c>
      <c r="AQ309" s="107"/>
      <c r="AR309" s="110"/>
      <c r="AS309" s="108"/>
    </row>
    <row r="310" spans="1:45" x14ac:dyDescent="0.2">
      <c r="A310" s="85" t="s">
        <v>137</v>
      </c>
      <c r="B310" s="101"/>
      <c r="C310" s="92" t="s">
        <v>689</v>
      </c>
      <c r="D310" s="92"/>
      <c r="F310" s="104">
        <f>SUM(F309)</f>
        <v>0</v>
      </c>
      <c r="G310" s="104">
        <f>F310</f>
        <v>0</v>
      </c>
      <c r="H310" s="105">
        <f>VLOOKUP(A310,Data!$A$2:$Z$179,24,FALSE)</f>
        <v>12.747999999999999</v>
      </c>
      <c r="I310" s="105">
        <f>VLOOKUP(A310,Data!$A$2:$Z$179,25,FALSE)</f>
        <v>5.1470000000000002</v>
      </c>
      <c r="J310" s="105">
        <f>VLOOKUP(A310,Data!$A$2:$Z$179,7,FALSE)</f>
        <v>7.601</v>
      </c>
      <c r="K310" s="105">
        <f>$F310*J310</f>
        <v>0</v>
      </c>
      <c r="L310" s="105">
        <f>VLOOKUP(A310,Data!$A$2:$Z$179,8,FALSE)</f>
        <v>0</v>
      </c>
      <c r="M310" s="105">
        <f>L310*F310</f>
        <v>0</v>
      </c>
      <c r="N310" s="105">
        <f>VLOOKUP(A310,Data!$A$2:$Z$179,9,FALSE)</f>
        <v>0</v>
      </c>
      <c r="O310" s="105">
        <f>VLOOKUP(A309,Data!$A$2:$Z$179,10,FALSE)</f>
        <v>1.9369999999999998</v>
      </c>
      <c r="P310" s="105">
        <f>O310*F310</f>
        <v>0</v>
      </c>
      <c r="Q310" s="105">
        <f>VLOOKUP(A310,Data!$A$2:$Z$179,11,FALSE)</f>
        <v>0</v>
      </c>
      <c r="R310" s="105">
        <f t="shared" si="97"/>
        <v>0</v>
      </c>
      <c r="S310" s="105">
        <f>VLOOKUP(A310,Data!$A$2:$Z$179,12,FALSE)</f>
        <v>4.1379999999999999</v>
      </c>
      <c r="T310" s="105">
        <f>S310*F310</f>
        <v>0</v>
      </c>
      <c r="U310" s="105">
        <f>VLOOKUP(A310,Data!$A$2:$Z$179,13,FALSE)</f>
        <v>8.9390769504232151E-2</v>
      </c>
      <c r="V310" s="91">
        <f t="shared" si="88"/>
        <v>0</v>
      </c>
      <c r="W310" s="105">
        <f>VLOOKUP(A310,Data!$A$2:$Z$179,22,FALSE)</f>
        <v>0</v>
      </c>
      <c r="X310" s="105">
        <f>W310*F310</f>
        <v>0</v>
      </c>
      <c r="Y310" s="105">
        <f>VLOOKUP(A310,Data!$A$2:$Z$179,19,FALSE)</f>
        <v>0</v>
      </c>
      <c r="Z310" s="105">
        <f t="shared" si="100"/>
        <v>0</v>
      </c>
      <c r="AA310" s="105">
        <f>VLOOKUP(A310,Data!$A$2:$Z$179,20,FALSE)</f>
        <v>0</v>
      </c>
      <c r="AB310" s="105">
        <f t="shared" si="102"/>
        <v>0</v>
      </c>
      <c r="AC310" s="105">
        <f>VLOOKUP(A310,Data!$A$2:$Z$179,21,FALSE)</f>
        <v>0</v>
      </c>
      <c r="AD310" s="105">
        <f t="shared" si="93"/>
        <v>0</v>
      </c>
      <c r="AE310" s="105">
        <f>J310+L310+N310+O310+Q310+S310+U310+W310+Y310+AA310+AC310</f>
        <v>13.765390769504233</v>
      </c>
      <c r="AF310" s="105">
        <f t="shared" si="94"/>
        <v>0</v>
      </c>
      <c r="AG310" s="105"/>
      <c r="AH310" s="106">
        <f>AE310-S310-W310</f>
        <v>9.6273907695042329</v>
      </c>
      <c r="AI310" s="85">
        <f>AH310/AE310</f>
        <v>0.69939102570431189</v>
      </c>
      <c r="AK310" s="106">
        <f t="shared" si="82"/>
        <v>6.0749999999999993</v>
      </c>
      <c r="AL310" s="106">
        <f t="shared" si="83"/>
        <v>6.0749999999999993</v>
      </c>
      <c r="AQ310" s="107"/>
      <c r="AR310" s="110"/>
      <c r="AS310" s="108"/>
    </row>
    <row r="311" spans="1:45" x14ac:dyDescent="0.2">
      <c r="B311" s="101"/>
      <c r="C311" s="92"/>
      <c r="D311" s="92"/>
      <c r="F311" s="109"/>
      <c r="G311" s="109"/>
      <c r="H311" s="109"/>
      <c r="I311" s="109"/>
      <c r="J311" s="105"/>
      <c r="K311" s="105"/>
      <c r="L311" s="105"/>
      <c r="M311" s="105">
        <f t="shared" si="95"/>
        <v>0</v>
      </c>
      <c r="N311" s="105"/>
      <c r="O311" s="105"/>
      <c r="P311" s="105">
        <f t="shared" si="96"/>
        <v>0</v>
      </c>
      <c r="Q311" s="105"/>
      <c r="R311" s="105">
        <f t="shared" si="97"/>
        <v>0</v>
      </c>
      <c r="S311" s="105"/>
      <c r="T311" s="105">
        <f t="shared" si="98"/>
        <v>0</v>
      </c>
      <c r="U311" s="105"/>
      <c r="V311" s="91">
        <f t="shared" si="88"/>
        <v>0</v>
      </c>
      <c r="W311" s="105"/>
      <c r="X311" s="105">
        <f t="shared" si="99"/>
        <v>0</v>
      </c>
      <c r="Y311" s="105"/>
      <c r="Z311" s="105">
        <f t="shared" si="100"/>
        <v>0</v>
      </c>
      <c r="AA311" s="105"/>
      <c r="AB311" s="105">
        <f t="shared" si="102"/>
        <v>0</v>
      </c>
      <c r="AC311" s="105"/>
      <c r="AD311" s="105">
        <f t="shared" si="93"/>
        <v>0</v>
      </c>
      <c r="AE311" s="105"/>
      <c r="AF311" s="105">
        <f t="shared" si="94"/>
        <v>0</v>
      </c>
      <c r="AG311" s="105"/>
      <c r="AH311" s="106"/>
      <c r="AK311" s="106">
        <f t="shared" si="82"/>
        <v>0</v>
      </c>
      <c r="AL311" s="106">
        <f t="shared" si="83"/>
        <v>0</v>
      </c>
      <c r="AQ311" s="107"/>
      <c r="AR311" s="110"/>
      <c r="AS311" s="108"/>
    </row>
    <row r="312" spans="1:45" x14ac:dyDescent="0.2">
      <c r="A312" s="112" t="s">
        <v>139</v>
      </c>
      <c r="B312" s="101" t="s">
        <v>138</v>
      </c>
      <c r="C312" s="86" t="s">
        <v>690</v>
      </c>
      <c r="F312" s="102">
        <f>E312</f>
        <v>0</v>
      </c>
      <c r="G312" s="102"/>
      <c r="H312" s="102"/>
      <c r="I312" s="102"/>
      <c r="J312" s="105"/>
      <c r="K312" s="105"/>
      <c r="L312" s="105"/>
      <c r="M312" s="105">
        <f t="shared" si="95"/>
        <v>0</v>
      </c>
      <c r="N312" s="105"/>
      <c r="O312" s="105"/>
      <c r="P312" s="105">
        <f t="shared" si="96"/>
        <v>0</v>
      </c>
      <c r="Q312" s="105"/>
      <c r="R312" s="105">
        <f t="shared" si="97"/>
        <v>0</v>
      </c>
      <c r="S312" s="105"/>
      <c r="T312" s="105">
        <f t="shared" si="98"/>
        <v>0</v>
      </c>
      <c r="U312" s="105"/>
      <c r="V312" s="91">
        <f t="shared" si="88"/>
        <v>0</v>
      </c>
      <c r="W312" s="105"/>
      <c r="X312" s="105">
        <f t="shared" si="99"/>
        <v>0</v>
      </c>
      <c r="Y312" s="105"/>
      <c r="Z312" s="105">
        <f t="shared" si="100"/>
        <v>0</v>
      </c>
      <c r="AA312" s="105"/>
      <c r="AB312" s="105">
        <f t="shared" si="102"/>
        <v>0</v>
      </c>
      <c r="AC312" s="105"/>
      <c r="AD312" s="105">
        <f t="shared" si="93"/>
        <v>0</v>
      </c>
      <c r="AE312" s="105"/>
      <c r="AF312" s="105">
        <f t="shared" si="94"/>
        <v>0</v>
      </c>
      <c r="AG312" s="105"/>
      <c r="AH312" s="106"/>
      <c r="AK312" s="106">
        <f t="shared" si="82"/>
        <v>0</v>
      </c>
      <c r="AL312" s="106">
        <f t="shared" si="83"/>
        <v>0</v>
      </c>
      <c r="AQ312" s="107"/>
      <c r="AS312" s="108"/>
    </row>
    <row r="313" spans="1:45" x14ac:dyDescent="0.2">
      <c r="A313" s="112" t="s">
        <v>139</v>
      </c>
      <c r="B313" s="101" t="s">
        <v>36</v>
      </c>
      <c r="C313" s="86" t="s">
        <v>690</v>
      </c>
      <c r="F313" s="102">
        <f>E313</f>
        <v>0</v>
      </c>
      <c r="G313" s="102"/>
      <c r="H313" s="102"/>
      <c r="I313" s="102"/>
      <c r="J313" s="105"/>
      <c r="K313" s="105"/>
      <c r="L313" s="105"/>
      <c r="M313" s="105">
        <f t="shared" si="95"/>
        <v>0</v>
      </c>
      <c r="N313" s="105"/>
      <c r="O313" s="105"/>
      <c r="P313" s="105">
        <f t="shared" si="96"/>
        <v>0</v>
      </c>
      <c r="Q313" s="105"/>
      <c r="R313" s="105">
        <f t="shared" si="97"/>
        <v>0</v>
      </c>
      <c r="S313" s="105"/>
      <c r="T313" s="105">
        <f t="shared" si="98"/>
        <v>0</v>
      </c>
      <c r="U313" s="105"/>
      <c r="V313" s="91">
        <f t="shared" si="88"/>
        <v>0</v>
      </c>
      <c r="W313" s="105"/>
      <c r="X313" s="105">
        <f t="shared" si="99"/>
        <v>0</v>
      </c>
      <c r="Y313" s="105"/>
      <c r="Z313" s="105">
        <f t="shared" si="100"/>
        <v>0</v>
      </c>
      <c r="AA313" s="105"/>
      <c r="AB313" s="105">
        <f t="shared" ref="AB313:AB320" si="103">$F312*AA313</f>
        <v>0</v>
      </c>
      <c r="AC313" s="105"/>
      <c r="AD313" s="105">
        <f t="shared" si="93"/>
        <v>0</v>
      </c>
      <c r="AE313" s="105"/>
      <c r="AF313" s="105">
        <f t="shared" si="94"/>
        <v>0</v>
      </c>
      <c r="AG313" s="105"/>
      <c r="AH313" s="106"/>
      <c r="AK313" s="106">
        <f t="shared" si="82"/>
        <v>0</v>
      </c>
      <c r="AL313" s="106">
        <f t="shared" si="83"/>
        <v>0</v>
      </c>
      <c r="AQ313" s="107"/>
      <c r="AS313" s="108"/>
    </row>
    <row r="314" spans="1:45" x14ac:dyDescent="0.2">
      <c r="A314" s="112" t="s">
        <v>139</v>
      </c>
      <c r="B314" s="101"/>
      <c r="C314" s="92" t="s">
        <v>691</v>
      </c>
      <c r="D314" s="92"/>
      <c r="F314" s="104">
        <f>SUM(F312:F313)</f>
        <v>0</v>
      </c>
      <c r="G314" s="104">
        <f>F314</f>
        <v>0</v>
      </c>
      <c r="H314" s="105">
        <f>VLOOKUP(A314,Data!$A$2:$Z$179,24,FALSE)</f>
        <v>19.138000000000002</v>
      </c>
      <c r="I314" s="105">
        <f>VLOOKUP(A314,Data!$A$2:$Z$179,25,FALSE)</f>
        <v>9.9090000000000007</v>
      </c>
      <c r="J314" s="105">
        <f>VLOOKUP(A314,Data!$A$2:$Z$179,7,FALSE)</f>
        <v>9.2289999999999992</v>
      </c>
      <c r="K314" s="105">
        <f>$F314*J314</f>
        <v>0</v>
      </c>
      <c r="L314" s="105">
        <f>VLOOKUP(A314,Data!$A$2:$Z$179,8,FALSE)</f>
        <v>0</v>
      </c>
      <c r="M314" s="105">
        <f>L314*F314</f>
        <v>0</v>
      </c>
      <c r="N314" s="105">
        <f>VLOOKUP(A314,Data!$A$2:$Z$179,9,FALSE)</f>
        <v>0</v>
      </c>
      <c r="O314" s="105">
        <f>VLOOKUP(A313,Data!$A$2:$Z$179,10,FALSE)</f>
        <v>0.16899999999999998</v>
      </c>
      <c r="P314" s="105">
        <f>O314*F314</f>
        <v>0</v>
      </c>
      <c r="Q314" s="105">
        <f>VLOOKUP(A314,Data!$A$2:$Z$179,11,FALSE)</f>
        <v>0</v>
      </c>
      <c r="R314" s="105">
        <f t="shared" si="97"/>
        <v>0</v>
      </c>
      <c r="S314" s="105">
        <f>VLOOKUP(A314,Data!$A$2:$Z$179,12,FALSE)</f>
        <v>10.656000000000001</v>
      </c>
      <c r="T314" s="105">
        <f>S314*F314</f>
        <v>0</v>
      </c>
      <c r="U314" s="105">
        <f>VLOOKUP(A314,Data!$A$2:$Z$179,13,FALSE)</f>
        <v>6.0678213547215011E-2</v>
      </c>
      <c r="V314" s="91">
        <f t="shared" si="88"/>
        <v>0</v>
      </c>
      <c r="W314" s="105">
        <f>VLOOKUP(A314,Data!$A$2:$Z$179,22,FALSE)</f>
        <v>0</v>
      </c>
      <c r="X314" s="105">
        <f>W314*F314</f>
        <v>0</v>
      </c>
      <c r="Y314" s="105">
        <f>VLOOKUP(A314,Data!$A$2:$Z$179,19,FALSE)</f>
        <v>0</v>
      </c>
      <c r="Z314" s="105">
        <f t="shared" si="100"/>
        <v>0</v>
      </c>
      <c r="AA314" s="105">
        <f>VLOOKUP(A314,Data!$A$2:$Z$179,20,FALSE)</f>
        <v>0</v>
      </c>
      <c r="AB314" s="105">
        <f>$F314*AA314</f>
        <v>0</v>
      </c>
      <c r="AC314" s="105">
        <f>VLOOKUP(A314,Data!$A$2:$Z$179,21,FALSE)</f>
        <v>0</v>
      </c>
      <c r="AD314" s="105">
        <f t="shared" si="93"/>
        <v>0</v>
      </c>
      <c r="AE314" s="105">
        <f>J314+L314+N314+O314+Q314+S314+U314+W314+Y314+AA314+AC314</f>
        <v>20.114678213547219</v>
      </c>
      <c r="AF314" s="105">
        <f t="shared" si="94"/>
        <v>0</v>
      </c>
      <c r="AG314" s="105"/>
      <c r="AH314" s="106">
        <f>AE314-S314-W314</f>
        <v>9.458678213547218</v>
      </c>
      <c r="AI314" s="85">
        <f>AH314/AE314</f>
        <v>0.47023761022320537</v>
      </c>
      <c r="AK314" s="106">
        <f t="shared" si="82"/>
        <v>10.825000000000001</v>
      </c>
      <c r="AL314" s="106">
        <f t="shared" si="83"/>
        <v>10.825000000000001</v>
      </c>
      <c r="AQ314" s="107"/>
      <c r="AS314" s="108"/>
    </row>
    <row r="315" spans="1:45" x14ac:dyDescent="0.2">
      <c r="B315" s="101"/>
      <c r="C315" s="92"/>
      <c r="D315" s="92"/>
      <c r="F315" s="109"/>
      <c r="G315" s="109"/>
      <c r="H315" s="109"/>
      <c r="I315" s="109"/>
      <c r="J315" s="105"/>
      <c r="K315" s="105"/>
      <c r="L315" s="105"/>
      <c r="M315" s="105">
        <f t="shared" si="95"/>
        <v>0</v>
      </c>
      <c r="N315" s="105"/>
      <c r="O315" s="105"/>
      <c r="P315" s="105">
        <f t="shared" si="96"/>
        <v>0</v>
      </c>
      <c r="Q315" s="105"/>
      <c r="R315" s="105">
        <f t="shared" si="97"/>
        <v>0</v>
      </c>
      <c r="S315" s="105"/>
      <c r="T315" s="105">
        <f t="shared" si="98"/>
        <v>0</v>
      </c>
      <c r="U315" s="105"/>
      <c r="V315" s="91">
        <f t="shared" si="88"/>
        <v>0</v>
      </c>
      <c r="W315" s="105"/>
      <c r="X315" s="105">
        <f t="shared" si="99"/>
        <v>0</v>
      </c>
      <c r="Y315" s="105"/>
      <c r="Z315" s="105">
        <f t="shared" si="100"/>
        <v>0</v>
      </c>
      <c r="AA315" s="105"/>
      <c r="AB315" s="105">
        <f t="shared" si="103"/>
        <v>0</v>
      </c>
      <c r="AC315" s="105"/>
      <c r="AD315" s="105">
        <f t="shared" si="93"/>
        <v>0</v>
      </c>
      <c r="AE315" s="105"/>
      <c r="AF315" s="105">
        <f t="shared" si="94"/>
        <v>0</v>
      </c>
      <c r="AG315" s="105"/>
      <c r="AH315" s="106"/>
      <c r="AK315" s="106">
        <f t="shared" si="82"/>
        <v>0</v>
      </c>
      <c r="AL315" s="106">
        <f t="shared" si="83"/>
        <v>0</v>
      </c>
      <c r="AQ315" s="107"/>
      <c r="AR315" s="112"/>
      <c r="AS315" s="108"/>
    </row>
    <row r="316" spans="1:45" x14ac:dyDescent="0.2">
      <c r="A316" s="85" t="s">
        <v>140</v>
      </c>
      <c r="B316" s="101" t="s">
        <v>138</v>
      </c>
      <c r="C316" s="86" t="s">
        <v>692</v>
      </c>
      <c r="F316" s="102">
        <f>E316</f>
        <v>0</v>
      </c>
      <c r="G316" s="102"/>
      <c r="H316" s="102"/>
      <c r="I316" s="102"/>
      <c r="J316" s="105"/>
      <c r="K316" s="105"/>
      <c r="L316" s="105"/>
      <c r="M316" s="105">
        <f t="shared" si="95"/>
        <v>0</v>
      </c>
      <c r="N316" s="105"/>
      <c r="O316" s="105"/>
      <c r="P316" s="105">
        <f t="shared" si="96"/>
        <v>0</v>
      </c>
      <c r="Q316" s="105"/>
      <c r="R316" s="105">
        <f t="shared" si="97"/>
        <v>0</v>
      </c>
      <c r="S316" s="105"/>
      <c r="T316" s="105">
        <f t="shared" si="98"/>
        <v>0</v>
      </c>
      <c r="U316" s="105"/>
      <c r="V316" s="91">
        <f t="shared" si="88"/>
        <v>0</v>
      </c>
      <c r="W316" s="105"/>
      <c r="X316" s="105">
        <f t="shared" si="99"/>
        <v>0</v>
      </c>
      <c r="Y316" s="105"/>
      <c r="Z316" s="105">
        <f t="shared" si="100"/>
        <v>0</v>
      </c>
      <c r="AA316" s="105"/>
      <c r="AB316" s="105">
        <f t="shared" si="103"/>
        <v>0</v>
      </c>
      <c r="AC316" s="105"/>
      <c r="AD316" s="105">
        <f t="shared" si="93"/>
        <v>0</v>
      </c>
      <c r="AE316" s="105"/>
      <c r="AF316" s="105">
        <f t="shared" si="94"/>
        <v>0</v>
      </c>
      <c r="AG316" s="105"/>
      <c r="AH316" s="106"/>
      <c r="AK316" s="106">
        <f t="shared" si="82"/>
        <v>0</v>
      </c>
      <c r="AL316" s="106">
        <f t="shared" si="83"/>
        <v>0</v>
      </c>
      <c r="AQ316" s="107"/>
      <c r="AR316" s="112"/>
      <c r="AS316" s="108"/>
    </row>
    <row r="317" spans="1:45" x14ac:dyDescent="0.2">
      <c r="A317" s="85" t="s">
        <v>140</v>
      </c>
      <c r="B317" s="101" t="s">
        <v>36</v>
      </c>
      <c r="C317" s="86" t="s">
        <v>692</v>
      </c>
      <c r="F317" s="102">
        <f>E317</f>
        <v>0</v>
      </c>
      <c r="G317" s="102"/>
      <c r="H317" s="102"/>
      <c r="I317" s="102"/>
      <c r="J317" s="105"/>
      <c r="K317" s="105"/>
      <c r="L317" s="105"/>
      <c r="M317" s="105">
        <f t="shared" si="95"/>
        <v>0</v>
      </c>
      <c r="N317" s="105"/>
      <c r="O317" s="105"/>
      <c r="P317" s="105">
        <f t="shared" si="96"/>
        <v>0</v>
      </c>
      <c r="Q317" s="105"/>
      <c r="R317" s="105">
        <f t="shared" si="97"/>
        <v>0</v>
      </c>
      <c r="S317" s="105"/>
      <c r="T317" s="105">
        <f t="shared" si="98"/>
        <v>0</v>
      </c>
      <c r="U317" s="105"/>
      <c r="V317" s="91">
        <f t="shared" si="88"/>
        <v>0</v>
      </c>
      <c r="W317" s="105"/>
      <c r="X317" s="105">
        <f t="shared" si="99"/>
        <v>0</v>
      </c>
      <c r="Y317" s="105"/>
      <c r="Z317" s="105">
        <f t="shared" si="100"/>
        <v>0</v>
      </c>
      <c r="AA317" s="105"/>
      <c r="AB317" s="105">
        <f t="shared" si="103"/>
        <v>0</v>
      </c>
      <c r="AC317" s="105"/>
      <c r="AD317" s="105">
        <f t="shared" si="93"/>
        <v>0</v>
      </c>
      <c r="AE317" s="105"/>
      <c r="AF317" s="105">
        <f t="shared" si="94"/>
        <v>0</v>
      </c>
      <c r="AG317" s="105"/>
      <c r="AH317" s="106"/>
      <c r="AK317" s="106">
        <f t="shared" si="82"/>
        <v>0</v>
      </c>
      <c r="AL317" s="106">
        <f t="shared" si="83"/>
        <v>0</v>
      </c>
      <c r="AQ317" s="107"/>
      <c r="AR317" s="112"/>
      <c r="AS317" s="108"/>
    </row>
    <row r="318" spans="1:45" x14ac:dyDescent="0.2">
      <c r="A318" s="85" t="s">
        <v>140</v>
      </c>
      <c r="B318" s="101"/>
      <c r="C318" s="92" t="s">
        <v>693</v>
      </c>
      <c r="D318" s="92"/>
      <c r="F318" s="104">
        <f>SUM(F316:F317)</f>
        <v>0</v>
      </c>
      <c r="G318" s="104">
        <f>F318</f>
        <v>0</v>
      </c>
      <c r="H318" s="105">
        <f>VLOOKUP(A318,Data!$A$2:$Z$179,24,FALSE)</f>
        <v>7.3310000000000004</v>
      </c>
      <c r="I318" s="105">
        <f>VLOOKUP(A318,Data!$A$2:$Z$179,25,FALSE)</f>
        <v>4.0570000000000004</v>
      </c>
      <c r="J318" s="105">
        <f>VLOOKUP(A318,Data!$A$2:$Z$179,7,FALSE)</f>
        <v>3.274</v>
      </c>
      <c r="K318" s="105">
        <f>$F318*J318</f>
        <v>0</v>
      </c>
      <c r="L318" s="105">
        <f>VLOOKUP(A318,Data!$A$2:$Z$179,8,FALSE)</f>
        <v>0</v>
      </c>
      <c r="M318" s="105">
        <f>L318*F318</f>
        <v>0</v>
      </c>
      <c r="N318" s="105">
        <f>VLOOKUP(A318,Data!$A$2:$Z$179,9,FALSE)</f>
        <v>0</v>
      </c>
      <c r="O318" s="105">
        <f>VLOOKUP(A317,Data!$A$2:$Z$179,10,FALSE)</f>
        <v>0</v>
      </c>
      <c r="P318" s="105">
        <f>O318*F318</f>
        <v>0</v>
      </c>
      <c r="Q318" s="105">
        <f>VLOOKUP(A318,Data!$A$2:$Z$179,11,FALSE)</f>
        <v>0</v>
      </c>
      <c r="R318" s="105">
        <f t="shared" si="97"/>
        <v>0</v>
      </c>
      <c r="S318" s="105">
        <f>VLOOKUP(A318,Data!$A$2:$Z$179,12,FALSE)</f>
        <v>6.0730000000000004</v>
      </c>
      <c r="T318" s="105">
        <f>S318*F318</f>
        <v>0</v>
      </c>
      <c r="U318" s="105">
        <f>VLOOKUP(A318,Data!$A$2:$Z$179,13,FALSE)</f>
        <v>8.498406848896338E-2</v>
      </c>
      <c r="V318" s="91">
        <f t="shared" si="88"/>
        <v>0</v>
      </c>
      <c r="W318" s="105">
        <f>VLOOKUP(A318,Data!$A$2:$Z$179,22,FALSE)</f>
        <v>0</v>
      </c>
      <c r="X318" s="105">
        <f>W318*F318</f>
        <v>0</v>
      </c>
      <c r="Y318" s="105">
        <f>VLOOKUP(A318,Data!$A$2:$Z$179,19,FALSE)</f>
        <v>0</v>
      </c>
      <c r="Z318" s="105">
        <f t="shared" si="100"/>
        <v>0</v>
      </c>
      <c r="AA318" s="105">
        <f>VLOOKUP(A318,Data!$A$2:$Z$179,20,FALSE)</f>
        <v>0</v>
      </c>
      <c r="AB318" s="105">
        <f>$F318*AA318</f>
        <v>0</v>
      </c>
      <c r="AC318" s="105">
        <f>VLOOKUP(A318,Data!$A$2:$Z$179,21,FALSE)</f>
        <v>0</v>
      </c>
      <c r="AD318" s="105">
        <f t="shared" si="93"/>
        <v>0</v>
      </c>
      <c r="AE318" s="105">
        <f>J318+L318+N318+O318+Q318+S318+U318+W318+Y318+AA318+AC318</f>
        <v>9.4319840684889655</v>
      </c>
      <c r="AF318" s="105">
        <f t="shared" si="94"/>
        <v>0</v>
      </c>
      <c r="AG318" s="105"/>
      <c r="AH318" s="106">
        <f>AE318-S318-W318</f>
        <v>3.3589840684889651</v>
      </c>
      <c r="AI318" s="85">
        <f>AH318/AE318</f>
        <v>0.35612698707909135</v>
      </c>
      <c r="AK318" s="106">
        <f t="shared" si="82"/>
        <v>6.0730000000000004</v>
      </c>
      <c r="AL318" s="106">
        <f t="shared" si="83"/>
        <v>6.0730000000000004</v>
      </c>
      <c r="AQ318" s="107"/>
      <c r="AS318" s="108"/>
    </row>
    <row r="319" spans="1:45" x14ac:dyDescent="0.2">
      <c r="B319" s="101"/>
      <c r="C319" s="92"/>
      <c r="D319" s="92"/>
      <c r="F319" s="109"/>
      <c r="G319" s="109"/>
      <c r="H319" s="109"/>
      <c r="I319" s="109"/>
      <c r="J319" s="105"/>
      <c r="K319" s="105"/>
      <c r="L319" s="105"/>
      <c r="M319" s="105">
        <f t="shared" si="95"/>
        <v>0</v>
      </c>
      <c r="N319" s="105"/>
      <c r="O319" s="105"/>
      <c r="P319" s="105">
        <f t="shared" si="96"/>
        <v>0</v>
      </c>
      <c r="Q319" s="105"/>
      <c r="R319" s="105">
        <f t="shared" si="97"/>
        <v>0</v>
      </c>
      <c r="S319" s="105"/>
      <c r="T319" s="105">
        <f t="shared" si="98"/>
        <v>0</v>
      </c>
      <c r="U319" s="105"/>
      <c r="V319" s="91">
        <f t="shared" si="88"/>
        <v>0</v>
      </c>
      <c r="W319" s="105"/>
      <c r="X319" s="105">
        <f t="shared" si="99"/>
        <v>0</v>
      </c>
      <c r="Y319" s="105"/>
      <c r="Z319" s="105">
        <f t="shared" si="100"/>
        <v>0</v>
      </c>
      <c r="AA319" s="105"/>
      <c r="AB319" s="105">
        <f t="shared" si="103"/>
        <v>0</v>
      </c>
      <c r="AC319" s="105"/>
      <c r="AD319" s="105">
        <f t="shared" si="93"/>
        <v>0</v>
      </c>
      <c r="AE319" s="105"/>
      <c r="AF319" s="105">
        <f t="shared" si="94"/>
        <v>0</v>
      </c>
      <c r="AG319" s="105"/>
      <c r="AH319" s="106"/>
      <c r="AK319" s="106">
        <f t="shared" si="82"/>
        <v>0</v>
      </c>
      <c r="AL319" s="106">
        <f t="shared" si="83"/>
        <v>0</v>
      </c>
      <c r="AQ319" s="107"/>
      <c r="AS319" s="108"/>
    </row>
    <row r="320" spans="1:45" x14ac:dyDescent="0.2">
      <c r="A320" s="85" t="s">
        <v>141</v>
      </c>
      <c r="B320" s="101" t="s">
        <v>142</v>
      </c>
      <c r="C320" s="86" t="s">
        <v>694</v>
      </c>
      <c r="F320" s="102">
        <f>E320</f>
        <v>0</v>
      </c>
      <c r="G320" s="103"/>
      <c r="H320" s="103"/>
      <c r="I320" s="103"/>
      <c r="J320" s="105"/>
      <c r="K320" s="105"/>
      <c r="L320" s="105"/>
      <c r="M320" s="105">
        <f t="shared" si="95"/>
        <v>0</v>
      </c>
      <c r="N320" s="105"/>
      <c r="O320" s="105"/>
      <c r="P320" s="105">
        <f t="shared" si="96"/>
        <v>0</v>
      </c>
      <c r="Q320" s="105"/>
      <c r="R320" s="105">
        <f t="shared" si="97"/>
        <v>0</v>
      </c>
      <c r="S320" s="105"/>
      <c r="T320" s="105">
        <f t="shared" si="98"/>
        <v>0</v>
      </c>
      <c r="U320" s="105"/>
      <c r="V320" s="91">
        <f t="shared" si="88"/>
        <v>0</v>
      </c>
      <c r="W320" s="105"/>
      <c r="X320" s="105">
        <f t="shared" si="99"/>
        <v>0</v>
      </c>
      <c r="Y320" s="105"/>
      <c r="Z320" s="105">
        <f t="shared" si="100"/>
        <v>0</v>
      </c>
      <c r="AA320" s="105"/>
      <c r="AB320" s="105">
        <f t="shared" si="103"/>
        <v>0</v>
      </c>
      <c r="AC320" s="105"/>
      <c r="AD320" s="105">
        <f t="shared" si="93"/>
        <v>0</v>
      </c>
      <c r="AE320" s="105"/>
      <c r="AF320" s="105">
        <f t="shared" si="94"/>
        <v>0</v>
      </c>
      <c r="AG320" s="105"/>
      <c r="AH320" s="106"/>
      <c r="AK320" s="106">
        <f t="shared" si="82"/>
        <v>0</v>
      </c>
      <c r="AL320" s="106">
        <f t="shared" si="83"/>
        <v>0</v>
      </c>
      <c r="AQ320" s="107"/>
      <c r="AS320" s="108"/>
    </row>
    <row r="321" spans="1:45" x14ac:dyDescent="0.2">
      <c r="A321" s="85" t="s">
        <v>141</v>
      </c>
      <c r="B321" s="101"/>
      <c r="C321" s="92" t="s">
        <v>695</v>
      </c>
      <c r="D321" s="92"/>
      <c r="F321" s="104">
        <f>SUM(F320)</f>
        <v>0</v>
      </c>
      <c r="G321" s="104">
        <f>F321</f>
        <v>0</v>
      </c>
      <c r="H321" s="105">
        <f>VLOOKUP(A321,Data!$A$2:$Z$179,24,FALSE)</f>
        <v>27</v>
      </c>
      <c r="I321" s="105">
        <f>VLOOKUP(A321,Data!$A$2:$Z$179,25,FALSE)</f>
        <v>0</v>
      </c>
      <c r="J321" s="105">
        <f>VLOOKUP(A321,Data!$A$2:$Z$179,7,FALSE)</f>
        <v>27</v>
      </c>
      <c r="K321" s="105">
        <f>$F321*J321</f>
        <v>0</v>
      </c>
      <c r="L321" s="105">
        <f>VLOOKUP(A321,Data!$A$2:$Z$179,8,FALSE)</f>
        <v>0</v>
      </c>
      <c r="M321" s="105">
        <f>L321*F321</f>
        <v>0</v>
      </c>
      <c r="N321" s="105">
        <f>VLOOKUP(A321,Data!$A$2:$Z$179,9,FALSE)</f>
        <v>0</v>
      </c>
      <c r="O321" s="105">
        <f>VLOOKUP(A320,Data!$A$2:$Z$179,10,FALSE)</f>
        <v>0</v>
      </c>
      <c r="P321" s="105">
        <f>O321*F321</f>
        <v>0</v>
      </c>
      <c r="Q321" s="105">
        <f>VLOOKUP(A321,Data!$A$2:$Z$179,11,FALSE)</f>
        <v>0</v>
      </c>
      <c r="R321" s="105">
        <f t="shared" si="97"/>
        <v>0</v>
      </c>
      <c r="S321" s="105">
        <f>VLOOKUP(A321,Data!$A$2:$Z$179,12,FALSE)</f>
        <v>15.646000000000001</v>
      </c>
      <c r="T321" s="105">
        <f>S321*F321</f>
        <v>0</v>
      </c>
      <c r="U321" s="105">
        <f>VLOOKUP(A321,Data!$A$2:$Z$179,13,FALSE)</f>
        <v>0.32658591186164093</v>
      </c>
      <c r="V321" s="91">
        <f t="shared" si="88"/>
        <v>0</v>
      </c>
      <c r="W321" s="105">
        <f>VLOOKUP(A321,Data!$A$2:$Z$179,22,FALSE)</f>
        <v>0</v>
      </c>
      <c r="X321" s="105">
        <f>W321*F321</f>
        <v>0</v>
      </c>
      <c r="Y321" s="105">
        <f>VLOOKUP(A321,Data!$A$2:$Z$179,19,FALSE)</f>
        <v>0</v>
      </c>
      <c r="Z321" s="105">
        <f t="shared" si="100"/>
        <v>0</v>
      </c>
      <c r="AA321" s="105">
        <f>VLOOKUP(A321,Data!$A$2:$Z$179,20,FALSE)</f>
        <v>0</v>
      </c>
      <c r="AB321" s="105">
        <f>$F321*AA321</f>
        <v>0</v>
      </c>
      <c r="AC321" s="105">
        <f>VLOOKUP(A321,Data!$A$2:$Z$179,21,FALSE)</f>
        <v>0</v>
      </c>
      <c r="AD321" s="105">
        <f t="shared" si="93"/>
        <v>0</v>
      </c>
      <c r="AE321" s="105">
        <f>J321+L321+N321+O321+Q321+S321+U321+W321+Y321+AA321+AC321</f>
        <v>42.972585911861643</v>
      </c>
      <c r="AF321" s="105">
        <f t="shared" si="94"/>
        <v>0</v>
      </c>
      <c r="AG321" s="105"/>
      <c r="AH321" s="106">
        <f>AE321-S321-W321</f>
        <v>27.326585911861642</v>
      </c>
      <c r="AI321" s="85">
        <f>AH321/AE321</f>
        <v>0.63590741241193804</v>
      </c>
      <c r="AK321" s="106">
        <f t="shared" si="82"/>
        <v>15.646000000000001</v>
      </c>
      <c r="AL321" s="106">
        <f t="shared" si="83"/>
        <v>15.646000000000001</v>
      </c>
      <c r="AQ321" s="107"/>
      <c r="AS321" s="108"/>
    </row>
    <row r="322" spans="1:45" x14ac:dyDescent="0.2">
      <c r="B322" s="101"/>
      <c r="C322" s="92"/>
      <c r="D322" s="92"/>
      <c r="F322" s="109"/>
      <c r="G322" s="109"/>
      <c r="H322" s="109"/>
      <c r="I322" s="109"/>
      <c r="J322" s="105"/>
      <c r="K322" s="105"/>
      <c r="L322" s="105"/>
      <c r="M322" s="105">
        <f t="shared" si="95"/>
        <v>0</v>
      </c>
      <c r="N322" s="105"/>
      <c r="O322" s="105"/>
      <c r="P322" s="105">
        <f t="shared" si="96"/>
        <v>0</v>
      </c>
      <c r="Q322" s="105"/>
      <c r="R322" s="105">
        <f t="shared" si="97"/>
        <v>0</v>
      </c>
      <c r="S322" s="105"/>
      <c r="T322" s="105">
        <f t="shared" si="98"/>
        <v>0</v>
      </c>
      <c r="U322" s="105"/>
      <c r="V322" s="91">
        <f t="shared" si="88"/>
        <v>0</v>
      </c>
      <c r="W322" s="105"/>
      <c r="X322" s="105">
        <f t="shared" si="99"/>
        <v>0</v>
      </c>
      <c r="Y322" s="105"/>
      <c r="Z322" s="105">
        <f t="shared" si="100"/>
        <v>0</v>
      </c>
      <c r="AA322" s="105"/>
      <c r="AB322" s="105">
        <f>$F322*AA322</f>
        <v>0</v>
      </c>
      <c r="AC322" s="105"/>
      <c r="AD322" s="105">
        <f t="shared" si="93"/>
        <v>0</v>
      </c>
      <c r="AE322" s="105"/>
      <c r="AF322" s="105">
        <f t="shared" si="94"/>
        <v>0</v>
      </c>
      <c r="AG322" s="105"/>
      <c r="AH322" s="106"/>
      <c r="AK322" s="106">
        <f t="shared" si="82"/>
        <v>0</v>
      </c>
      <c r="AL322" s="106">
        <f t="shared" si="83"/>
        <v>0</v>
      </c>
      <c r="AQ322" s="107"/>
      <c r="AS322" s="108"/>
    </row>
    <row r="323" spans="1:45" x14ac:dyDescent="0.2">
      <c r="A323" s="85" t="s">
        <v>143</v>
      </c>
      <c r="B323" s="101" t="s">
        <v>142</v>
      </c>
      <c r="C323" s="86" t="s">
        <v>696</v>
      </c>
      <c r="F323" s="102">
        <f>E323</f>
        <v>0</v>
      </c>
      <c r="G323" s="102"/>
      <c r="H323" s="102"/>
      <c r="I323" s="102"/>
      <c r="J323" s="105"/>
      <c r="K323" s="105"/>
      <c r="L323" s="105"/>
      <c r="M323" s="105">
        <f t="shared" si="95"/>
        <v>0</v>
      </c>
      <c r="N323" s="105"/>
      <c r="O323" s="105"/>
      <c r="P323" s="105">
        <f t="shared" si="96"/>
        <v>0</v>
      </c>
      <c r="Q323" s="105"/>
      <c r="R323" s="105">
        <f t="shared" si="97"/>
        <v>0</v>
      </c>
      <c r="S323" s="105"/>
      <c r="T323" s="105">
        <f t="shared" si="98"/>
        <v>0</v>
      </c>
      <c r="U323" s="105"/>
      <c r="V323" s="91">
        <f t="shared" si="88"/>
        <v>0</v>
      </c>
      <c r="W323" s="105"/>
      <c r="X323" s="105">
        <f t="shared" si="99"/>
        <v>0</v>
      </c>
      <c r="Y323" s="105"/>
      <c r="Z323" s="105">
        <f t="shared" si="100"/>
        <v>0</v>
      </c>
      <c r="AA323" s="105"/>
      <c r="AB323" s="105">
        <f>$F323*AA323</f>
        <v>0</v>
      </c>
      <c r="AC323" s="105"/>
      <c r="AD323" s="105">
        <f t="shared" si="93"/>
        <v>0</v>
      </c>
      <c r="AE323" s="105"/>
      <c r="AF323" s="105">
        <f t="shared" si="94"/>
        <v>0</v>
      </c>
      <c r="AG323" s="105"/>
      <c r="AH323" s="106"/>
      <c r="AK323" s="106">
        <f t="shared" si="82"/>
        <v>0</v>
      </c>
      <c r="AL323" s="106">
        <f t="shared" si="83"/>
        <v>0</v>
      </c>
      <c r="AQ323" s="107"/>
      <c r="AS323" s="108"/>
    </row>
    <row r="324" spans="1:45" x14ac:dyDescent="0.2">
      <c r="A324" s="85" t="s">
        <v>143</v>
      </c>
      <c r="B324" s="101" t="s">
        <v>241</v>
      </c>
      <c r="C324" s="86" t="s">
        <v>696</v>
      </c>
      <c r="F324" s="102">
        <f>E324</f>
        <v>0</v>
      </c>
      <c r="G324" s="102"/>
      <c r="H324" s="102"/>
      <c r="I324" s="102"/>
      <c r="J324" s="105"/>
      <c r="K324" s="105"/>
      <c r="L324" s="105"/>
      <c r="M324" s="105">
        <f t="shared" si="95"/>
        <v>0</v>
      </c>
      <c r="N324" s="105"/>
      <c r="O324" s="105"/>
      <c r="P324" s="105">
        <f t="shared" si="96"/>
        <v>0</v>
      </c>
      <c r="Q324" s="105"/>
      <c r="R324" s="105">
        <f t="shared" si="97"/>
        <v>0</v>
      </c>
      <c r="S324" s="105"/>
      <c r="T324" s="105">
        <f t="shared" si="98"/>
        <v>0</v>
      </c>
      <c r="U324" s="105"/>
      <c r="V324" s="91">
        <f t="shared" si="88"/>
        <v>0</v>
      </c>
      <c r="W324" s="105"/>
      <c r="X324" s="105">
        <f t="shared" si="99"/>
        <v>0</v>
      </c>
      <c r="Y324" s="105"/>
      <c r="Z324" s="105">
        <f t="shared" si="100"/>
        <v>0</v>
      </c>
      <c r="AA324" s="105"/>
      <c r="AB324" s="105">
        <f>$F324*AA324</f>
        <v>0</v>
      </c>
      <c r="AC324" s="105"/>
      <c r="AD324" s="105">
        <f t="shared" si="93"/>
        <v>0</v>
      </c>
      <c r="AE324" s="105"/>
      <c r="AF324" s="105">
        <f t="shared" si="94"/>
        <v>0</v>
      </c>
      <c r="AG324" s="105"/>
      <c r="AH324" s="106"/>
      <c r="AK324" s="106">
        <f t="shared" si="82"/>
        <v>0</v>
      </c>
      <c r="AL324" s="106">
        <f t="shared" si="83"/>
        <v>0</v>
      </c>
      <c r="AQ324" s="107"/>
      <c r="AS324" s="108"/>
    </row>
    <row r="325" spans="1:45" x14ac:dyDescent="0.2">
      <c r="A325" s="85" t="s">
        <v>143</v>
      </c>
      <c r="B325" s="101" t="s">
        <v>48</v>
      </c>
      <c r="C325" s="86" t="s">
        <v>696</v>
      </c>
      <c r="F325" s="102">
        <f>E325</f>
        <v>0</v>
      </c>
      <c r="G325" s="102"/>
      <c r="H325" s="102"/>
      <c r="I325" s="102"/>
      <c r="J325" s="105"/>
      <c r="K325" s="105"/>
      <c r="L325" s="105"/>
      <c r="M325" s="105">
        <f t="shared" si="95"/>
        <v>0</v>
      </c>
      <c r="N325" s="105"/>
      <c r="O325" s="105"/>
      <c r="P325" s="105">
        <f t="shared" si="96"/>
        <v>0</v>
      </c>
      <c r="Q325" s="105"/>
      <c r="R325" s="105">
        <f t="shared" si="97"/>
        <v>0</v>
      </c>
      <c r="S325" s="105"/>
      <c r="T325" s="105">
        <f t="shared" si="98"/>
        <v>0</v>
      </c>
      <c r="U325" s="105"/>
      <c r="V325" s="91">
        <f t="shared" si="88"/>
        <v>0</v>
      </c>
      <c r="W325" s="105"/>
      <c r="X325" s="105">
        <f t="shared" si="99"/>
        <v>0</v>
      </c>
      <c r="Y325" s="105"/>
      <c r="Z325" s="105">
        <f t="shared" si="100"/>
        <v>0</v>
      </c>
      <c r="AA325" s="105"/>
      <c r="AB325" s="105">
        <f>$F323*AA325</f>
        <v>0</v>
      </c>
      <c r="AC325" s="105"/>
      <c r="AD325" s="105">
        <f t="shared" si="93"/>
        <v>0</v>
      </c>
      <c r="AE325" s="105"/>
      <c r="AF325" s="105">
        <f t="shared" si="94"/>
        <v>0</v>
      </c>
      <c r="AG325" s="105"/>
      <c r="AH325" s="106"/>
      <c r="AK325" s="106">
        <f t="shared" si="82"/>
        <v>0</v>
      </c>
      <c r="AL325" s="106">
        <f t="shared" si="83"/>
        <v>0</v>
      </c>
      <c r="AQ325" s="107"/>
      <c r="AS325" s="108"/>
    </row>
    <row r="326" spans="1:45" x14ac:dyDescent="0.2">
      <c r="A326" s="85" t="s">
        <v>143</v>
      </c>
      <c r="B326" s="101"/>
      <c r="C326" s="92" t="s">
        <v>697</v>
      </c>
      <c r="D326" s="92"/>
      <c r="F326" s="104">
        <f>SUM(F323:F325)</f>
        <v>0</v>
      </c>
      <c r="G326" s="104">
        <f>F326</f>
        <v>0</v>
      </c>
      <c r="H326" s="105">
        <f>VLOOKUP(A326,Data!$A$2:$Z$179,24,FALSE)</f>
        <v>27</v>
      </c>
      <c r="I326" s="105">
        <f>VLOOKUP(A326,Data!$A$2:$Z$179,25,FALSE)</f>
        <v>3.6399999999999997</v>
      </c>
      <c r="J326" s="105">
        <f>VLOOKUP(A326,Data!$A$2:$Z$179,7,FALSE)</f>
        <v>23.36</v>
      </c>
      <c r="K326" s="105">
        <f>$F326*J326</f>
        <v>0</v>
      </c>
      <c r="L326" s="105">
        <f>VLOOKUP(A326,Data!$A$2:$Z$179,8,FALSE)</f>
        <v>0</v>
      </c>
      <c r="M326" s="105">
        <f>L326*F326</f>
        <v>0</v>
      </c>
      <c r="N326" s="105">
        <f>VLOOKUP(A326,Data!$A$2:$Z$179,9,FALSE)</f>
        <v>0</v>
      </c>
      <c r="O326" s="105">
        <f>VLOOKUP(A325,Data!$A$2:$Z$179,10,FALSE)</f>
        <v>0</v>
      </c>
      <c r="P326" s="105">
        <f>O326*F326</f>
        <v>0</v>
      </c>
      <c r="Q326" s="105">
        <f>VLOOKUP(A326,Data!$A$2:$Z$179,11,FALSE)</f>
        <v>0</v>
      </c>
      <c r="R326" s="105">
        <f t="shared" si="97"/>
        <v>0</v>
      </c>
      <c r="S326" s="105">
        <f>VLOOKUP(A326,Data!$A$2:$Z$179,12,FALSE)</f>
        <v>5.7149999999999999</v>
      </c>
      <c r="T326" s="105">
        <f>S326*F326</f>
        <v>0</v>
      </c>
      <c r="U326" s="105">
        <f>VLOOKUP(A326,Data!$A$2:$Z$179,13,FALSE)</f>
        <v>0.12295434248019925</v>
      </c>
      <c r="V326" s="91">
        <f t="shared" si="88"/>
        <v>0</v>
      </c>
      <c r="W326" s="105">
        <f>VLOOKUP(A326,Data!$A$2:$Z$179,22,FALSE)</f>
        <v>0</v>
      </c>
      <c r="X326" s="105">
        <f>W326*F326</f>
        <v>0</v>
      </c>
      <c r="Y326" s="105">
        <f>VLOOKUP(A326,Data!$A$2:$Z$179,19,FALSE)</f>
        <v>0</v>
      </c>
      <c r="Z326" s="105">
        <f t="shared" si="100"/>
        <v>0</v>
      </c>
      <c r="AA326" s="105">
        <f>VLOOKUP(A326,Data!$A$2:$Z$179,20,FALSE)</f>
        <v>0</v>
      </c>
      <c r="AB326" s="105">
        <f>$F326*AA326</f>
        <v>0</v>
      </c>
      <c r="AC326" s="105">
        <f>VLOOKUP(A326,Data!$A$2:$Z$179,21,FALSE)</f>
        <v>0</v>
      </c>
      <c r="AD326" s="105">
        <f t="shared" si="93"/>
        <v>0</v>
      </c>
      <c r="AE326" s="105">
        <f>J326+L326+N326+O326+Q326+S326+U326+W326+Y326+AA326+AC326</f>
        <v>29.197954342480198</v>
      </c>
      <c r="AF326" s="105">
        <f t="shared" si="94"/>
        <v>0</v>
      </c>
      <c r="AG326" s="105"/>
      <c r="AH326" s="106">
        <f>AE326-S326-W326</f>
        <v>23.482954342480198</v>
      </c>
      <c r="AI326" s="85">
        <f>AH326/AE326</f>
        <v>0.80426710950481806</v>
      </c>
      <c r="AK326" s="106">
        <f t="shared" si="82"/>
        <v>5.7149999999999999</v>
      </c>
      <c r="AL326" s="106">
        <f t="shared" si="83"/>
        <v>5.7149999999999999</v>
      </c>
      <c r="AQ326" s="107"/>
      <c r="AS326" s="108"/>
    </row>
    <row r="327" spans="1:45" x14ac:dyDescent="0.2">
      <c r="B327" s="101"/>
      <c r="C327" s="92"/>
      <c r="D327" s="92"/>
      <c r="F327" s="109"/>
      <c r="G327" s="109"/>
      <c r="H327" s="109"/>
      <c r="I327" s="109"/>
      <c r="J327" s="105"/>
      <c r="K327" s="105"/>
      <c r="L327" s="105"/>
      <c r="M327" s="105">
        <f t="shared" si="95"/>
        <v>0</v>
      </c>
      <c r="N327" s="105"/>
      <c r="O327" s="105"/>
      <c r="P327" s="105">
        <f t="shared" si="96"/>
        <v>0</v>
      </c>
      <c r="Q327" s="105"/>
      <c r="R327" s="105">
        <f t="shared" si="97"/>
        <v>0</v>
      </c>
      <c r="S327" s="105"/>
      <c r="T327" s="105">
        <f t="shared" si="98"/>
        <v>0</v>
      </c>
      <c r="U327" s="105"/>
      <c r="V327" s="91">
        <f t="shared" si="88"/>
        <v>0</v>
      </c>
      <c r="W327" s="105"/>
      <c r="X327" s="105">
        <f t="shared" si="99"/>
        <v>0</v>
      </c>
      <c r="Y327" s="105"/>
      <c r="Z327" s="105">
        <f t="shared" si="100"/>
        <v>0</v>
      </c>
      <c r="AA327" s="105"/>
      <c r="AB327" s="105">
        <f>$F325*AA327</f>
        <v>0</v>
      </c>
      <c r="AC327" s="105"/>
      <c r="AD327" s="105">
        <f t="shared" si="93"/>
        <v>0</v>
      </c>
      <c r="AE327" s="105"/>
      <c r="AF327" s="105">
        <f t="shared" si="94"/>
        <v>0</v>
      </c>
      <c r="AG327" s="105"/>
      <c r="AH327" s="106"/>
      <c r="AK327" s="106">
        <f t="shared" si="82"/>
        <v>0</v>
      </c>
      <c r="AL327" s="106">
        <f t="shared" si="83"/>
        <v>0</v>
      </c>
      <c r="AQ327" s="107"/>
      <c r="AS327" s="108"/>
    </row>
    <row r="328" spans="1:45" x14ac:dyDescent="0.2">
      <c r="A328" s="112" t="s">
        <v>144</v>
      </c>
      <c r="B328" s="101" t="s">
        <v>142</v>
      </c>
      <c r="C328" s="86" t="s">
        <v>698</v>
      </c>
      <c r="F328" s="102">
        <f>E328</f>
        <v>0</v>
      </c>
      <c r="G328" s="102"/>
      <c r="H328" s="102"/>
      <c r="I328" s="102"/>
      <c r="J328" s="105"/>
      <c r="K328" s="105"/>
      <c r="L328" s="105"/>
      <c r="M328" s="105">
        <f t="shared" si="95"/>
        <v>0</v>
      </c>
      <c r="N328" s="105"/>
      <c r="O328" s="105"/>
      <c r="P328" s="105">
        <f t="shared" si="96"/>
        <v>0</v>
      </c>
      <c r="Q328" s="105"/>
      <c r="R328" s="105">
        <f t="shared" si="97"/>
        <v>0</v>
      </c>
      <c r="S328" s="105"/>
      <c r="T328" s="105">
        <f t="shared" si="98"/>
        <v>0</v>
      </c>
      <c r="U328" s="105"/>
      <c r="V328" s="91">
        <f t="shared" si="88"/>
        <v>0</v>
      </c>
      <c r="W328" s="105"/>
      <c r="X328" s="105">
        <f t="shared" si="99"/>
        <v>0</v>
      </c>
      <c r="Y328" s="105"/>
      <c r="Z328" s="105">
        <f t="shared" si="100"/>
        <v>0</v>
      </c>
      <c r="AA328" s="105"/>
      <c r="AB328" s="105">
        <f>$F326*AA328</f>
        <v>0</v>
      </c>
      <c r="AC328" s="105"/>
      <c r="AD328" s="105">
        <f t="shared" si="93"/>
        <v>0</v>
      </c>
      <c r="AE328" s="105"/>
      <c r="AF328" s="105">
        <f t="shared" si="94"/>
        <v>0</v>
      </c>
      <c r="AG328" s="105"/>
      <c r="AH328" s="106"/>
      <c r="AK328" s="106">
        <f t="shared" ref="AK328:AK391" si="104">O328+Q328+S328</f>
        <v>0</v>
      </c>
      <c r="AL328" s="106">
        <f t="shared" ref="AL328:AL391" si="105">O328+Q328+S328</f>
        <v>0</v>
      </c>
      <c r="AQ328" s="107"/>
      <c r="AS328" s="108"/>
    </row>
    <row r="329" spans="1:45" x14ac:dyDescent="0.2">
      <c r="A329" s="112" t="s">
        <v>144</v>
      </c>
      <c r="B329" s="101" t="s">
        <v>48</v>
      </c>
      <c r="C329" s="86" t="s">
        <v>698</v>
      </c>
      <c r="F329" s="102">
        <f>E329</f>
        <v>0</v>
      </c>
      <c r="G329" s="102"/>
      <c r="H329" s="102"/>
      <c r="I329" s="102"/>
      <c r="J329" s="105"/>
      <c r="K329" s="105"/>
      <c r="L329" s="105"/>
      <c r="M329" s="105">
        <f t="shared" si="95"/>
        <v>0</v>
      </c>
      <c r="N329" s="105"/>
      <c r="O329" s="105"/>
      <c r="P329" s="105">
        <f t="shared" si="96"/>
        <v>0</v>
      </c>
      <c r="Q329" s="105"/>
      <c r="R329" s="105">
        <f t="shared" si="97"/>
        <v>0</v>
      </c>
      <c r="S329" s="105"/>
      <c r="T329" s="105">
        <f t="shared" si="98"/>
        <v>0</v>
      </c>
      <c r="U329" s="105"/>
      <c r="V329" s="91">
        <f t="shared" si="88"/>
        <v>0</v>
      </c>
      <c r="W329" s="105"/>
      <c r="X329" s="105">
        <f t="shared" si="99"/>
        <v>0</v>
      </c>
      <c r="Y329" s="105"/>
      <c r="Z329" s="105">
        <f t="shared" si="100"/>
        <v>0</v>
      </c>
      <c r="AA329" s="105"/>
      <c r="AB329" s="105">
        <f>$F327*AA329</f>
        <v>0</v>
      </c>
      <c r="AC329" s="105"/>
      <c r="AD329" s="105">
        <f t="shared" si="93"/>
        <v>0</v>
      </c>
      <c r="AE329" s="105"/>
      <c r="AF329" s="105">
        <f t="shared" si="94"/>
        <v>0</v>
      </c>
      <c r="AG329" s="105"/>
      <c r="AH329" s="106"/>
      <c r="AK329" s="106">
        <f t="shared" si="104"/>
        <v>0</v>
      </c>
      <c r="AL329" s="106">
        <f t="shared" si="105"/>
        <v>0</v>
      </c>
      <c r="AQ329" s="107"/>
      <c r="AS329" s="108"/>
    </row>
    <row r="330" spans="1:45" x14ac:dyDescent="0.2">
      <c r="A330" s="112" t="s">
        <v>144</v>
      </c>
      <c r="B330" s="101"/>
      <c r="C330" s="92" t="s">
        <v>699</v>
      </c>
      <c r="D330" s="92"/>
      <c r="F330" s="104">
        <f>SUM(F328:F329)</f>
        <v>0</v>
      </c>
      <c r="G330" s="104">
        <f>F330</f>
        <v>0</v>
      </c>
      <c r="H330" s="105">
        <f>VLOOKUP(A330,Data!$A$2:$Z$179,24,FALSE)</f>
        <v>20.548999999999999</v>
      </c>
      <c r="I330" s="105">
        <f>VLOOKUP(A330,Data!$A$2:$Z$179,25,FALSE)</f>
        <v>0</v>
      </c>
      <c r="J330" s="105">
        <f>VLOOKUP(A330,Data!$A$2:$Z$179,7,FALSE)</f>
        <v>20.548999999999999</v>
      </c>
      <c r="K330" s="105">
        <f>$F330*J330</f>
        <v>0</v>
      </c>
      <c r="L330" s="105">
        <f>VLOOKUP(A330,Data!$A$2:$Z$179,8,FALSE)</f>
        <v>0</v>
      </c>
      <c r="M330" s="105">
        <f>L330*F330</f>
        <v>0</v>
      </c>
      <c r="N330" s="105">
        <f>VLOOKUP(A330,Data!$A$2:$Z$179,9,FALSE)</f>
        <v>0</v>
      </c>
      <c r="O330" s="105">
        <f>VLOOKUP(A329,Data!$A$2:$Z$179,10,FALSE)</f>
        <v>0</v>
      </c>
      <c r="P330" s="105">
        <f>O330*F330</f>
        <v>0</v>
      </c>
      <c r="Q330" s="105">
        <f>VLOOKUP(A330,Data!$A$2:$Z$179,11,FALSE)</f>
        <v>0</v>
      </c>
      <c r="R330" s="105">
        <f t="shared" si="97"/>
        <v>0</v>
      </c>
      <c r="S330" s="105">
        <f>VLOOKUP(A330,Data!$A$2:$Z$179,12,FALSE)</f>
        <v>5.51</v>
      </c>
      <c r="T330" s="105">
        <f>S330*F330</f>
        <v>0</v>
      </c>
      <c r="U330" s="105">
        <f>VLOOKUP(A330,Data!$A$2:$Z$179,13,FALSE)</f>
        <v>0.159</v>
      </c>
      <c r="V330" s="91">
        <f t="shared" si="88"/>
        <v>0</v>
      </c>
      <c r="W330" s="105">
        <f>VLOOKUP(A330,Data!$A$2:$Z$179,22,FALSE)</f>
        <v>0</v>
      </c>
      <c r="X330" s="105">
        <f>W330*F330</f>
        <v>0</v>
      </c>
      <c r="Y330" s="105">
        <f>VLOOKUP(A330,Data!$A$2:$Z$179,19,FALSE)</f>
        <v>0</v>
      </c>
      <c r="Z330" s="105">
        <f t="shared" si="100"/>
        <v>0</v>
      </c>
      <c r="AA330" s="105">
        <f>VLOOKUP(A330,Data!$A$2:$Z$179,20,FALSE)</f>
        <v>0</v>
      </c>
      <c r="AB330" s="105">
        <f>$F330*AA330</f>
        <v>0</v>
      </c>
      <c r="AC330" s="105">
        <f>VLOOKUP(A330,Data!$A$2:$Z$179,21,FALSE)</f>
        <v>0</v>
      </c>
      <c r="AD330" s="105">
        <f t="shared" si="93"/>
        <v>0</v>
      </c>
      <c r="AE330" s="105">
        <f>J330+L330+N330+O330+Q330+S330+U330+W330+Y330+AA330+AC330</f>
        <v>26.217999999999996</v>
      </c>
      <c r="AF330" s="105">
        <f t="shared" si="94"/>
        <v>0</v>
      </c>
      <c r="AG330" s="105"/>
      <c r="AH330" s="106">
        <f>AE330-S330-W330</f>
        <v>20.707999999999998</v>
      </c>
      <c r="AI330" s="85">
        <f>AH330/AE330</f>
        <v>0.78983904187962473</v>
      </c>
      <c r="AK330" s="106">
        <f t="shared" si="104"/>
        <v>5.51</v>
      </c>
      <c r="AL330" s="106">
        <f t="shared" si="105"/>
        <v>5.51</v>
      </c>
      <c r="AQ330" s="107"/>
      <c r="AS330" s="108"/>
    </row>
    <row r="331" spans="1:45" x14ac:dyDescent="0.2">
      <c r="B331" s="101"/>
      <c r="C331" s="92"/>
      <c r="D331" s="92"/>
      <c r="F331" s="109"/>
      <c r="G331" s="109"/>
      <c r="H331" s="109"/>
      <c r="I331" s="109"/>
      <c r="J331" s="105"/>
      <c r="K331" s="105"/>
      <c r="L331" s="105"/>
      <c r="M331" s="105">
        <f t="shared" si="95"/>
        <v>0</v>
      </c>
      <c r="N331" s="105"/>
      <c r="O331" s="105"/>
      <c r="P331" s="105">
        <f t="shared" si="96"/>
        <v>0</v>
      </c>
      <c r="Q331" s="105"/>
      <c r="R331" s="105">
        <f t="shared" si="97"/>
        <v>0</v>
      </c>
      <c r="S331" s="105"/>
      <c r="T331" s="105">
        <f t="shared" si="98"/>
        <v>0</v>
      </c>
      <c r="U331" s="105"/>
      <c r="V331" s="91">
        <f t="shared" si="88"/>
        <v>0</v>
      </c>
      <c r="W331" s="105"/>
      <c r="X331" s="105">
        <f t="shared" si="99"/>
        <v>0</v>
      </c>
      <c r="Y331" s="105"/>
      <c r="Z331" s="105">
        <f t="shared" si="100"/>
        <v>0</v>
      </c>
      <c r="AA331" s="105"/>
      <c r="AB331" s="105">
        <f>$F330*AA331</f>
        <v>0</v>
      </c>
      <c r="AC331" s="105"/>
      <c r="AD331" s="105">
        <f t="shared" si="93"/>
        <v>0</v>
      </c>
      <c r="AE331" s="105"/>
      <c r="AF331" s="105">
        <f t="shared" si="94"/>
        <v>0</v>
      </c>
      <c r="AG331" s="105"/>
      <c r="AH331" s="106"/>
      <c r="AK331" s="106">
        <f t="shared" si="104"/>
        <v>0</v>
      </c>
      <c r="AL331" s="106">
        <f t="shared" si="105"/>
        <v>0</v>
      </c>
      <c r="AQ331" s="107"/>
      <c r="AS331" s="108"/>
    </row>
    <row r="332" spans="1:45" x14ac:dyDescent="0.2">
      <c r="A332" s="85" t="s">
        <v>145</v>
      </c>
      <c r="B332" s="101" t="s">
        <v>45</v>
      </c>
      <c r="C332" s="86" t="s">
        <v>700</v>
      </c>
      <c r="F332" s="102">
        <f>E332</f>
        <v>0</v>
      </c>
      <c r="G332" s="103"/>
      <c r="H332" s="103"/>
      <c r="I332" s="103"/>
      <c r="J332" s="105"/>
      <c r="K332" s="105"/>
      <c r="L332" s="105"/>
      <c r="M332" s="105">
        <f t="shared" si="95"/>
        <v>0</v>
      </c>
      <c r="N332" s="105"/>
      <c r="O332" s="105"/>
      <c r="P332" s="105">
        <f t="shared" si="96"/>
        <v>0</v>
      </c>
      <c r="Q332" s="105"/>
      <c r="R332" s="105">
        <f t="shared" si="97"/>
        <v>0</v>
      </c>
      <c r="S332" s="105"/>
      <c r="T332" s="105">
        <f t="shared" si="98"/>
        <v>0</v>
      </c>
      <c r="U332" s="105"/>
      <c r="V332" s="91">
        <f t="shared" si="88"/>
        <v>0</v>
      </c>
      <c r="W332" s="105"/>
      <c r="X332" s="105">
        <f t="shared" si="99"/>
        <v>0</v>
      </c>
      <c r="Y332" s="105"/>
      <c r="Z332" s="105">
        <f t="shared" si="100"/>
        <v>0</v>
      </c>
      <c r="AA332" s="105"/>
      <c r="AB332" s="105">
        <f>$F331*AA332</f>
        <v>0</v>
      </c>
      <c r="AC332" s="105"/>
      <c r="AD332" s="105">
        <f t="shared" si="93"/>
        <v>0</v>
      </c>
      <c r="AE332" s="105"/>
      <c r="AF332" s="105">
        <f t="shared" si="94"/>
        <v>0</v>
      </c>
      <c r="AG332" s="105"/>
      <c r="AH332" s="106"/>
      <c r="AK332" s="106">
        <f t="shared" si="104"/>
        <v>0</v>
      </c>
      <c r="AL332" s="106">
        <f t="shared" si="105"/>
        <v>0</v>
      </c>
      <c r="AQ332" s="107"/>
      <c r="AS332" s="108"/>
    </row>
    <row r="333" spans="1:45" x14ac:dyDescent="0.2">
      <c r="A333" s="85" t="s">
        <v>145</v>
      </c>
      <c r="B333" s="101"/>
      <c r="C333" s="92" t="s">
        <v>701</v>
      </c>
      <c r="D333" s="92"/>
      <c r="F333" s="104">
        <f>SUM(F332)</f>
        <v>0</v>
      </c>
      <c r="G333" s="104">
        <f>F333</f>
        <v>0</v>
      </c>
      <c r="H333" s="105">
        <f>VLOOKUP(A333,Data!$A$2:$Z$179,24,FALSE)</f>
        <v>27</v>
      </c>
      <c r="I333" s="105">
        <f>VLOOKUP(A333,Data!$A$2:$Z$179,25,FALSE)</f>
        <v>13.573</v>
      </c>
      <c r="J333" s="105">
        <f>VLOOKUP(A333,Data!$A$2:$Z$179,7,FALSE)</f>
        <v>13.427</v>
      </c>
      <c r="K333" s="105">
        <f>$F333*J333</f>
        <v>0</v>
      </c>
      <c r="L333" s="105">
        <f>VLOOKUP(A333,Data!$A$2:$Z$179,8,FALSE)</f>
        <v>0</v>
      </c>
      <c r="M333" s="105">
        <f>L333*F333</f>
        <v>0</v>
      </c>
      <c r="N333" s="105">
        <f>VLOOKUP(A333,Data!$A$2:$Z$179,9,FALSE)</f>
        <v>0</v>
      </c>
      <c r="O333" s="105">
        <f>VLOOKUP(A332,Data!$A$2:$Z$179,10,FALSE)</f>
        <v>0</v>
      </c>
      <c r="P333" s="105">
        <f>O333*F333</f>
        <v>0</v>
      </c>
      <c r="Q333" s="105">
        <f>VLOOKUP(A333,Data!$A$2:$Z$179,11,FALSE)</f>
        <v>0</v>
      </c>
      <c r="R333" s="105">
        <f t="shared" si="97"/>
        <v>0</v>
      </c>
      <c r="S333" s="105">
        <f>VLOOKUP(A333,Data!$A$2:$Z$179,12,FALSE)</f>
        <v>0</v>
      </c>
      <c r="T333" s="105">
        <f>S333*F333</f>
        <v>0</v>
      </c>
      <c r="U333" s="105">
        <f>VLOOKUP(A333,Data!$A$2:$Z$179,13,FALSE)</f>
        <v>5.0591433287918586E-3</v>
      </c>
      <c r="V333" s="91">
        <f t="shared" si="88"/>
        <v>0</v>
      </c>
      <c r="W333" s="105">
        <f>VLOOKUP(A333,Data!$A$2:$Z$179,22,FALSE)</f>
        <v>0</v>
      </c>
      <c r="X333" s="105">
        <f>W333*F333</f>
        <v>0</v>
      </c>
      <c r="Y333" s="105">
        <f>VLOOKUP(A333,Data!$A$2:$Z$179,19,FALSE)</f>
        <v>0</v>
      </c>
      <c r="Z333" s="105">
        <f t="shared" si="100"/>
        <v>0</v>
      </c>
      <c r="AA333" s="105">
        <f>VLOOKUP(A333,Data!$A$2:$Z$179,20,FALSE)</f>
        <v>0</v>
      </c>
      <c r="AB333" s="105">
        <f>$F333*AA333</f>
        <v>0</v>
      </c>
      <c r="AC333" s="105">
        <f>VLOOKUP(A333,Data!$A$2:$Z$179,21,FALSE)</f>
        <v>0</v>
      </c>
      <c r="AD333" s="105">
        <f t="shared" si="93"/>
        <v>0</v>
      </c>
      <c r="AE333" s="105">
        <f>J333+L333+N333+O333+Q333+S333+U333+W333+Y333+AA333+AC333</f>
        <v>13.432059143328791</v>
      </c>
      <c r="AF333" s="105">
        <f t="shared" si="94"/>
        <v>0</v>
      </c>
      <c r="AG333" s="105"/>
      <c r="AH333" s="106">
        <f>AE333-S333-W333</f>
        <v>13.432059143328791</v>
      </c>
      <c r="AI333" s="85">
        <f>AH333/AE333</f>
        <v>1</v>
      </c>
      <c r="AK333" s="106">
        <f t="shared" si="104"/>
        <v>0</v>
      </c>
      <c r="AL333" s="106">
        <f t="shared" si="105"/>
        <v>0</v>
      </c>
      <c r="AQ333" s="107"/>
      <c r="AS333" s="108"/>
    </row>
    <row r="334" spans="1:45" x14ac:dyDescent="0.2">
      <c r="B334" s="101"/>
      <c r="C334" s="92"/>
      <c r="D334" s="92"/>
      <c r="F334" s="109"/>
      <c r="G334" s="109"/>
      <c r="H334" s="109"/>
      <c r="I334" s="109"/>
      <c r="J334" s="105"/>
      <c r="K334" s="105"/>
      <c r="L334" s="105"/>
      <c r="M334" s="105">
        <f t="shared" si="95"/>
        <v>0</v>
      </c>
      <c r="N334" s="105"/>
      <c r="O334" s="105"/>
      <c r="P334" s="105">
        <f t="shared" si="96"/>
        <v>0</v>
      </c>
      <c r="Q334" s="105"/>
      <c r="R334" s="105">
        <f t="shared" si="97"/>
        <v>0</v>
      </c>
      <c r="S334" s="105"/>
      <c r="T334" s="105">
        <f t="shared" si="98"/>
        <v>0</v>
      </c>
      <c r="U334" s="105"/>
      <c r="V334" s="91">
        <f t="shared" si="88"/>
        <v>0</v>
      </c>
      <c r="W334" s="105"/>
      <c r="X334" s="105">
        <f t="shared" si="99"/>
        <v>0</v>
      </c>
      <c r="Y334" s="105"/>
      <c r="Z334" s="105">
        <f t="shared" si="100"/>
        <v>0</v>
      </c>
      <c r="AA334" s="105"/>
      <c r="AB334" s="105">
        <f t="shared" ref="AB334:AB353" si="106">$F334*AA334</f>
        <v>0</v>
      </c>
      <c r="AC334" s="105"/>
      <c r="AD334" s="105">
        <f t="shared" si="93"/>
        <v>0</v>
      </c>
      <c r="AE334" s="105"/>
      <c r="AF334" s="105">
        <f t="shared" si="94"/>
        <v>0</v>
      </c>
      <c r="AG334" s="105"/>
      <c r="AH334" s="106"/>
      <c r="AK334" s="106">
        <f t="shared" si="104"/>
        <v>0</v>
      </c>
      <c r="AL334" s="106">
        <f t="shared" si="105"/>
        <v>0</v>
      </c>
      <c r="AQ334" s="107"/>
      <c r="AS334" s="108"/>
    </row>
    <row r="335" spans="1:45" x14ac:dyDescent="0.2">
      <c r="A335" s="85" t="s">
        <v>146</v>
      </c>
      <c r="B335" s="101" t="s">
        <v>45</v>
      </c>
      <c r="C335" s="86" t="s">
        <v>702</v>
      </c>
      <c r="F335" s="102">
        <f>E335</f>
        <v>0</v>
      </c>
      <c r="G335" s="103"/>
      <c r="H335" s="103"/>
      <c r="I335" s="103"/>
      <c r="J335" s="105"/>
      <c r="K335" s="105"/>
      <c r="L335" s="105"/>
      <c r="M335" s="105">
        <f t="shared" si="95"/>
        <v>0</v>
      </c>
      <c r="N335" s="105"/>
      <c r="O335" s="105"/>
      <c r="P335" s="105">
        <f t="shared" si="96"/>
        <v>0</v>
      </c>
      <c r="Q335" s="105"/>
      <c r="R335" s="105">
        <f t="shared" si="97"/>
        <v>0</v>
      </c>
      <c r="S335" s="105"/>
      <c r="T335" s="105">
        <f t="shared" si="98"/>
        <v>0</v>
      </c>
      <c r="U335" s="105"/>
      <c r="V335" s="91">
        <f t="shared" si="88"/>
        <v>0</v>
      </c>
      <c r="W335" s="105"/>
      <c r="X335" s="105">
        <f t="shared" si="99"/>
        <v>0</v>
      </c>
      <c r="Y335" s="105"/>
      <c r="Z335" s="105">
        <f t="shared" si="100"/>
        <v>0</v>
      </c>
      <c r="AA335" s="105"/>
      <c r="AB335" s="105">
        <f t="shared" si="106"/>
        <v>0</v>
      </c>
      <c r="AC335" s="105"/>
      <c r="AD335" s="105">
        <f t="shared" si="93"/>
        <v>0</v>
      </c>
      <c r="AE335" s="105"/>
      <c r="AF335" s="105">
        <f t="shared" si="94"/>
        <v>0</v>
      </c>
      <c r="AG335" s="105"/>
      <c r="AH335" s="106"/>
      <c r="AK335" s="106">
        <f t="shared" si="104"/>
        <v>0</v>
      </c>
      <c r="AL335" s="106">
        <f t="shared" si="105"/>
        <v>0</v>
      </c>
      <c r="AQ335" s="107"/>
      <c r="AS335" s="108"/>
    </row>
    <row r="336" spans="1:45" x14ac:dyDescent="0.2">
      <c r="A336" s="85" t="s">
        <v>146</v>
      </c>
      <c r="B336" s="101"/>
      <c r="C336" s="92" t="s">
        <v>703</v>
      </c>
      <c r="D336" s="92"/>
      <c r="F336" s="104">
        <f>SUM(F335)</f>
        <v>0</v>
      </c>
      <c r="G336" s="104">
        <f>F336</f>
        <v>0</v>
      </c>
      <c r="H336" s="105">
        <f>VLOOKUP(A336,Data!$A$2:$Z$179,24,FALSE)</f>
        <v>4.1689999999999996</v>
      </c>
      <c r="I336" s="105">
        <f>VLOOKUP(A336,Data!$A$2:$Z$179,25,FALSE)</f>
        <v>1.4889999999999999</v>
      </c>
      <c r="J336" s="105">
        <f>VLOOKUP(A336,Data!$A$2:$Z$179,7,FALSE)</f>
        <v>2.6799999999999997</v>
      </c>
      <c r="K336" s="105">
        <f>$F336*J336</f>
        <v>0</v>
      </c>
      <c r="L336" s="105">
        <f>VLOOKUP(A336,Data!$A$2:$Z$179,8,FALSE)</f>
        <v>0</v>
      </c>
      <c r="M336" s="105">
        <f>L336*F336</f>
        <v>0</v>
      </c>
      <c r="N336" s="105">
        <f>VLOOKUP(A336,Data!$A$2:$Z$179,9,FALSE)</f>
        <v>0</v>
      </c>
      <c r="O336" s="105">
        <f>VLOOKUP(A335,Data!$A$2:$Z$179,10,FALSE)</f>
        <v>0.96100000000000008</v>
      </c>
      <c r="P336" s="105">
        <f>O336*F336</f>
        <v>0</v>
      </c>
      <c r="Q336" s="105">
        <f>VLOOKUP(A336,Data!$A$2:$Z$179,11,FALSE)</f>
        <v>0</v>
      </c>
      <c r="R336" s="105">
        <f t="shared" si="97"/>
        <v>0</v>
      </c>
      <c r="S336" s="105">
        <f>VLOOKUP(A336,Data!$A$2:$Z$179,12,FALSE)</f>
        <v>4.2750000000000004</v>
      </c>
      <c r="T336" s="105">
        <f>S336*F336</f>
        <v>0</v>
      </c>
      <c r="U336" s="105">
        <f>VLOOKUP(A336,Data!$A$2:$Z$179,13,FALSE)</f>
        <v>6.7055289321221658E-5</v>
      </c>
      <c r="V336" s="91">
        <f t="shared" si="88"/>
        <v>0</v>
      </c>
      <c r="W336" s="105">
        <f>VLOOKUP(A336,Data!$A$2:$Z$179,22,FALSE)</f>
        <v>0</v>
      </c>
      <c r="X336" s="105">
        <f>W336*F336</f>
        <v>0</v>
      </c>
      <c r="Y336" s="105">
        <f>VLOOKUP(A336,Data!$A$2:$Z$179,19,FALSE)</f>
        <v>1.526</v>
      </c>
      <c r="Z336" s="105">
        <f t="shared" si="100"/>
        <v>0</v>
      </c>
      <c r="AA336" s="105">
        <f>VLOOKUP(A336,Data!$A$2:$Z$179,20,FALSE)</f>
        <v>0</v>
      </c>
      <c r="AB336" s="105">
        <f t="shared" si="106"/>
        <v>0</v>
      </c>
      <c r="AC336" s="105">
        <f>VLOOKUP(A336,Data!$A$2:$Z$179,21,FALSE)</f>
        <v>0</v>
      </c>
      <c r="AD336" s="105">
        <f t="shared" si="93"/>
        <v>0</v>
      </c>
      <c r="AE336" s="105">
        <f>J336+L336+N336+O336+Q336+S336+U336+W336+Y336+AA336+AC336</f>
        <v>9.4420670552893213</v>
      </c>
      <c r="AF336" s="105">
        <f t="shared" si="94"/>
        <v>0</v>
      </c>
      <c r="AG336" s="105"/>
      <c r="AH336" s="106">
        <f>AE336-S336-W336</f>
        <v>5.167067055289321</v>
      </c>
      <c r="AI336" s="85">
        <f>AH336/AE336</f>
        <v>0.54723897055939652</v>
      </c>
      <c r="AK336" s="106">
        <f t="shared" si="104"/>
        <v>5.2360000000000007</v>
      </c>
      <c r="AL336" s="106">
        <f t="shared" si="105"/>
        <v>5.2360000000000007</v>
      </c>
      <c r="AQ336" s="107"/>
      <c r="AS336" s="108"/>
    </row>
    <row r="337" spans="1:45" x14ac:dyDescent="0.2">
      <c r="B337" s="101"/>
      <c r="C337" s="92"/>
      <c r="D337" s="92"/>
      <c r="F337" s="109"/>
      <c r="G337" s="109"/>
      <c r="H337" s="109"/>
      <c r="I337" s="109"/>
      <c r="J337" s="105"/>
      <c r="K337" s="105"/>
      <c r="L337" s="105"/>
      <c r="M337" s="105">
        <f t="shared" si="95"/>
        <v>0</v>
      </c>
      <c r="N337" s="105"/>
      <c r="O337" s="105"/>
      <c r="P337" s="105">
        <f t="shared" si="96"/>
        <v>0</v>
      </c>
      <c r="Q337" s="105"/>
      <c r="R337" s="105">
        <f t="shared" si="97"/>
        <v>0</v>
      </c>
      <c r="S337" s="105"/>
      <c r="T337" s="105">
        <f t="shared" si="98"/>
        <v>0</v>
      </c>
      <c r="U337" s="105"/>
      <c r="V337" s="91">
        <f t="shared" si="88"/>
        <v>0</v>
      </c>
      <c r="W337" s="105"/>
      <c r="X337" s="105">
        <f t="shared" si="99"/>
        <v>0</v>
      </c>
      <c r="Y337" s="105"/>
      <c r="Z337" s="105">
        <f t="shared" si="100"/>
        <v>0</v>
      </c>
      <c r="AA337" s="105"/>
      <c r="AB337" s="105">
        <f t="shared" si="106"/>
        <v>0</v>
      </c>
      <c r="AC337" s="105"/>
      <c r="AD337" s="105">
        <f t="shared" si="93"/>
        <v>0</v>
      </c>
      <c r="AE337" s="105"/>
      <c r="AF337" s="105">
        <f t="shared" si="94"/>
        <v>0</v>
      </c>
      <c r="AG337" s="105"/>
      <c r="AH337" s="106"/>
      <c r="AK337" s="106">
        <f t="shared" si="104"/>
        <v>0</v>
      </c>
      <c r="AL337" s="106">
        <f t="shared" si="105"/>
        <v>0</v>
      </c>
      <c r="AQ337" s="107"/>
      <c r="AS337" s="108"/>
    </row>
    <row r="338" spans="1:45" x14ac:dyDescent="0.2">
      <c r="A338" s="85" t="s">
        <v>147</v>
      </c>
      <c r="B338" s="101" t="s">
        <v>45</v>
      </c>
      <c r="C338" s="86" t="s">
        <v>704</v>
      </c>
      <c r="F338" s="102">
        <f>E338</f>
        <v>0</v>
      </c>
      <c r="G338" s="103"/>
      <c r="H338" s="103"/>
      <c r="I338" s="103"/>
      <c r="J338" s="105"/>
      <c r="K338" s="105"/>
      <c r="L338" s="105"/>
      <c r="M338" s="105">
        <f t="shared" si="95"/>
        <v>0</v>
      </c>
      <c r="N338" s="105"/>
      <c r="O338" s="105"/>
      <c r="P338" s="105">
        <f t="shared" si="96"/>
        <v>0</v>
      </c>
      <c r="Q338" s="105"/>
      <c r="R338" s="105">
        <f t="shared" si="97"/>
        <v>0</v>
      </c>
      <c r="S338" s="105"/>
      <c r="T338" s="105">
        <f t="shared" si="98"/>
        <v>0</v>
      </c>
      <c r="U338" s="105"/>
      <c r="V338" s="91">
        <f t="shared" ref="V338:V401" si="107">U338*F338/1000</f>
        <v>0</v>
      </c>
      <c r="W338" s="105"/>
      <c r="X338" s="105">
        <f t="shared" si="99"/>
        <v>0</v>
      </c>
      <c r="Y338" s="105"/>
      <c r="Z338" s="105">
        <f t="shared" si="100"/>
        <v>0</v>
      </c>
      <c r="AA338" s="105"/>
      <c r="AB338" s="105">
        <f t="shared" si="106"/>
        <v>0</v>
      </c>
      <c r="AC338" s="105"/>
      <c r="AD338" s="105">
        <f t="shared" si="93"/>
        <v>0</v>
      </c>
      <c r="AE338" s="105"/>
      <c r="AF338" s="105">
        <f t="shared" si="94"/>
        <v>0</v>
      </c>
      <c r="AG338" s="105"/>
      <c r="AH338" s="106"/>
      <c r="AK338" s="106">
        <f t="shared" si="104"/>
        <v>0</v>
      </c>
      <c r="AL338" s="106">
        <f t="shared" si="105"/>
        <v>0</v>
      </c>
      <c r="AQ338" s="107"/>
      <c r="AS338" s="108"/>
    </row>
    <row r="339" spans="1:45" x14ac:dyDescent="0.2">
      <c r="A339" s="85" t="s">
        <v>147</v>
      </c>
      <c r="B339" s="101"/>
      <c r="C339" s="92" t="s">
        <v>705</v>
      </c>
      <c r="D339" s="92"/>
      <c r="F339" s="104">
        <f>SUM(F338)</f>
        <v>0</v>
      </c>
      <c r="G339" s="104">
        <f>F339</f>
        <v>0</v>
      </c>
      <c r="H339" s="105">
        <f>VLOOKUP(A339,Data!$A$2:$Z$179,24,FALSE)</f>
        <v>27</v>
      </c>
      <c r="I339" s="105">
        <f>VLOOKUP(A339,Data!$A$2:$Z$179,25,FALSE)</f>
        <v>3.3419999999999996</v>
      </c>
      <c r="J339" s="105">
        <f>VLOOKUP(A339,Data!$A$2:$Z$179,7,FALSE)</f>
        <v>23.658000000000001</v>
      </c>
      <c r="K339" s="105">
        <f>$F339*J339</f>
        <v>0</v>
      </c>
      <c r="L339" s="105">
        <f>VLOOKUP(A339,Data!$A$2:$Z$179,8,FALSE)</f>
        <v>0</v>
      </c>
      <c r="M339" s="105">
        <f>L339*F339</f>
        <v>0</v>
      </c>
      <c r="N339" s="105">
        <f>VLOOKUP(A339,Data!$A$2:$Z$179,9,FALSE)</f>
        <v>0</v>
      </c>
      <c r="O339" s="105">
        <f>VLOOKUP(A338,Data!$A$2:$Z$179,10,FALSE)</f>
        <v>0</v>
      </c>
      <c r="P339" s="105">
        <f>O339*F339</f>
        <v>0</v>
      </c>
      <c r="Q339" s="105">
        <f>VLOOKUP(A339,Data!$A$2:$Z$179,11,FALSE)</f>
        <v>0</v>
      </c>
      <c r="R339" s="105">
        <f t="shared" si="97"/>
        <v>0</v>
      </c>
      <c r="S339" s="105">
        <f>VLOOKUP(A339,Data!$A$2:$Z$179,12,FALSE)</f>
        <v>0</v>
      </c>
      <c r="T339" s="105">
        <f>S339*F339</f>
        <v>0</v>
      </c>
      <c r="U339" s="105">
        <f>VLOOKUP(A339,Data!$A$2:$Z$179,13,FALSE)</f>
        <v>6.1650927552927637E-3</v>
      </c>
      <c r="V339" s="91">
        <f t="shared" si="107"/>
        <v>0</v>
      </c>
      <c r="W339" s="105">
        <f>VLOOKUP(A339,Data!$A$2:$Z$179,22,FALSE)</f>
        <v>0</v>
      </c>
      <c r="X339" s="105">
        <f>W339*F339</f>
        <v>0</v>
      </c>
      <c r="Y339" s="105">
        <f>VLOOKUP(A339,Data!$A$2:$Z$179,19,FALSE)</f>
        <v>0</v>
      </c>
      <c r="Z339" s="105">
        <f t="shared" si="100"/>
        <v>0</v>
      </c>
      <c r="AA339" s="105">
        <f>VLOOKUP(A339,Data!$A$2:$Z$179,20,FALSE)</f>
        <v>0</v>
      </c>
      <c r="AB339" s="105">
        <f t="shared" si="106"/>
        <v>0</v>
      </c>
      <c r="AC339" s="105">
        <f>VLOOKUP(A339,Data!$A$2:$Z$179,21,FALSE)</f>
        <v>0</v>
      </c>
      <c r="AD339" s="105">
        <f t="shared" si="93"/>
        <v>0</v>
      </c>
      <c r="AE339" s="105">
        <f>J339+L339+N339+O339+Q339+S339+U339+W339+Y339+AA339+AC339</f>
        <v>23.664165092755294</v>
      </c>
      <c r="AF339" s="105">
        <f t="shared" si="94"/>
        <v>0</v>
      </c>
      <c r="AG339" s="105"/>
      <c r="AH339" s="106">
        <f>AE339-S339-W339</f>
        <v>23.664165092755294</v>
      </c>
      <c r="AI339" s="85">
        <f>AH339/AE339</f>
        <v>1</v>
      </c>
      <c r="AK339" s="106">
        <f t="shared" si="104"/>
        <v>0</v>
      </c>
      <c r="AL339" s="106">
        <f t="shared" si="105"/>
        <v>0</v>
      </c>
      <c r="AQ339" s="107"/>
      <c r="AS339" s="108"/>
    </row>
    <row r="340" spans="1:45" x14ac:dyDescent="0.2">
      <c r="B340" s="101"/>
      <c r="C340" s="92"/>
      <c r="D340" s="92"/>
      <c r="F340" s="109"/>
      <c r="G340" s="109"/>
      <c r="H340" s="109"/>
      <c r="I340" s="109"/>
      <c r="J340" s="105"/>
      <c r="K340" s="105"/>
      <c r="L340" s="105"/>
      <c r="M340" s="105">
        <f t="shared" si="95"/>
        <v>0</v>
      </c>
      <c r="N340" s="105"/>
      <c r="O340" s="105"/>
      <c r="P340" s="105">
        <f t="shared" si="96"/>
        <v>0</v>
      </c>
      <c r="Q340" s="105"/>
      <c r="R340" s="105">
        <f t="shared" si="97"/>
        <v>0</v>
      </c>
      <c r="S340" s="105"/>
      <c r="T340" s="105">
        <f t="shared" si="98"/>
        <v>0</v>
      </c>
      <c r="U340" s="105"/>
      <c r="V340" s="91">
        <f t="shared" si="107"/>
        <v>0</v>
      </c>
      <c r="W340" s="105"/>
      <c r="X340" s="105">
        <f t="shared" si="99"/>
        <v>0</v>
      </c>
      <c r="Y340" s="105"/>
      <c r="Z340" s="105">
        <f t="shared" si="100"/>
        <v>0</v>
      </c>
      <c r="AA340" s="105"/>
      <c r="AB340" s="105">
        <f t="shared" si="106"/>
        <v>0</v>
      </c>
      <c r="AC340" s="105"/>
      <c r="AD340" s="105">
        <f t="shared" si="93"/>
        <v>0</v>
      </c>
      <c r="AE340" s="105"/>
      <c r="AF340" s="105">
        <f t="shared" si="94"/>
        <v>0</v>
      </c>
      <c r="AG340" s="105"/>
      <c r="AH340" s="106"/>
      <c r="AK340" s="106">
        <f t="shared" si="104"/>
        <v>0</v>
      </c>
      <c r="AL340" s="106">
        <f t="shared" si="105"/>
        <v>0</v>
      </c>
      <c r="AQ340" s="107"/>
      <c r="AS340" s="108"/>
    </row>
    <row r="341" spans="1:45" ht="12" customHeight="1" x14ac:dyDescent="0.2">
      <c r="A341" s="85" t="s">
        <v>148</v>
      </c>
      <c r="B341" s="101" t="s">
        <v>45</v>
      </c>
      <c r="C341" s="86" t="s">
        <v>706</v>
      </c>
      <c r="F341" s="102">
        <f>E341</f>
        <v>0</v>
      </c>
      <c r="G341" s="103"/>
      <c r="H341" s="103"/>
      <c r="I341" s="103"/>
      <c r="J341" s="105"/>
      <c r="K341" s="105"/>
      <c r="L341" s="105"/>
      <c r="M341" s="105">
        <f t="shared" si="95"/>
        <v>0</v>
      </c>
      <c r="N341" s="105"/>
      <c r="O341" s="105"/>
      <c r="P341" s="105">
        <f t="shared" si="96"/>
        <v>0</v>
      </c>
      <c r="Q341" s="105"/>
      <c r="R341" s="105">
        <f t="shared" si="97"/>
        <v>0</v>
      </c>
      <c r="S341" s="105"/>
      <c r="T341" s="105">
        <f t="shared" si="98"/>
        <v>0</v>
      </c>
      <c r="U341" s="105"/>
      <c r="V341" s="91">
        <f t="shared" si="107"/>
        <v>0</v>
      </c>
      <c r="W341" s="105"/>
      <c r="X341" s="105">
        <f t="shared" si="99"/>
        <v>0</v>
      </c>
      <c r="Y341" s="105"/>
      <c r="Z341" s="105">
        <f t="shared" si="100"/>
        <v>0</v>
      </c>
      <c r="AA341" s="105"/>
      <c r="AB341" s="105">
        <f t="shared" si="106"/>
        <v>0</v>
      </c>
      <c r="AC341" s="105"/>
      <c r="AD341" s="105">
        <f t="shared" si="93"/>
        <v>0</v>
      </c>
      <c r="AE341" s="105"/>
      <c r="AF341" s="105">
        <f t="shared" si="94"/>
        <v>0</v>
      </c>
      <c r="AG341" s="105"/>
      <c r="AH341" s="106"/>
      <c r="AK341" s="106">
        <f t="shared" si="104"/>
        <v>0</v>
      </c>
      <c r="AL341" s="106">
        <f t="shared" si="105"/>
        <v>0</v>
      </c>
      <c r="AQ341" s="107"/>
      <c r="AS341" s="108"/>
    </row>
    <row r="342" spans="1:45" x14ac:dyDescent="0.2">
      <c r="A342" s="85" t="s">
        <v>148</v>
      </c>
      <c r="B342" s="101"/>
      <c r="C342" s="92" t="s">
        <v>707</v>
      </c>
      <c r="D342" s="92"/>
      <c r="F342" s="104">
        <f>SUM(F341)</f>
        <v>0</v>
      </c>
      <c r="G342" s="104">
        <f>F342</f>
        <v>0</v>
      </c>
      <c r="H342" s="105">
        <f>VLOOKUP(A342,Data!$A$2:$Z$179,24,FALSE)</f>
        <v>23.288</v>
      </c>
      <c r="I342" s="105">
        <f>VLOOKUP(A342,Data!$A$2:$Z$179,25,FALSE)</f>
        <v>13.768000000000001</v>
      </c>
      <c r="J342" s="105">
        <f>VLOOKUP(A342,Data!$A$2:$Z$179,7,FALSE)</f>
        <v>9.52</v>
      </c>
      <c r="K342" s="105">
        <f>$F342*J342</f>
        <v>0</v>
      </c>
      <c r="L342" s="105">
        <f>VLOOKUP(A342,Data!$A$2:$Z$179,8,FALSE)</f>
        <v>0</v>
      </c>
      <c r="M342" s="105">
        <f>L342*F342</f>
        <v>0</v>
      </c>
      <c r="N342" s="105">
        <f>VLOOKUP(A342,Data!$A$2:$Z$179,9,FALSE)</f>
        <v>0</v>
      </c>
      <c r="O342" s="105">
        <f>VLOOKUP(A341,Data!$A$2:$Z$179,10,FALSE)</f>
        <v>0.64400000000000002</v>
      </c>
      <c r="P342" s="105">
        <f>O342*F342</f>
        <v>0</v>
      </c>
      <c r="Q342" s="105">
        <f>VLOOKUP(A342,Data!$A$2:$Z$179,11,FALSE)</f>
        <v>0</v>
      </c>
      <c r="R342" s="105">
        <f t="shared" si="97"/>
        <v>0</v>
      </c>
      <c r="S342" s="105">
        <f>VLOOKUP(A342,Data!$A$2:$Z$179,12,FALSE)</f>
        <v>0</v>
      </c>
      <c r="T342" s="105">
        <f>S342*F342</f>
        <v>0</v>
      </c>
      <c r="U342" s="105">
        <f>VLOOKUP(A342,Data!$A$2:$Z$179,13,FALSE)</f>
        <v>1.7594983804794905E-3</v>
      </c>
      <c r="V342" s="91">
        <f t="shared" si="107"/>
        <v>0</v>
      </c>
      <c r="W342" s="105">
        <f>VLOOKUP(A342,Data!$A$2:$Z$179,22,FALSE)</f>
        <v>0</v>
      </c>
      <c r="X342" s="105">
        <f>W342*F342</f>
        <v>0</v>
      </c>
      <c r="Y342" s="105">
        <f>VLOOKUP(A342,Data!$A$2:$Z$179,19,FALSE)</f>
        <v>0</v>
      </c>
      <c r="Z342" s="105">
        <f t="shared" si="100"/>
        <v>0</v>
      </c>
      <c r="AA342" s="105">
        <f>VLOOKUP(A342,Data!$A$2:$Z$179,20,FALSE)</f>
        <v>0</v>
      </c>
      <c r="AB342" s="105">
        <f t="shared" si="106"/>
        <v>0</v>
      </c>
      <c r="AC342" s="105">
        <f>VLOOKUP(A342,Data!$A$2:$Z$179,21,FALSE)</f>
        <v>0</v>
      </c>
      <c r="AD342" s="105">
        <f t="shared" si="93"/>
        <v>0</v>
      </c>
      <c r="AE342" s="105">
        <f>J342+L342+N342+O342+Q342+S342+U342+W342+Y342+AA342+AC342</f>
        <v>10.16575949838048</v>
      </c>
      <c r="AF342" s="105">
        <f t="shared" si="94"/>
        <v>0</v>
      </c>
      <c r="AG342" s="105"/>
      <c r="AH342" s="106">
        <f>AE342-S342-W342</f>
        <v>10.16575949838048</v>
      </c>
      <c r="AI342" s="85">
        <f>AH342/AE342</f>
        <v>1</v>
      </c>
      <c r="AK342" s="106">
        <f t="shared" si="104"/>
        <v>0.64400000000000002</v>
      </c>
      <c r="AL342" s="106">
        <f t="shared" si="105"/>
        <v>0.64400000000000002</v>
      </c>
      <c r="AQ342" s="107"/>
      <c r="AS342" s="108"/>
    </row>
    <row r="343" spans="1:45" x14ac:dyDescent="0.2">
      <c r="B343" s="101"/>
      <c r="C343" s="92"/>
      <c r="D343" s="92"/>
      <c r="F343" s="109"/>
      <c r="G343" s="109"/>
      <c r="H343" s="109"/>
      <c r="I343" s="109"/>
      <c r="J343" s="105"/>
      <c r="K343" s="105"/>
      <c r="L343" s="105"/>
      <c r="M343" s="105">
        <f t="shared" si="95"/>
        <v>0</v>
      </c>
      <c r="N343" s="105"/>
      <c r="O343" s="105"/>
      <c r="P343" s="105">
        <f t="shared" si="96"/>
        <v>0</v>
      </c>
      <c r="Q343" s="105"/>
      <c r="R343" s="105">
        <f t="shared" si="97"/>
        <v>0</v>
      </c>
      <c r="S343" s="105"/>
      <c r="T343" s="105">
        <f t="shared" si="98"/>
        <v>0</v>
      </c>
      <c r="U343" s="105"/>
      <c r="V343" s="91">
        <f t="shared" si="107"/>
        <v>0</v>
      </c>
      <c r="W343" s="105"/>
      <c r="X343" s="105">
        <f t="shared" si="99"/>
        <v>0</v>
      </c>
      <c r="Y343" s="105"/>
      <c r="Z343" s="105">
        <f t="shared" si="100"/>
        <v>0</v>
      </c>
      <c r="AA343" s="105"/>
      <c r="AB343" s="105">
        <f t="shared" si="106"/>
        <v>0</v>
      </c>
      <c r="AC343" s="105"/>
      <c r="AD343" s="105">
        <f t="shared" si="93"/>
        <v>0</v>
      </c>
      <c r="AE343" s="105"/>
      <c r="AF343" s="105">
        <f t="shared" si="94"/>
        <v>0</v>
      </c>
      <c r="AG343" s="105"/>
      <c r="AH343" s="106"/>
      <c r="AK343" s="106">
        <f t="shared" si="104"/>
        <v>0</v>
      </c>
      <c r="AL343" s="106">
        <f t="shared" si="105"/>
        <v>0</v>
      </c>
      <c r="AQ343" s="107"/>
      <c r="AS343" s="108"/>
    </row>
    <row r="344" spans="1:45" x14ac:dyDescent="0.2">
      <c r="A344" s="85" t="s">
        <v>149</v>
      </c>
      <c r="B344" s="101" t="s">
        <v>45</v>
      </c>
      <c r="C344" s="86" t="s">
        <v>708</v>
      </c>
      <c r="D344" s="102">
        <v>18978307</v>
      </c>
      <c r="E344" s="102">
        <v>0</v>
      </c>
      <c r="F344" s="102">
        <f>D344+E344</f>
        <v>18978307</v>
      </c>
      <c r="G344" s="103"/>
      <c r="H344" s="103"/>
      <c r="I344" s="103"/>
      <c r="J344" s="105"/>
      <c r="K344" s="105"/>
      <c r="L344" s="105"/>
      <c r="M344" s="105">
        <f t="shared" si="95"/>
        <v>0</v>
      </c>
      <c r="N344" s="105"/>
      <c r="O344" s="105"/>
      <c r="P344" s="105">
        <f t="shared" si="96"/>
        <v>0</v>
      </c>
      <c r="Q344" s="105"/>
      <c r="R344" s="105">
        <f t="shared" si="97"/>
        <v>0</v>
      </c>
      <c r="S344" s="105"/>
      <c r="T344" s="105">
        <f t="shared" si="98"/>
        <v>0</v>
      </c>
      <c r="U344" s="105"/>
      <c r="V344" s="91">
        <f t="shared" si="107"/>
        <v>0</v>
      </c>
      <c r="W344" s="105"/>
      <c r="X344" s="105">
        <f t="shared" si="99"/>
        <v>0</v>
      </c>
      <c r="Y344" s="105"/>
      <c r="Z344" s="105">
        <f t="shared" si="100"/>
        <v>0</v>
      </c>
      <c r="AA344" s="105"/>
      <c r="AB344" s="105">
        <f t="shared" si="106"/>
        <v>0</v>
      </c>
      <c r="AC344" s="105"/>
      <c r="AD344" s="105">
        <f t="shared" si="93"/>
        <v>0</v>
      </c>
      <c r="AE344" s="105"/>
      <c r="AF344" s="105">
        <f t="shared" si="94"/>
        <v>0</v>
      </c>
      <c r="AG344" s="105"/>
      <c r="AH344" s="106"/>
      <c r="AK344" s="106">
        <f t="shared" si="104"/>
        <v>0</v>
      </c>
      <c r="AL344" s="106">
        <f t="shared" si="105"/>
        <v>0</v>
      </c>
      <c r="AQ344" s="107"/>
      <c r="AS344" s="108"/>
    </row>
    <row r="345" spans="1:45" x14ac:dyDescent="0.2">
      <c r="A345" s="85" t="s">
        <v>149</v>
      </c>
      <c r="B345" s="101"/>
      <c r="C345" s="92" t="s">
        <v>709</v>
      </c>
      <c r="D345" s="92"/>
      <c r="F345" s="104">
        <f>SUM(F344)</f>
        <v>18978307</v>
      </c>
      <c r="G345" s="104">
        <f>F345</f>
        <v>18978307</v>
      </c>
      <c r="H345" s="105">
        <f>VLOOKUP(A345,Data!$A$2:$Z$179,24,FALSE)</f>
        <v>27</v>
      </c>
      <c r="I345" s="105">
        <f>VLOOKUP(A345,Data!$A$2:$Z$179,25,FALSE)</f>
        <v>6.3840000000000003</v>
      </c>
      <c r="J345" s="105">
        <f>VLOOKUP(A345,Data!$A$2:$Z$179,7,FALSE)</f>
        <v>20.616</v>
      </c>
      <c r="K345" s="105">
        <f>$F345*J345</f>
        <v>391256777.11199999</v>
      </c>
      <c r="L345" s="105">
        <f>VLOOKUP(A345,Data!$A$2:$Z$179,8,FALSE)</f>
        <v>0</v>
      </c>
      <c r="M345" s="105">
        <f t="shared" si="95"/>
        <v>0</v>
      </c>
      <c r="N345" s="105">
        <f>VLOOKUP(A345,Data!$A$2:$Z$179,9,FALSE)</f>
        <v>0</v>
      </c>
      <c r="O345" s="105">
        <f>VLOOKUP(A344,Data!$A$2:$Z$179,10,FALSE)</f>
        <v>0</v>
      </c>
      <c r="P345" s="105">
        <f t="shared" si="96"/>
        <v>0</v>
      </c>
      <c r="Q345" s="105">
        <f>VLOOKUP(A345,Data!$A$2:$Z$179,11,FALSE)</f>
        <v>0</v>
      </c>
      <c r="R345" s="105">
        <f>$F345*Q345</f>
        <v>0</v>
      </c>
      <c r="S345" s="105">
        <f>VLOOKUP(A345,Data!$A$2:$Z$179,12,FALSE)</f>
        <v>10.802000000000001</v>
      </c>
      <c r="T345" s="105">
        <f t="shared" si="98"/>
        <v>205003672.21400002</v>
      </c>
      <c r="U345" s="105">
        <f>VLOOKUP(A345,Data!$A$2:$Z$179,13,FALSE)</f>
        <v>2.7975772549153093</v>
      </c>
      <c r="V345" s="91">
        <f t="shared" si="107"/>
        <v>53093.279999999999</v>
      </c>
      <c r="W345" s="105">
        <f>VLOOKUP(A345,Data!$A$2:$Z$179,22,FALSE)</f>
        <v>0</v>
      </c>
      <c r="X345" s="105">
        <f>W345*F345</f>
        <v>0</v>
      </c>
      <c r="Y345" s="105">
        <f>VLOOKUP(A345,Data!$A$2:$Z$179,19,FALSE)</f>
        <v>0</v>
      </c>
      <c r="Z345" s="105">
        <f>$F345*Y345</f>
        <v>0</v>
      </c>
      <c r="AA345" s="105">
        <f>VLOOKUP(A345,Data!$A$2:$Z$179,20,FALSE)</f>
        <v>0</v>
      </c>
      <c r="AB345" s="105">
        <f t="shared" si="106"/>
        <v>0</v>
      </c>
      <c r="AC345" s="105">
        <f>VLOOKUP(A345,Data!$A$2:$Z$179,21,FALSE)</f>
        <v>0</v>
      </c>
      <c r="AD345" s="105">
        <f t="shared" ref="AD345:AD408" si="108">$F345*AC345</f>
        <v>0</v>
      </c>
      <c r="AE345" s="105">
        <f>J345+L345+N345+O345+Q345+S345+U345+W345+Y345+AA345+AC345</f>
        <v>34.21557725491531</v>
      </c>
      <c r="AF345" s="105">
        <f t="shared" ref="AF345:AF408" si="109">$F345*AE345</f>
        <v>649353729.32599998</v>
      </c>
      <c r="AG345" s="105"/>
      <c r="AH345" s="106">
        <f>AE345-S345-W345</f>
        <v>23.41357725491531</v>
      </c>
      <c r="AI345" s="85">
        <f>AH345/AE345</f>
        <v>0.68429584222641704</v>
      </c>
      <c r="AK345" s="106">
        <f t="shared" si="104"/>
        <v>10.802000000000001</v>
      </c>
      <c r="AL345" s="106">
        <f t="shared" si="105"/>
        <v>10.802000000000001</v>
      </c>
      <c r="AQ345" s="107"/>
      <c r="AS345" s="108"/>
    </row>
    <row r="346" spans="1:45" x14ac:dyDescent="0.2">
      <c r="B346" s="101"/>
      <c r="C346" s="92"/>
      <c r="D346" s="92"/>
      <c r="F346" s="109"/>
      <c r="G346" s="109"/>
      <c r="H346" s="109"/>
      <c r="I346" s="109"/>
      <c r="J346" s="105"/>
      <c r="K346" s="105"/>
      <c r="L346" s="105"/>
      <c r="M346" s="105">
        <f t="shared" ref="M346:M351" si="110">L346*F346</f>
        <v>0</v>
      </c>
      <c r="N346" s="105"/>
      <c r="O346" s="105"/>
      <c r="P346" s="105">
        <f t="shared" ref="P346:P351" si="111">O346*F346</f>
        <v>0</v>
      </c>
      <c r="Q346" s="105"/>
      <c r="R346" s="105">
        <f t="shared" ref="R346:R408" si="112">$F346*Q346</f>
        <v>0</v>
      </c>
      <c r="S346" s="105"/>
      <c r="T346" s="105">
        <f t="shared" ref="T346:T351" si="113">S346*F346</f>
        <v>0</v>
      </c>
      <c r="U346" s="105"/>
      <c r="V346" s="91">
        <f t="shared" si="107"/>
        <v>0</v>
      </c>
      <c r="W346" s="105"/>
      <c r="X346" s="105">
        <f t="shared" ref="X346:X408" si="114">W346*F346</f>
        <v>0</v>
      </c>
      <c r="Y346" s="105"/>
      <c r="Z346" s="105">
        <f t="shared" ref="Z346:Z408" si="115">$F346*Y346</f>
        <v>0</v>
      </c>
      <c r="AA346" s="105"/>
      <c r="AB346" s="105">
        <f t="shared" si="106"/>
        <v>0</v>
      </c>
      <c r="AC346" s="105"/>
      <c r="AD346" s="105">
        <f t="shared" si="108"/>
        <v>0</v>
      </c>
      <c r="AE346" s="105"/>
      <c r="AF346" s="105">
        <f t="shared" si="109"/>
        <v>0</v>
      </c>
      <c r="AG346" s="105"/>
      <c r="AH346" s="106"/>
      <c r="AK346" s="106">
        <f t="shared" si="104"/>
        <v>0</v>
      </c>
      <c r="AL346" s="106">
        <f t="shared" si="105"/>
        <v>0</v>
      </c>
      <c r="AQ346" s="107"/>
      <c r="AS346" s="108"/>
    </row>
    <row r="347" spans="1:45" x14ac:dyDescent="0.2">
      <c r="A347" s="85" t="s">
        <v>150</v>
      </c>
      <c r="B347" s="101" t="s">
        <v>45</v>
      </c>
      <c r="C347" s="86" t="s">
        <v>710</v>
      </c>
      <c r="F347" s="102">
        <f>E347</f>
        <v>0</v>
      </c>
      <c r="G347" s="103"/>
      <c r="H347" s="103"/>
      <c r="I347" s="103"/>
      <c r="J347" s="105"/>
      <c r="K347" s="105"/>
      <c r="L347" s="105"/>
      <c r="M347" s="105">
        <f t="shared" si="110"/>
        <v>0</v>
      </c>
      <c r="N347" s="105"/>
      <c r="O347" s="105"/>
      <c r="P347" s="105">
        <f t="shared" si="111"/>
        <v>0</v>
      </c>
      <c r="Q347" s="105"/>
      <c r="R347" s="105">
        <f t="shared" si="112"/>
        <v>0</v>
      </c>
      <c r="S347" s="105"/>
      <c r="T347" s="105">
        <f t="shared" si="113"/>
        <v>0</v>
      </c>
      <c r="U347" s="105"/>
      <c r="V347" s="91">
        <f t="shared" si="107"/>
        <v>0</v>
      </c>
      <c r="W347" s="105"/>
      <c r="X347" s="105">
        <f t="shared" si="114"/>
        <v>0</v>
      </c>
      <c r="Y347" s="105"/>
      <c r="Z347" s="105">
        <f t="shared" si="115"/>
        <v>0</v>
      </c>
      <c r="AA347" s="105"/>
      <c r="AB347" s="105">
        <f t="shared" si="106"/>
        <v>0</v>
      </c>
      <c r="AC347" s="105"/>
      <c r="AD347" s="105">
        <f t="shared" si="108"/>
        <v>0</v>
      </c>
      <c r="AE347" s="105"/>
      <c r="AF347" s="105">
        <f t="shared" si="109"/>
        <v>0</v>
      </c>
      <c r="AG347" s="105"/>
      <c r="AH347" s="106"/>
      <c r="AK347" s="106">
        <f t="shared" si="104"/>
        <v>0</v>
      </c>
      <c r="AL347" s="106">
        <f t="shared" si="105"/>
        <v>0</v>
      </c>
      <c r="AQ347" s="107"/>
      <c r="AS347" s="108"/>
    </row>
    <row r="348" spans="1:45" x14ac:dyDescent="0.2">
      <c r="A348" s="85" t="s">
        <v>150</v>
      </c>
      <c r="B348" s="101"/>
      <c r="C348" s="92" t="s">
        <v>711</v>
      </c>
      <c r="D348" s="92"/>
      <c r="F348" s="104">
        <f>SUM(F347)</f>
        <v>0</v>
      </c>
      <c r="G348" s="104">
        <f>F348</f>
        <v>0</v>
      </c>
      <c r="H348" s="105">
        <f>VLOOKUP(A348,Data!$A$2:$Z$179,24,FALSE)</f>
        <v>27</v>
      </c>
      <c r="I348" s="105">
        <f>VLOOKUP(A348,Data!$A$2:$Z$179,25,FALSE)</f>
        <v>15.021000000000001</v>
      </c>
      <c r="J348" s="105">
        <f>VLOOKUP(A348,Data!$A$2:$Z$179,7,FALSE)</f>
        <v>11.978999999999999</v>
      </c>
      <c r="K348" s="105">
        <f>$F348*J348</f>
        <v>0</v>
      </c>
      <c r="L348" s="105">
        <f>VLOOKUP(A348,Data!$A$2:$Z$179,8,FALSE)</f>
        <v>0</v>
      </c>
      <c r="M348" s="105">
        <f t="shared" si="110"/>
        <v>0</v>
      </c>
      <c r="N348" s="105">
        <f>VLOOKUP(A348,Data!$A$2:$Z$179,9,FALSE)</f>
        <v>0</v>
      </c>
      <c r="O348" s="105">
        <f>VLOOKUP(A347,Data!$A$2:$Z$179,10,FALSE)</f>
        <v>1.145</v>
      </c>
      <c r="P348" s="105">
        <f t="shared" si="111"/>
        <v>0</v>
      </c>
      <c r="Q348" s="105">
        <f>VLOOKUP(A348,Data!$A$2:$Z$179,11,FALSE)</f>
        <v>0</v>
      </c>
      <c r="R348" s="105">
        <f t="shared" si="112"/>
        <v>0</v>
      </c>
      <c r="S348" s="105">
        <f>VLOOKUP(A348,Data!$A$2:$Z$179,12,FALSE)</f>
        <v>6.9340000000000002</v>
      </c>
      <c r="T348" s="105">
        <f t="shared" si="113"/>
        <v>0</v>
      </c>
      <c r="U348" s="105">
        <f>VLOOKUP(A348,Data!$A$2:$Z$179,13,FALSE)</f>
        <v>2.5854098213901945E-3</v>
      </c>
      <c r="V348" s="91">
        <f t="shared" si="107"/>
        <v>0</v>
      </c>
      <c r="W348" s="105">
        <f>VLOOKUP(A348,Data!$A$2:$Z$179,22,FALSE)</f>
        <v>0</v>
      </c>
      <c r="X348" s="105">
        <f>W348*F348</f>
        <v>0</v>
      </c>
      <c r="Y348" s="105">
        <f>VLOOKUP(A348,Data!$A$2:$Z$179,19,FALSE)</f>
        <v>0</v>
      </c>
      <c r="Z348" s="105">
        <f t="shared" si="115"/>
        <v>0</v>
      </c>
      <c r="AA348" s="105">
        <f>VLOOKUP(A348,Data!$A$2:$Z$179,20,FALSE)</f>
        <v>0</v>
      </c>
      <c r="AB348" s="105">
        <f t="shared" si="106"/>
        <v>0</v>
      </c>
      <c r="AC348" s="105">
        <f>VLOOKUP(A348,Data!$A$2:$Z$179,21,FALSE)</f>
        <v>0</v>
      </c>
      <c r="AD348" s="105">
        <f t="shared" si="108"/>
        <v>0</v>
      </c>
      <c r="AE348" s="105">
        <f>J348+L348+N348+O348+Q348+S348+U348+W348+Y348+AA348+AC348</f>
        <v>20.060585409821389</v>
      </c>
      <c r="AF348" s="105">
        <f t="shared" si="109"/>
        <v>0</v>
      </c>
      <c r="AG348" s="105"/>
      <c r="AH348" s="106">
        <f>AE348-S348-W348</f>
        <v>13.126585409821388</v>
      </c>
      <c r="AI348" s="85">
        <f>AH348/AE348</f>
        <v>0.65434707620221244</v>
      </c>
      <c r="AK348" s="106">
        <f t="shared" si="104"/>
        <v>8.0790000000000006</v>
      </c>
      <c r="AL348" s="106">
        <f t="shared" si="105"/>
        <v>8.0790000000000006</v>
      </c>
      <c r="AQ348" s="107"/>
      <c r="AS348" s="108"/>
    </row>
    <row r="349" spans="1:45" x14ac:dyDescent="0.2">
      <c r="B349" s="101"/>
      <c r="C349" s="92"/>
      <c r="D349" s="92"/>
      <c r="F349" s="109"/>
      <c r="G349" s="109"/>
      <c r="H349" s="109"/>
      <c r="I349" s="109"/>
      <c r="J349" s="105"/>
      <c r="K349" s="105"/>
      <c r="L349" s="105"/>
      <c r="M349" s="105">
        <f t="shared" si="110"/>
        <v>0</v>
      </c>
      <c r="N349" s="105"/>
      <c r="O349" s="105"/>
      <c r="P349" s="105">
        <f t="shared" si="111"/>
        <v>0</v>
      </c>
      <c r="Q349" s="105"/>
      <c r="R349" s="105">
        <f t="shared" si="112"/>
        <v>0</v>
      </c>
      <c r="S349" s="105"/>
      <c r="T349" s="105">
        <f t="shared" si="113"/>
        <v>0</v>
      </c>
      <c r="U349" s="105"/>
      <c r="V349" s="91">
        <f t="shared" si="107"/>
        <v>0</v>
      </c>
      <c r="W349" s="105"/>
      <c r="X349" s="105">
        <f t="shared" si="114"/>
        <v>0</v>
      </c>
      <c r="Y349" s="105"/>
      <c r="Z349" s="105">
        <f t="shared" si="115"/>
        <v>0</v>
      </c>
      <c r="AA349" s="105"/>
      <c r="AB349" s="105">
        <f t="shared" si="106"/>
        <v>0</v>
      </c>
      <c r="AC349" s="105"/>
      <c r="AD349" s="105">
        <f t="shared" si="108"/>
        <v>0</v>
      </c>
      <c r="AE349" s="105"/>
      <c r="AF349" s="105">
        <f t="shared" si="109"/>
        <v>0</v>
      </c>
      <c r="AG349" s="105"/>
      <c r="AH349" s="106"/>
      <c r="AK349" s="106">
        <f t="shared" si="104"/>
        <v>0</v>
      </c>
      <c r="AL349" s="106">
        <f t="shared" si="105"/>
        <v>0</v>
      </c>
      <c r="AQ349" s="107"/>
      <c r="AS349" s="108"/>
    </row>
    <row r="350" spans="1:45" x14ac:dyDescent="0.2">
      <c r="A350" s="112" t="s">
        <v>151</v>
      </c>
      <c r="B350" s="101" t="s">
        <v>152</v>
      </c>
      <c r="C350" s="86" t="s">
        <v>712</v>
      </c>
      <c r="F350" s="102">
        <f>E350</f>
        <v>0</v>
      </c>
      <c r="G350" s="103"/>
      <c r="H350" s="103"/>
      <c r="I350" s="103"/>
      <c r="J350" s="105"/>
      <c r="K350" s="105"/>
      <c r="L350" s="105"/>
      <c r="M350" s="105">
        <f t="shared" si="110"/>
        <v>0</v>
      </c>
      <c r="N350" s="105"/>
      <c r="O350" s="105"/>
      <c r="P350" s="105">
        <f t="shared" si="111"/>
        <v>0</v>
      </c>
      <c r="Q350" s="105"/>
      <c r="R350" s="105">
        <f t="shared" si="112"/>
        <v>0</v>
      </c>
      <c r="S350" s="105"/>
      <c r="T350" s="105">
        <f t="shared" si="113"/>
        <v>0</v>
      </c>
      <c r="U350" s="105"/>
      <c r="V350" s="91">
        <f t="shared" si="107"/>
        <v>0</v>
      </c>
      <c r="W350" s="105"/>
      <c r="X350" s="105">
        <f t="shared" si="114"/>
        <v>0</v>
      </c>
      <c r="Y350" s="105"/>
      <c r="Z350" s="105">
        <f t="shared" si="115"/>
        <v>0</v>
      </c>
      <c r="AA350" s="105"/>
      <c r="AB350" s="105">
        <f t="shared" si="106"/>
        <v>0</v>
      </c>
      <c r="AC350" s="105"/>
      <c r="AD350" s="105">
        <f t="shared" si="108"/>
        <v>0</v>
      </c>
      <c r="AE350" s="105"/>
      <c r="AF350" s="105">
        <f t="shared" si="109"/>
        <v>0</v>
      </c>
      <c r="AG350" s="105"/>
      <c r="AH350" s="106"/>
      <c r="AK350" s="106">
        <f t="shared" si="104"/>
        <v>0</v>
      </c>
      <c r="AL350" s="106">
        <f t="shared" si="105"/>
        <v>0</v>
      </c>
      <c r="AQ350" s="107"/>
      <c r="AS350" s="108"/>
    </row>
    <row r="351" spans="1:45" x14ac:dyDescent="0.2">
      <c r="A351" s="112" t="s">
        <v>151</v>
      </c>
      <c r="B351" s="101"/>
      <c r="C351" s="92" t="s">
        <v>713</v>
      </c>
      <c r="D351" s="92"/>
      <c r="F351" s="104">
        <f>SUM(F350)</f>
        <v>0</v>
      </c>
      <c r="G351" s="104">
        <f>F351</f>
        <v>0</v>
      </c>
      <c r="H351" s="105">
        <f>VLOOKUP(A351,Data!$A$2:$Z$179,24,FALSE)</f>
        <v>17.379000000000001</v>
      </c>
      <c r="I351" s="105">
        <f>VLOOKUP(A351,Data!$A$2:$Z$179,25,FALSE)</f>
        <v>0</v>
      </c>
      <c r="J351" s="105">
        <f>VLOOKUP(A351,Data!$A$2:$Z$179,7,FALSE)</f>
        <v>17.379000000000001</v>
      </c>
      <c r="K351" s="105">
        <f>$F351*J351</f>
        <v>0</v>
      </c>
      <c r="L351" s="105">
        <f>VLOOKUP(A351,Data!$A$2:$Z$179,8,FALSE)</f>
        <v>0</v>
      </c>
      <c r="M351" s="105">
        <f t="shared" si="110"/>
        <v>0</v>
      </c>
      <c r="N351" s="105">
        <f>VLOOKUP(A351,Data!$A$2:$Z$179,9,FALSE)</f>
        <v>0</v>
      </c>
      <c r="O351" s="105">
        <f>VLOOKUP(A350,Data!$A$2:$Z$179,10,FALSE)</f>
        <v>0</v>
      </c>
      <c r="P351" s="105">
        <f t="shared" si="111"/>
        <v>0</v>
      </c>
      <c r="Q351" s="105">
        <f>VLOOKUP(A351,Data!$A$2:$Z$179,11,FALSE)</f>
        <v>0</v>
      </c>
      <c r="R351" s="105">
        <f t="shared" si="112"/>
        <v>0</v>
      </c>
      <c r="S351" s="105">
        <f>VLOOKUP(A351,Data!$A$2:$Z$179,12,FALSE)</f>
        <v>0</v>
      </c>
      <c r="T351" s="105">
        <f t="shared" si="113"/>
        <v>0</v>
      </c>
      <c r="U351" s="105">
        <f>VLOOKUP(A351,Data!$A$2:$Z$179,13,FALSE)</f>
        <v>3.4540274448857683E-2</v>
      </c>
      <c r="V351" s="91">
        <f t="shared" si="107"/>
        <v>0</v>
      </c>
      <c r="W351" s="105">
        <f>VLOOKUP(A351,Data!$A$2:$Z$179,22,FALSE)</f>
        <v>0</v>
      </c>
      <c r="X351" s="105">
        <f>W351*F351</f>
        <v>0</v>
      </c>
      <c r="Y351" s="105">
        <f>VLOOKUP(A351,Data!$A$2:$Z$179,19,FALSE)</f>
        <v>0</v>
      </c>
      <c r="Z351" s="105">
        <f t="shared" si="115"/>
        <v>0</v>
      </c>
      <c r="AA351" s="105">
        <f>VLOOKUP(A351,Data!$A$2:$Z$179,20,FALSE)</f>
        <v>0</v>
      </c>
      <c r="AB351" s="105">
        <f t="shared" si="106"/>
        <v>0</v>
      </c>
      <c r="AC351" s="105">
        <f>VLOOKUP(A351,Data!$A$2:$Z$179,21,FALSE)</f>
        <v>0</v>
      </c>
      <c r="AD351" s="105">
        <f t="shared" si="108"/>
        <v>0</v>
      </c>
      <c r="AE351" s="105">
        <f>J351+L351+N351+O351+Q351+S351+U351+W351+Y351+AA351+AC351</f>
        <v>17.413540274448859</v>
      </c>
      <c r="AF351" s="105">
        <f t="shared" si="109"/>
        <v>0</v>
      </c>
      <c r="AG351" s="105"/>
      <c r="AH351" s="106">
        <f>AE351-S351-W351</f>
        <v>17.413540274448859</v>
      </c>
      <c r="AI351" s="85">
        <f>AH351/AE351</f>
        <v>1</v>
      </c>
      <c r="AK351" s="106">
        <f t="shared" si="104"/>
        <v>0</v>
      </c>
      <c r="AL351" s="106">
        <f t="shared" si="105"/>
        <v>0</v>
      </c>
      <c r="AQ351" s="107"/>
      <c r="AR351" s="110"/>
      <c r="AS351" s="108"/>
    </row>
    <row r="352" spans="1:45" x14ac:dyDescent="0.2">
      <c r="B352" s="101"/>
      <c r="C352" s="92"/>
      <c r="D352" s="92"/>
      <c r="F352" s="109"/>
      <c r="G352" s="109"/>
      <c r="H352" s="109"/>
      <c r="I352" s="109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91">
        <f t="shared" si="107"/>
        <v>0</v>
      </c>
      <c r="W352" s="105"/>
      <c r="X352" s="105">
        <f t="shared" si="114"/>
        <v>0</v>
      </c>
      <c r="Y352" s="105"/>
      <c r="Z352" s="105">
        <f t="shared" si="115"/>
        <v>0</v>
      </c>
      <c r="AA352" s="105"/>
      <c r="AB352" s="105">
        <f t="shared" si="106"/>
        <v>0</v>
      </c>
      <c r="AC352" s="105"/>
      <c r="AD352" s="105">
        <f t="shared" si="108"/>
        <v>0</v>
      </c>
      <c r="AE352" s="105"/>
      <c r="AF352" s="105">
        <f t="shared" si="109"/>
        <v>0</v>
      </c>
      <c r="AG352" s="105"/>
      <c r="AH352" s="106"/>
      <c r="AK352" s="106">
        <f t="shared" si="104"/>
        <v>0</v>
      </c>
      <c r="AL352" s="106">
        <f t="shared" si="105"/>
        <v>0</v>
      </c>
      <c r="AQ352" s="107"/>
      <c r="AR352" s="110"/>
      <c r="AS352" s="108"/>
    </row>
    <row r="353" spans="1:45" x14ac:dyDescent="0.2">
      <c r="A353" s="85" t="s">
        <v>153</v>
      </c>
      <c r="B353" s="101" t="s">
        <v>152</v>
      </c>
      <c r="C353" s="86" t="s">
        <v>714</v>
      </c>
      <c r="F353" s="102">
        <f>E353</f>
        <v>0</v>
      </c>
      <c r="G353" s="102"/>
      <c r="H353" s="102"/>
      <c r="I353" s="102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91">
        <f t="shared" si="107"/>
        <v>0</v>
      </c>
      <c r="W353" s="105"/>
      <c r="X353" s="105">
        <f t="shared" si="114"/>
        <v>0</v>
      </c>
      <c r="Y353" s="105"/>
      <c r="Z353" s="105">
        <f t="shared" si="115"/>
        <v>0</v>
      </c>
      <c r="AA353" s="105"/>
      <c r="AB353" s="105">
        <f t="shared" si="106"/>
        <v>0</v>
      </c>
      <c r="AC353" s="105"/>
      <c r="AD353" s="105">
        <f t="shared" si="108"/>
        <v>0</v>
      </c>
      <c r="AE353" s="105"/>
      <c r="AF353" s="105">
        <f t="shared" si="109"/>
        <v>0</v>
      </c>
      <c r="AG353" s="105"/>
      <c r="AH353" s="106"/>
      <c r="AK353" s="106">
        <f t="shared" si="104"/>
        <v>0</v>
      </c>
      <c r="AL353" s="106">
        <f t="shared" si="105"/>
        <v>0</v>
      </c>
      <c r="AQ353" s="107"/>
      <c r="AS353" s="108"/>
    </row>
    <row r="354" spans="1:45" x14ac:dyDescent="0.2">
      <c r="A354" s="85" t="s">
        <v>153</v>
      </c>
      <c r="B354" s="101" t="s">
        <v>81</v>
      </c>
      <c r="C354" s="86" t="s">
        <v>714</v>
      </c>
      <c r="F354" s="102">
        <f>E354</f>
        <v>0</v>
      </c>
      <c r="G354" s="102"/>
      <c r="H354" s="102"/>
      <c r="I354" s="102"/>
      <c r="J354" s="105"/>
      <c r="K354" s="105"/>
      <c r="L354" s="105"/>
      <c r="M354" s="105">
        <f t="shared" ref="M354:M371" si="116">L354*F354</f>
        <v>0</v>
      </c>
      <c r="N354" s="105"/>
      <c r="O354" s="105"/>
      <c r="P354" s="105">
        <f t="shared" ref="P354:P417" si="117">O354*F354</f>
        <v>0</v>
      </c>
      <c r="Q354" s="105"/>
      <c r="R354" s="105">
        <f t="shared" si="112"/>
        <v>0</v>
      </c>
      <c r="S354" s="105"/>
      <c r="T354" s="105">
        <f t="shared" ref="T354:T417" si="118">S354*F354</f>
        <v>0</v>
      </c>
      <c r="U354" s="105"/>
      <c r="V354" s="91">
        <f t="shared" si="107"/>
        <v>0</v>
      </c>
      <c r="W354" s="105"/>
      <c r="X354" s="105">
        <f t="shared" si="114"/>
        <v>0</v>
      </c>
      <c r="Y354" s="105"/>
      <c r="Z354" s="105">
        <f t="shared" si="115"/>
        <v>0</v>
      </c>
      <c r="AA354" s="105"/>
      <c r="AB354" s="105">
        <f>$F353*AA354</f>
        <v>0</v>
      </c>
      <c r="AC354" s="105"/>
      <c r="AD354" s="105">
        <f t="shared" si="108"/>
        <v>0</v>
      </c>
      <c r="AE354" s="105"/>
      <c r="AF354" s="105">
        <f t="shared" si="109"/>
        <v>0</v>
      </c>
      <c r="AG354" s="105"/>
      <c r="AH354" s="106"/>
      <c r="AK354" s="106">
        <f t="shared" si="104"/>
        <v>0</v>
      </c>
      <c r="AL354" s="106">
        <f t="shared" si="105"/>
        <v>0</v>
      </c>
      <c r="AQ354" s="107"/>
      <c r="AS354" s="108"/>
    </row>
    <row r="355" spans="1:45" x14ac:dyDescent="0.2">
      <c r="A355" s="85" t="s">
        <v>153</v>
      </c>
      <c r="B355" s="101"/>
      <c r="C355" s="92" t="s">
        <v>715</v>
      </c>
      <c r="D355" s="92"/>
      <c r="F355" s="104">
        <f>SUM(F353:F354)</f>
        <v>0</v>
      </c>
      <c r="G355" s="104">
        <f>F355</f>
        <v>0</v>
      </c>
      <c r="H355" s="105">
        <f>VLOOKUP(A355,Data!$A$2:$Z$179,24,FALSE)</f>
        <v>27</v>
      </c>
      <c r="I355" s="105">
        <f>VLOOKUP(A355,Data!$A$2:$Z$179,25,FALSE)</f>
        <v>4.1760000000000002</v>
      </c>
      <c r="J355" s="105">
        <f>VLOOKUP(A355,Data!$A$2:$Z$179,7,FALSE)</f>
        <v>22.824000000000002</v>
      </c>
      <c r="K355" s="105">
        <f>$F355*J355</f>
        <v>0</v>
      </c>
      <c r="L355" s="105">
        <f>VLOOKUP(A355,Data!$A$2:$Z$179,8,FALSE)</f>
        <v>0</v>
      </c>
      <c r="M355" s="105">
        <f>L355*F355</f>
        <v>0</v>
      </c>
      <c r="N355" s="105">
        <f>VLOOKUP(A355,Data!$A$2:$Z$179,9,FALSE)</f>
        <v>0</v>
      </c>
      <c r="O355" s="105">
        <f>VLOOKUP(A354,Data!$A$2:$Z$179,10,FALSE)</f>
        <v>0</v>
      </c>
      <c r="P355" s="105">
        <f>O355*F355</f>
        <v>0</v>
      </c>
      <c r="Q355" s="105">
        <f>VLOOKUP(A355,Data!$A$2:$Z$179,11,FALSE)</f>
        <v>0</v>
      </c>
      <c r="R355" s="105">
        <f t="shared" si="112"/>
        <v>0</v>
      </c>
      <c r="S355" s="105">
        <f>VLOOKUP(A355,Data!$A$2:$Z$179,12,FALSE)</f>
        <v>0</v>
      </c>
      <c r="T355" s="105">
        <f>S355*F355</f>
        <v>0</v>
      </c>
      <c r="U355" s="105">
        <f>VLOOKUP(A355,Data!$A$2:$Z$179,13,FALSE)</f>
        <v>2.6162395394402869E-3</v>
      </c>
      <c r="V355" s="91">
        <f t="shared" si="107"/>
        <v>0</v>
      </c>
      <c r="W355" s="105">
        <f>VLOOKUP(A355,Data!$A$2:$Z$179,22,FALSE)</f>
        <v>0</v>
      </c>
      <c r="X355" s="105">
        <f>W355*F355</f>
        <v>0</v>
      </c>
      <c r="Y355" s="105">
        <f>VLOOKUP(A355,Data!$A$2:$Z$179,19,FALSE)</f>
        <v>0</v>
      </c>
      <c r="Z355" s="105">
        <f t="shared" si="115"/>
        <v>0</v>
      </c>
      <c r="AA355" s="105">
        <f>VLOOKUP(A355,Data!$A$2:$Z$179,20,FALSE)</f>
        <v>0</v>
      </c>
      <c r="AB355" s="105">
        <f>$F355*AA355</f>
        <v>0</v>
      </c>
      <c r="AC355" s="105">
        <f>VLOOKUP(A355,Data!$A$2:$Z$179,21,FALSE)</f>
        <v>0</v>
      </c>
      <c r="AD355" s="105">
        <f t="shared" si="108"/>
        <v>0</v>
      </c>
      <c r="AE355" s="105">
        <f>J355+L355+N355+O355+Q355+S355+U355+W355+Y355+AA355+AC355</f>
        <v>22.82661623953944</v>
      </c>
      <c r="AF355" s="105">
        <f t="shared" si="109"/>
        <v>0</v>
      </c>
      <c r="AG355" s="105"/>
      <c r="AH355" s="106">
        <f>AE355-S355-W355</f>
        <v>22.82661623953944</v>
      </c>
      <c r="AI355" s="85">
        <f>AH355/AE355</f>
        <v>1</v>
      </c>
      <c r="AK355" s="106">
        <f t="shared" si="104"/>
        <v>0</v>
      </c>
      <c r="AL355" s="106">
        <f t="shared" si="105"/>
        <v>0</v>
      </c>
      <c r="AQ355" s="107"/>
      <c r="AS355" s="108"/>
    </row>
    <row r="356" spans="1:45" x14ac:dyDescent="0.2">
      <c r="B356" s="101"/>
      <c r="C356" s="92"/>
      <c r="D356" s="92"/>
      <c r="F356" s="109"/>
      <c r="G356" s="109"/>
      <c r="H356" s="109"/>
      <c r="I356" s="109"/>
      <c r="J356" s="105"/>
      <c r="K356" s="105"/>
      <c r="L356" s="105"/>
      <c r="M356" s="105">
        <f t="shared" si="116"/>
        <v>0</v>
      </c>
      <c r="N356" s="105"/>
      <c r="O356" s="105"/>
      <c r="P356" s="105">
        <f t="shared" si="117"/>
        <v>0</v>
      </c>
      <c r="Q356" s="105"/>
      <c r="R356" s="105">
        <f t="shared" si="112"/>
        <v>0</v>
      </c>
      <c r="S356" s="105"/>
      <c r="T356" s="105">
        <f t="shared" si="118"/>
        <v>0</v>
      </c>
      <c r="U356" s="105"/>
      <c r="V356" s="91">
        <f t="shared" si="107"/>
        <v>0</v>
      </c>
      <c r="W356" s="105"/>
      <c r="X356" s="105">
        <f t="shared" si="114"/>
        <v>0</v>
      </c>
      <c r="Y356" s="105"/>
      <c r="Z356" s="105">
        <f t="shared" si="115"/>
        <v>0</v>
      </c>
      <c r="AA356" s="105"/>
      <c r="AB356" s="105">
        <f>$F355*AA356</f>
        <v>0</v>
      </c>
      <c r="AC356" s="105"/>
      <c r="AD356" s="105">
        <f t="shared" si="108"/>
        <v>0</v>
      </c>
      <c r="AE356" s="105"/>
      <c r="AF356" s="105">
        <f t="shared" si="109"/>
        <v>0</v>
      </c>
      <c r="AG356" s="105"/>
      <c r="AH356" s="106"/>
      <c r="AK356" s="106">
        <f t="shared" si="104"/>
        <v>0</v>
      </c>
      <c r="AL356" s="106">
        <f t="shared" si="105"/>
        <v>0</v>
      </c>
      <c r="AQ356" s="107"/>
      <c r="AS356" s="108"/>
    </row>
    <row r="357" spans="1:45" x14ac:dyDescent="0.2">
      <c r="A357" s="85" t="s">
        <v>154</v>
      </c>
      <c r="B357" s="101" t="s">
        <v>152</v>
      </c>
      <c r="C357" s="86" t="s">
        <v>716</v>
      </c>
      <c r="F357" s="102">
        <f>E357</f>
        <v>0</v>
      </c>
      <c r="G357" s="103"/>
      <c r="H357" s="103"/>
      <c r="I357" s="103"/>
      <c r="J357" s="105"/>
      <c r="K357" s="105"/>
      <c r="L357" s="105"/>
      <c r="M357" s="105">
        <f t="shared" si="116"/>
        <v>0</v>
      </c>
      <c r="N357" s="105"/>
      <c r="O357" s="105"/>
      <c r="P357" s="105">
        <f t="shared" si="117"/>
        <v>0</v>
      </c>
      <c r="Q357" s="105"/>
      <c r="R357" s="105">
        <f t="shared" si="112"/>
        <v>0</v>
      </c>
      <c r="S357" s="105"/>
      <c r="T357" s="105">
        <f t="shared" si="118"/>
        <v>0</v>
      </c>
      <c r="U357" s="105"/>
      <c r="V357" s="91">
        <f t="shared" si="107"/>
        <v>0</v>
      </c>
      <c r="W357" s="105"/>
      <c r="X357" s="105">
        <f t="shared" si="114"/>
        <v>0</v>
      </c>
      <c r="Y357" s="105"/>
      <c r="Z357" s="105">
        <f t="shared" si="115"/>
        <v>0</v>
      </c>
      <c r="AA357" s="105"/>
      <c r="AB357" s="105">
        <f>$F356*AA357</f>
        <v>0</v>
      </c>
      <c r="AC357" s="105"/>
      <c r="AD357" s="105">
        <f t="shared" si="108"/>
        <v>0</v>
      </c>
      <c r="AE357" s="105"/>
      <c r="AF357" s="105">
        <f t="shared" si="109"/>
        <v>0</v>
      </c>
      <c r="AG357" s="105"/>
      <c r="AH357" s="106"/>
      <c r="AK357" s="106">
        <f t="shared" si="104"/>
        <v>0</v>
      </c>
      <c r="AL357" s="106">
        <f t="shared" si="105"/>
        <v>0</v>
      </c>
      <c r="AQ357" s="107"/>
      <c r="AS357" s="108"/>
    </row>
    <row r="358" spans="1:45" x14ac:dyDescent="0.2">
      <c r="A358" s="85" t="s">
        <v>154</v>
      </c>
      <c r="B358" s="101"/>
      <c r="C358" s="92" t="s">
        <v>717</v>
      </c>
      <c r="D358" s="92"/>
      <c r="F358" s="104">
        <f>SUM(F357)</f>
        <v>0</v>
      </c>
      <c r="G358" s="104">
        <f>F358</f>
        <v>0</v>
      </c>
      <c r="H358" s="105">
        <f>VLOOKUP(A358,Data!$A$2:$Z$179,24,FALSE)</f>
        <v>27</v>
      </c>
      <c r="I358" s="105">
        <f>VLOOKUP(A358,Data!$A$2:$Z$179,25,FALSE)</f>
        <v>0</v>
      </c>
      <c r="J358" s="105">
        <f>VLOOKUP(A358,Data!$A$2:$Z$179,7,FALSE)</f>
        <v>27</v>
      </c>
      <c r="K358" s="105">
        <f>$F358*J358</f>
        <v>0</v>
      </c>
      <c r="L358" s="105">
        <f>VLOOKUP(A358,Data!$A$2:$Z$179,8,FALSE)</f>
        <v>0</v>
      </c>
      <c r="M358" s="105">
        <f>L358*F358</f>
        <v>0</v>
      </c>
      <c r="N358" s="105">
        <f>VLOOKUP(A358,Data!$A$2:$Z$179,9,FALSE)</f>
        <v>0</v>
      </c>
      <c r="O358" s="105">
        <f>VLOOKUP(A357,Data!$A$2:$Z$179,10,FALSE)</f>
        <v>0</v>
      </c>
      <c r="P358" s="105">
        <f>O358*F358</f>
        <v>0</v>
      </c>
      <c r="Q358" s="105">
        <f>VLOOKUP(A358,Data!$A$2:$Z$179,11,FALSE)</f>
        <v>0</v>
      </c>
      <c r="R358" s="105">
        <f t="shared" si="112"/>
        <v>0</v>
      </c>
      <c r="S358" s="105">
        <f>VLOOKUP(A358,Data!$A$2:$Z$179,12,FALSE)</f>
        <v>0</v>
      </c>
      <c r="T358" s="105">
        <f>S358*F358</f>
        <v>0</v>
      </c>
      <c r="U358" s="105">
        <f>VLOOKUP(A358,Data!$A$2:$Z$179,13,FALSE)</f>
        <v>0</v>
      </c>
      <c r="V358" s="91">
        <f t="shared" si="107"/>
        <v>0</v>
      </c>
      <c r="W358" s="105">
        <f>VLOOKUP(A358,Data!$A$2:$Z$179,22,FALSE)</f>
        <v>0</v>
      </c>
      <c r="X358" s="105">
        <f>W358*F358</f>
        <v>0</v>
      </c>
      <c r="Y358" s="105">
        <f>VLOOKUP(A358,Data!$A$2:$Z$179,19,FALSE)</f>
        <v>0</v>
      </c>
      <c r="Z358" s="105">
        <f t="shared" si="115"/>
        <v>0</v>
      </c>
      <c r="AA358" s="105">
        <f>VLOOKUP(A358,Data!$A$2:$Z$179,20,FALSE)</f>
        <v>0</v>
      </c>
      <c r="AB358" s="105">
        <f>$F358*AA358</f>
        <v>0</v>
      </c>
      <c r="AC358" s="105">
        <f>VLOOKUP(A358,Data!$A$2:$Z$179,21,FALSE)</f>
        <v>0</v>
      </c>
      <c r="AD358" s="105">
        <f t="shared" si="108"/>
        <v>0</v>
      </c>
      <c r="AE358" s="105">
        <f>J358+L358+N358+O358+Q358+S358+U358+W358+Y358+AA358+AC358</f>
        <v>27</v>
      </c>
      <c r="AF358" s="105">
        <f t="shared" si="109"/>
        <v>0</v>
      </c>
      <c r="AG358" s="105"/>
      <c r="AH358" s="106">
        <f>AE358-S358-W358</f>
        <v>27</v>
      </c>
      <c r="AI358" s="85">
        <f>AH358/AE358</f>
        <v>1</v>
      </c>
      <c r="AK358" s="106">
        <f t="shared" si="104"/>
        <v>0</v>
      </c>
      <c r="AL358" s="106">
        <f t="shared" si="105"/>
        <v>0</v>
      </c>
      <c r="AQ358" s="107"/>
      <c r="AS358" s="108"/>
    </row>
    <row r="359" spans="1:45" x14ac:dyDescent="0.2">
      <c r="B359" s="101"/>
      <c r="C359" s="92"/>
      <c r="D359" s="92"/>
      <c r="F359" s="109"/>
      <c r="G359" s="109"/>
      <c r="H359" s="109"/>
      <c r="I359" s="109"/>
      <c r="J359" s="105"/>
      <c r="K359" s="105"/>
      <c r="L359" s="105"/>
      <c r="M359" s="105">
        <f t="shared" si="116"/>
        <v>0</v>
      </c>
      <c r="N359" s="105"/>
      <c r="O359" s="105"/>
      <c r="P359" s="105">
        <f t="shared" si="117"/>
        <v>0</v>
      </c>
      <c r="Q359" s="105"/>
      <c r="R359" s="105">
        <f t="shared" si="112"/>
        <v>0</v>
      </c>
      <c r="S359" s="105"/>
      <c r="T359" s="105">
        <f t="shared" si="118"/>
        <v>0</v>
      </c>
      <c r="U359" s="105"/>
      <c r="V359" s="91">
        <f t="shared" si="107"/>
        <v>0</v>
      </c>
      <c r="W359" s="105"/>
      <c r="X359" s="105">
        <f t="shared" si="114"/>
        <v>0</v>
      </c>
      <c r="Y359" s="105"/>
      <c r="Z359" s="105">
        <f t="shared" si="115"/>
        <v>0</v>
      </c>
      <c r="AA359" s="105"/>
      <c r="AB359" s="105">
        <f t="shared" ref="AB359:AB367" si="119">$F359*AA359</f>
        <v>0</v>
      </c>
      <c r="AC359" s="105"/>
      <c r="AD359" s="105">
        <f t="shared" si="108"/>
        <v>0</v>
      </c>
      <c r="AE359" s="105"/>
      <c r="AF359" s="105">
        <f t="shared" si="109"/>
        <v>0</v>
      </c>
      <c r="AG359" s="105"/>
      <c r="AH359" s="106"/>
      <c r="AK359" s="106">
        <f t="shared" si="104"/>
        <v>0</v>
      </c>
      <c r="AL359" s="106">
        <f t="shared" si="105"/>
        <v>0</v>
      </c>
      <c r="AQ359" s="107"/>
      <c r="AS359" s="108"/>
    </row>
    <row r="360" spans="1:45" x14ac:dyDescent="0.2">
      <c r="A360" s="85" t="s">
        <v>155</v>
      </c>
      <c r="B360" s="101" t="s">
        <v>156</v>
      </c>
      <c r="C360" s="86" t="s">
        <v>718</v>
      </c>
      <c r="F360" s="102">
        <f>E360</f>
        <v>0</v>
      </c>
      <c r="G360" s="103"/>
      <c r="H360" s="103"/>
      <c r="I360" s="103"/>
      <c r="J360" s="105"/>
      <c r="K360" s="105"/>
      <c r="L360" s="105"/>
      <c r="M360" s="105">
        <f t="shared" si="116"/>
        <v>0</v>
      </c>
      <c r="N360" s="105"/>
      <c r="O360" s="105"/>
      <c r="P360" s="105">
        <f t="shared" si="117"/>
        <v>0</v>
      </c>
      <c r="Q360" s="105"/>
      <c r="R360" s="105">
        <f t="shared" si="112"/>
        <v>0</v>
      </c>
      <c r="S360" s="105"/>
      <c r="T360" s="105">
        <f t="shared" si="118"/>
        <v>0</v>
      </c>
      <c r="U360" s="105"/>
      <c r="V360" s="91">
        <f t="shared" si="107"/>
        <v>0</v>
      </c>
      <c r="W360" s="105"/>
      <c r="X360" s="105">
        <f t="shared" si="114"/>
        <v>0</v>
      </c>
      <c r="Y360" s="105"/>
      <c r="Z360" s="105">
        <f t="shared" si="115"/>
        <v>0</v>
      </c>
      <c r="AA360" s="105"/>
      <c r="AB360" s="105">
        <f t="shared" si="119"/>
        <v>0</v>
      </c>
      <c r="AC360" s="105"/>
      <c r="AD360" s="105">
        <f t="shared" si="108"/>
        <v>0</v>
      </c>
      <c r="AE360" s="105"/>
      <c r="AF360" s="105">
        <f t="shared" si="109"/>
        <v>0</v>
      </c>
      <c r="AG360" s="105"/>
      <c r="AH360" s="106"/>
      <c r="AK360" s="106">
        <f t="shared" si="104"/>
        <v>0</v>
      </c>
      <c r="AL360" s="106">
        <f t="shared" si="105"/>
        <v>0</v>
      </c>
      <c r="AQ360" s="107"/>
      <c r="AS360" s="108"/>
    </row>
    <row r="361" spans="1:45" x14ac:dyDescent="0.2">
      <c r="A361" s="85" t="s">
        <v>155</v>
      </c>
      <c r="B361" s="101"/>
      <c r="C361" s="92" t="s">
        <v>719</v>
      </c>
      <c r="D361" s="92"/>
      <c r="F361" s="104">
        <f>SUM(F360)</f>
        <v>0</v>
      </c>
      <c r="G361" s="104">
        <f>F361</f>
        <v>0</v>
      </c>
      <c r="H361" s="105">
        <f>VLOOKUP(A361,Data!$A$2:$Z$179,24,FALSE)</f>
        <v>27</v>
      </c>
      <c r="I361" s="105">
        <f>VLOOKUP(A361,Data!$A$2:$Z$179,25,FALSE)</f>
        <v>0</v>
      </c>
      <c r="J361" s="105">
        <f>VLOOKUP(A361,Data!$A$2:$Z$179,7,FALSE)</f>
        <v>27</v>
      </c>
      <c r="K361" s="105">
        <f>$F361*J361</f>
        <v>0</v>
      </c>
      <c r="L361" s="105">
        <f>VLOOKUP(A361,Data!$A$2:$Z$179,8,FALSE)</f>
        <v>0</v>
      </c>
      <c r="M361" s="105">
        <f>L361*F361</f>
        <v>0</v>
      </c>
      <c r="N361" s="105">
        <f>VLOOKUP(A361,Data!$A$2:$Z$179,9,FALSE)</f>
        <v>0</v>
      </c>
      <c r="O361" s="105">
        <f>VLOOKUP(A360,Data!$A$2:$Z$179,10,FALSE)</f>
        <v>0</v>
      </c>
      <c r="P361" s="105">
        <f>O361*F361</f>
        <v>0</v>
      </c>
      <c r="Q361" s="105">
        <f>VLOOKUP(A361,Data!$A$2:$Z$179,11,FALSE)</f>
        <v>0</v>
      </c>
      <c r="R361" s="105">
        <f t="shared" si="112"/>
        <v>0</v>
      </c>
      <c r="S361" s="105">
        <f>VLOOKUP(A361,Data!$A$2:$Z$179,12,FALSE)</f>
        <v>2.1749999999999998</v>
      </c>
      <c r="T361" s="105">
        <f>S361*F361</f>
        <v>0</v>
      </c>
      <c r="U361" s="105">
        <f>VLOOKUP(A361,Data!$A$2:$Z$179,13,FALSE)</f>
        <v>2.1160447422698802E-2</v>
      </c>
      <c r="V361" s="91">
        <f t="shared" si="107"/>
        <v>0</v>
      </c>
      <c r="W361" s="105">
        <f>VLOOKUP(A361,Data!$A$2:$Z$179,22,FALSE)</f>
        <v>0</v>
      </c>
      <c r="X361" s="105">
        <f>W361*F361</f>
        <v>0</v>
      </c>
      <c r="Y361" s="105">
        <f>VLOOKUP(A361,Data!$A$2:$Z$179,19,FALSE)</f>
        <v>0</v>
      </c>
      <c r="Z361" s="105">
        <f t="shared" si="115"/>
        <v>0</v>
      </c>
      <c r="AA361" s="105">
        <f>VLOOKUP(A361,Data!$A$2:$Z$179,20,FALSE)</f>
        <v>0</v>
      </c>
      <c r="AB361" s="105">
        <f t="shared" si="119"/>
        <v>0</v>
      </c>
      <c r="AC361" s="105">
        <f>VLOOKUP(A361,Data!$A$2:$Z$179,21,FALSE)</f>
        <v>0</v>
      </c>
      <c r="AD361" s="105">
        <f t="shared" si="108"/>
        <v>0</v>
      </c>
      <c r="AE361" s="105">
        <f>J361+L361+N361+O361+Q361+S361+U361+W361+Y361+AA361+AC361</f>
        <v>29.196160447422699</v>
      </c>
      <c r="AF361" s="105">
        <f t="shared" si="109"/>
        <v>0</v>
      </c>
      <c r="AG361" s="105"/>
      <c r="AH361" s="106">
        <f>AE361-S361-W361</f>
        <v>27.021160447422698</v>
      </c>
      <c r="AI361" s="85">
        <f>AH361/AE361</f>
        <v>0.92550390302461849</v>
      </c>
      <c r="AK361" s="106">
        <f t="shared" si="104"/>
        <v>2.1749999999999998</v>
      </c>
      <c r="AL361" s="106">
        <f t="shared" si="105"/>
        <v>2.1749999999999998</v>
      </c>
      <c r="AQ361" s="107"/>
      <c r="AS361" s="108"/>
    </row>
    <row r="362" spans="1:45" x14ac:dyDescent="0.2">
      <c r="B362" s="101"/>
      <c r="C362" s="92"/>
      <c r="D362" s="92"/>
      <c r="F362" s="109"/>
      <c r="G362" s="109"/>
      <c r="H362" s="109"/>
      <c r="I362" s="109"/>
      <c r="J362" s="105"/>
      <c r="K362" s="105"/>
      <c r="L362" s="105"/>
      <c r="M362" s="105">
        <f t="shared" si="116"/>
        <v>0</v>
      </c>
      <c r="N362" s="105"/>
      <c r="O362" s="105"/>
      <c r="P362" s="105">
        <f t="shared" si="117"/>
        <v>0</v>
      </c>
      <c r="Q362" s="105"/>
      <c r="R362" s="105">
        <f t="shared" si="112"/>
        <v>0</v>
      </c>
      <c r="S362" s="105"/>
      <c r="T362" s="105">
        <f t="shared" si="118"/>
        <v>0</v>
      </c>
      <c r="U362" s="105"/>
      <c r="V362" s="91">
        <f t="shared" si="107"/>
        <v>0</v>
      </c>
      <c r="W362" s="105"/>
      <c r="X362" s="105">
        <f t="shared" si="114"/>
        <v>0</v>
      </c>
      <c r="Y362" s="105"/>
      <c r="Z362" s="105">
        <f t="shared" si="115"/>
        <v>0</v>
      </c>
      <c r="AA362" s="105"/>
      <c r="AB362" s="105">
        <f t="shared" si="119"/>
        <v>0</v>
      </c>
      <c r="AC362" s="105"/>
      <c r="AD362" s="105">
        <f t="shared" si="108"/>
        <v>0</v>
      </c>
      <c r="AE362" s="105"/>
      <c r="AF362" s="105">
        <f t="shared" si="109"/>
        <v>0</v>
      </c>
      <c r="AG362" s="105"/>
      <c r="AH362" s="106"/>
      <c r="AK362" s="106">
        <f t="shared" si="104"/>
        <v>0</v>
      </c>
      <c r="AL362" s="106">
        <f t="shared" si="105"/>
        <v>0</v>
      </c>
      <c r="AQ362" s="107"/>
      <c r="AS362" s="108"/>
    </row>
    <row r="363" spans="1:45" x14ac:dyDescent="0.2">
      <c r="A363" s="85" t="s">
        <v>157</v>
      </c>
      <c r="B363" s="101" t="s">
        <v>156</v>
      </c>
      <c r="C363" s="86" t="s">
        <v>720</v>
      </c>
      <c r="F363" s="102">
        <f>E363</f>
        <v>0</v>
      </c>
      <c r="G363" s="103"/>
      <c r="H363" s="103"/>
      <c r="I363" s="103"/>
      <c r="J363" s="105"/>
      <c r="K363" s="105"/>
      <c r="L363" s="105"/>
      <c r="M363" s="105">
        <f t="shared" si="116"/>
        <v>0</v>
      </c>
      <c r="N363" s="105"/>
      <c r="O363" s="105"/>
      <c r="P363" s="105">
        <f t="shared" si="117"/>
        <v>0</v>
      </c>
      <c r="Q363" s="105"/>
      <c r="R363" s="105">
        <f t="shared" si="112"/>
        <v>0</v>
      </c>
      <c r="S363" s="105"/>
      <c r="T363" s="105">
        <f t="shared" si="118"/>
        <v>0</v>
      </c>
      <c r="U363" s="105"/>
      <c r="V363" s="91">
        <f t="shared" si="107"/>
        <v>0</v>
      </c>
      <c r="W363" s="105"/>
      <c r="X363" s="105">
        <f t="shared" si="114"/>
        <v>0</v>
      </c>
      <c r="Y363" s="105"/>
      <c r="Z363" s="105">
        <f t="shared" si="115"/>
        <v>0</v>
      </c>
      <c r="AA363" s="105"/>
      <c r="AB363" s="105">
        <f t="shared" si="119"/>
        <v>0</v>
      </c>
      <c r="AC363" s="105"/>
      <c r="AD363" s="105">
        <f t="shared" si="108"/>
        <v>0</v>
      </c>
      <c r="AE363" s="105"/>
      <c r="AF363" s="105">
        <f t="shared" si="109"/>
        <v>0</v>
      </c>
      <c r="AG363" s="105"/>
      <c r="AH363" s="106"/>
      <c r="AK363" s="106">
        <f t="shared" si="104"/>
        <v>0</v>
      </c>
      <c r="AL363" s="106">
        <f t="shared" si="105"/>
        <v>0</v>
      </c>
      <c r="AQ363" s="107"/>
      <c r="AR363" s="112"/>
      <c r="AS363" s="108"/>
    </row>
    <row r="364" spans="1:45" x14ac:dyDescent="0.2">
      <c r="A364" s="85" t="s">
        <v>157</v>
      </c>
      <c r="B364" s="101"/>
      <c r="C364" s="92" t="s">
        <v>721</v>
      </c>
      <c r="D364" s="92"/>
      <c r="F364" s="104">
        <f>SUM(F363)</f>
        <v>0</v>
      </c>
      <c r="G364" s="104">
        <f>F364</f>
        <v>0</v>
      </c>
      <c r="H364" s="105">
        <f>VLOOKUP(A364,Data!$A$2:$Z$179,24,FALSE)</f>
        <v>27</v>
      </c>
      <c r="I364" s="105">
        <f>VLOOKUP(A364,Data!$A$2:$Z$179,25,FALSE)</f>
        <v>0</v>
      </c>
      <c r="J364" s="105">
        <f>VLOOKUP(A364,Data!$A$2:$Z$179,7,FALSE)</f>
        <v>27</v>
      </c>
      <c r="K364" s="105">
        <f>$F364*J364</f>
        <v>0</v>
      </c>
      <c r="L364" s="105">
        <f>VLOOKUP(A364,Data!$A$2:$Z$179,8,FALSE)</f>
        <v>0</v>
      </c>
      <c r="M364" s="105">
        <f>L364*F364</f>
        <v>0</v>
      </c>
      <c r="N364" s="105">
        <f>VLOOKUP(A364,Data!$A$2:$Z$179,9,FALSE)</f>
        <v>0</v>
      </c>
      <c r="O364" s="105">
        <f>VLOOKUP(A363,Data!$A$2:$Z$179,10,FALSE)</f>
        <v>0.39200000000000002</v>
      </c>
      <c r="P364" s="105">
        <f>O364*F364</f>
        <v>0</v>
      </c>
      <c r="Q364" s="105">
        <f>VLOOKUP(A364,Data!$A$2:$Z$179,11,FALSE)</f>
        <v>0</v>
      </c>
      <c r="R364" s="105">
        <f t="shared" si="112"/>
        <v>0</v>
      </c>
      <c r="S364" s="105">
        <f>VLOOKUP(A364,Data!$A$2:$Z$179,12,FALSE)</f>
        <v>0</v>
      </c>
      <c r="T364" s="105">
        <f>S364*F364</f>
        <v>0</v>
      </c>
      <c r="U364" s="105">
        <f>VLOOKUP(A364,Data!$A$2:$Z$179,13,FALSE)</f>
        <v>1.4477957141707431E-3</v>
      </c>
      <c r="V364" s="91">
        <f t="shared" si="107"/>
        <v>0</v>
      </c>
      <c r="W364" s="105">
        <f>VLOOKUP(A364,Data!$A$2:$Z$179,22,FALSE)</f>
        <v>0</v>
      </c>
      <c r="X364" s="105">
        <f>W364*F364</f>
        <v>0</v>
      </c>
      <c r="Y364" s="105">
        <f>VLOOKUP(A364,Data!$A$2:$Z$179,19,FALSE)</f>
        <v>0</v>
      </c>
      <c r="Z364" s="105">
        <f t="shared" si="115"/>
        <v>0</v>
      </c>
      <c r="AA364" s="105">
        <f>VLOOKUP(A364,Data!$A$2:$Z$179,20,FALSE)</f>
        <v>0</v>
      </c>
      <c r="AB364" s="105">
        <f t="shared" si="119"/>
        <v>0</v>
      </c>
      <c r="AC364" s="105">
        <f>VLOOKUP(A364,Data!$A$2:$Z$179,21,FALSE)</f>
        <v>0</v>
      </c>
      <c r="AD364" s="105">
        <f t="shared" si="108"/>
        <v>0</v>
      </c>
      <c r="AE364" s="105">
        <f>J364+L364+N364+O364+Q364+S364+U364+W364+Y364+AA364+AC364</f>
        <v>27.39344779571417</v>
      </c>
      <c r="AF364" s="105">
        <f t="shared" si="109"/>
        <v>0</v>
      </c>
      <c r="AG364" s="105"/>
      <c r="AH364" s="106">
        <f>AE364-S364-W364</f>
        <v>27.39344779571417</v>
      </c>
      <c r="AI364" s="85">
        <f>AH364/AE364</f>
        <v>1</v>
      </c>
      <c r="AK364" s="106">
        <f t="shared" si="104"/>
        <v>0.39200000000000002</v>
      </c>
      <c r="AL364" s="106">
        <f t="shared" si="105"/>
        <v>0.39200000000000002</v>
      </c>
      <c r="AQ364" s="107"/>
      <c r="AS364" s="108"/>
    </row>
    <row r="365" spans="1:45" x14ac:dyDescent="0.2">
      <c r="B365" s="101"/>
      <c r="C365" s="92"/>
      <c r="D365" s="92"/>
      <c r="F365" s="109"/>
      <c r="G365" s="109"/>
      <c r="H365" s="109"/>
      <c r="I365" s="109"/>
      <c r="J365" s="105"/>
      <c r="K365" s="105"/>
      <c r="L365" s="105"/>
      <c r="M365" s="105">
        <f t="shared" si="116"/>
        <v>0</v>
      </c>
      <c r="N365" s="105"/>
      <c r="O365" s="105"/>
      <c r="P365" s="105">
        <f t="shared" si="117"/>
        <v>0</v>
      </c>
      <c r="Q365" s="105"/>
      <c r="R365" s="105">
        <f t="shared" si="112"/>
        <v>0</v>
      </c>
      <c r="S365" s="105"/>
      <c r="T365" s="105">
        <f t="shared" si="118"/>
        <v>0</v>
      </c>
      <c r="U365" s="105"/>
      <c r="V365" s="91">
        <f t="shared" si="107"/>
        <v>0</v>
      </c>
      <c r="W365" s="105"/>
      <c r="X365" s="105">
        <f t="shared" si="114"/>
        <v>0</v>
      </c>
      <c r="Y365" s="105"/>
      <c r="Z365" s="105">
        <f t="shared" si="115"/>
        <v>0</v>
      </c>
      <c r="AA365" s="105"/>
      <c r="AB365" s="105">
        <f t="shared" si="119"/>
        <v>0</v>
      </c>
      <c r="AC365" s="105"/>
      <c r="AD365" s="105">
        <f t="shared" si="108"/>
        <v>0</v>
      </c>
      <c r="AE365" s="105"/>
      <c r="AF365" s="105">
        <f t="shared" si="109"/>
        <v>0</v>
      </c>
      <c r="AG365" s="105"/>
      <c r="AH365" s="106"/>
      <c r="AK365" s="106">
        <f t="shared" si="104"/>
        <v>0</v>
      </c>
      <c r="AL365" s="106">
        <f t="shared" si="105"/>
        <v>0</v>
      </c>
      <c r="AQ365" s="107"/>
      <c r="AS365" s="108"/>
    </row>
    <row r="366" spans="1:45" x14ac:dyDescent="0.2">
      <c r="A366" s="85" t="s">
        <v>158</v>
      </c>
      <c r="B366" s="101" t="s">
        <v>156</v>
      </c>
      <c r="C366" s="86" t="s">
        <v>722</v>
      </c>
      <c r="F366" s="102">
        <f>E366</f>
        <v>0</v>
      </c>
      <c r="G366" s="102"/>
      <c r="H366" s="102"/>
      <c r="I366" s="102"/>
      <c r="J366" s="105"/>
      <c r="K366" s="105"/>
      <c r="L366" s="105"/>
      <c r="M366" s="105">
        <f t="shared" si="116"/>
        <v>0</v>
      </c>
      <c r="N366" s="105"/>
      <c r="O366" s="105"/>
      <c r="P366" s="105">
        <f t="shared" si="117"/>
        <v>0</v>
      </c>
      <c r="Q366" s="105"/>
      <c r="R366" s="105">
        <f t="shared" si="112"/>
        <v>0</v>
      </c>
      <c r="S366" s="105"/>
      <c r="T366" s="105">
        <f t="shared" si="118"/>
        <v>0</v>
      </c>
      <c r="U366" s="105"/>
      <c r="V366" s="91">
        <f t="shared" si="107"/>
        <v>0</v>
      </c>
      <c r="W366" s="105"/>
      <c r="X366" s="105">
        <f t="shared" si="114"/>
        <v>0</v>
      </c>
      <c r="Y366" s="105"/>
      <c r="Z366" s="105">
        <f t="shared" si="115"/>
        <v>0</v>
      </c>
      <c r="AA366" s="105"/>
      <c r="AB366" s="105">
        <f t="shared" si="119"/>
        <v>0</v>
      </c>
      <c r="AC366" s="105"/>
      <c r="AD366" s="105">
        <f t="shared" si="108"/>
        <v>0</v>
      </c>
      <c r="AE366" s="105"/>
      <c r="AF366" s="105">
        <f t="shared" si="109"/>
        <v>0</v>
      </c>
      <c r="AG366" s="105"/>
      <c r="AH366" s="106"/>
      <c r="AK366" s="106">
        <f t="shared" si="104"/>
        <v>0</v>
      </c>
      <c r="AL366" s="106">
        <f t="shared" si="105"/>
        <v>0</v>
      </c>
      <c r="AQ366" s="107"/>
      <c r="AS366" s="108"/>
    </row>
    <row r="367" spans="1:45" x14ac:dyDescent="0.2">
      <c r="A367" s="85" t="s">
        <v>158</v>
      </c>
      <c r="B367" s="101" t="s">
        <v>176</v>
      </c>
      <c r="C367" s="86" t="s">
        <v>722</v>
      </c>
      <c r="F367" s="102">
        <f>E367</f>
        <v>0</v>
      </c>
      <c r="G367" s="102"/>
      <c r="H367" s="102"/>
      <c r="I367" s="102"/>
      <c r="J367" s="105"/>
      <c r="K367" s="105"/>
      <c r="L367" s="105"/>
      <c r="M367" s="105">
        <f t="shared" si="116"/>
        <v>0</v>
      </c>
      <c r="N367" s="105"/>
      <c r="O367" s="105"/>
      <c r="P367" s="105">
        <f t="shared" si="117"/>
        <v>0</v>
      </c>
      <c r="Q367" s="105"/>
      <c r="R367" s="105">
        <f t="shared" si="112"/>
        <v>0</v>
      </c>
      <c r="S367" s="105"/>
      <c r="T367" s="105">
        <f t="shared" si="118"/>
        <v>0</v>
      </c>
      <c r="U367" s="105"/>
      <c r="V367" s="91">
        <f t="shared" si="107"/>
        <v>0</v>
      </c>
      <c r="W367" s="105"/>
      <c r="X367" s="105">
        <f t="shared" si="114"/>
        <v>0</v>
      </c>
      <c r="Y367" s="105"/>
      <c r="Z367" s="105">
        <f t="shared" si="115"/>
        <v>0</v>
      </c>
      <c r="AA367" s="105"/>
      <c r="AB367" s="105">
        <f t="shared" si="119"/>
        <v>0</v>
      </c>
      <c r="AC367" s="105"/>
      <c r="AD367" s="105">
        <f t="shared" si="108"/>
        <v>0</v>
      </c>
      <c r="AE367" s="105"/>
      <c r="AF367" s="105">
        <f t="shared" si="109"/>
        <v>0</v>
      </c>
      <c r="AG367" s="105"/>
      <c r="AH367" s="106"/>
      <c r="AK367" s="106">
        <f t="shared" si="104"/>
        <v>0</v>
      </c>
      <c r="AL367" s="106">
        <f t="shared" si="105"/>
        <v>0</v>
      </c>
      <c r="AQ367" s="107"/>
      <c r="AS367" s="108"/>
    </row>
    <row r="368" spans="1:45" x14ac:dyDescent="0.2">
      <c r="A368" s="85" t="s">
        <v>158</v>
      </c>
      <c r="B368" s="101" t="s">
        <v>235</v>
      </c>
      <c r="C368" s="86" t="s">
        <v>722</v>
      </c>
      <c r="F368" s="102">
        <f>E368</f>
        <v>0</v>
      </c>
      <c r="G368" s="102"/>
      <c r="H368" s="102"/>
      <c r="I368" s="102"/>
      <c r="J368" s="105"/>
      <c r="K368" s="105"/>
      <c r="L368" s="105"/>
      <c r="M368" s="105">
        <f t="shared" si="116"/>
        <v>0</v>
      </c>
      <c r="N368" s="105"/>
      <c r="O368" s="105"/>
      <c r="P368" s="105">
        <f t="shared" si="117"/>
        <v>0</v>
      </c>
      <c r="Q368" s="105"/>
      <c r="R368" s="105">
        <f t="shared" si="112"/>
        <v>0</v>
      </c>
      <c r="S368" s="105"/>
      <c r="T368" s="105">
        <f t="shared" si="118"/>
        <v>0</v>
      </c>
      <c r="U368" s="105"/>
      <c r="V368" s="91">
        <f t="shared" si="107"/>
        <v>0</v>
      </c>
      <c r="W368" s="105"/>
      <c r="X368" s="105">
        <f t="shared" si="114"/>
        <v>0</v>
      </c>
      <c r="Y368" s="105"/>
      <c r="Z368" s="105">
        <f t="shared" si="115"/>
        <v>0</v>
      </c>
      <c r="AA368" s="105"/>
      <c r="AB368" s="105">
        <f>$F366*AA368</f>
        <v>0</v>
      </c>
      <c r="AC368" s="105"/>
      <c r="AD368" s="105">
        <f t="shared" si="108"/>
        <v>0</v>
      </c>
      <c r="AE368" s="105"/>
      <c r="AF368" s="105">
        <f t="shared" si="109"/>
        <v>0</v>
      </c>
      <c r="AG368" s="105"/>
      <c r="AH368" s="106"/>
      <c r="AK368" s="106">
        <f t="shared" si="104"/>
        <v>0</v>
      </c>
      <c r="AL368" s="106">
        <f t="shared" si="105"/>
        <v>0</v>
      </c>
      <c r="AQ368" s="107"/>
      <c r="AS368" s="108"/>
    </row>
    <row r="369" spans="1:45" x14ac:dyDescent="0.2">
      <c r="A369" s="85" t="s">
        <v>158</v>
      </c>
      <c r="B369" s="101"/>
      <c r="C369" s="92" t="s">
        <v>723</v>
      </c>
      <c r="D369" s="92"/>
      <c r="F369" s="104">
        <f>SUM(F366:F368)</f>
        <v>0</v>
      </c>
      <c r="G369" s="104">
        <f>F369</f>
        <v>0</v>
      </c>
      <c r="H369" s="105">
        <f>VLOOKUP(A369,Data!$A$2:$Z$179,24,FALSE)</f>
        <v>27</v>
      </c>
      <c r="I369" s="105">
        <f>VLOOKUP(A369,Data!$A$2:$Z$179,25,FALSE)</f>
        <v>0</v>
      </c>
      <c r="J369" s="105">
        <f>VLOOKUP(A369,Data!$A$2:$Z$179,7,FALSE)</f>
        <v>27</v>
      </c>
      <c r="K369" s="105">
        <f>$F369*J369</f>
        <v>0</v>
      </c>
      <c r="L369" s="105">
        <f>VLOOKUP(A369,Data!$A$2:$Z$179,8,FALSE)</f>
        <v>0</v>
      </c>
      <c r="M369" s="105">
        <f>L369*F369</f>
        <v>0</v>
      </c>
      <c r="N369" s="105">
        <f>VLOOKUP(A369,Data!$A$2:$Z$179,9,FALSE)</f>
        <v>0</v>
      </c>
      <c r="O369" s="105">
        <f>VLOOKUP(A368,Data!$A$2:$Z$179,10,FALSE)</f>
        <v>0</v>
      </c>
      <c r="P369" s="105">
        <f>O369*F369</f>
        <v>0</v>
      </c>
      <c r="Q369" s="105">
        <f>VLOOKUP(A369,Data!$A$2:$Z$179,11,FALSE)</f>
        <v>0</v>
      </c>
      <c r="R369" s="105">
        <f t="shared" si="112"/>
        <v>0</v>
      </c>
      <c r="S369" s="105">
        <f>VLOOKUP(A369,Data!$A$2:$Z$179,12,FALSE)</f>
        <v>0</v>
      </c>
      <c r="T369" s="105">
        <f>S369*F369</f>
        <v>0</v>
      </c>
      <c r="U369" s="105">
        <f>VLOOKUP(A369,Data!$A$2:$Z$179,13,FALSE)</f>
        <v>0</v>
      </c>
      <c r="V369" s="91">
        <f t="shared" si="107"/>
        <v>0</v>
      </c>
      <c r="W369" s="105">
        <f>VLOOKUP(A369,Data!$A$2:$Z$179,22,FALSE)</f>
        <v>0</v>
      </c>
      <c r="X369" s="105">
        <f>W369*F369</f>
        <v>0</v>
      </c>
      <c r="Y369" s="105">
        <f>VLOOKUP(A369,Data!$A$2:$Z$179,19,FALSE)</f>
        <v>0</v>
      </c>
      <c r="Z369" s="105">
        <f t="shared" si="115"/>
        <v>0</v>
      </c>
      <c r="AA369" s="105">
        <f>VLOOKUP(A369,Data!$A$2:$Z$179,20,FALSE)</f>
        <v>0</v>
      </c>
      <c r="AB369" s="105">
        <f>$F369*AA369</f>
        <v>0</v>
      </c>
      <c r="AC369" s="105">
        <f>VLOOKUP(A369,Data!$A$2:$Z$179,21,FALSE)</f>
        <v>0</v>
      </c>
      <c r="AD369" s="105">
        <f t="shared" si="108"/>
        <v>0</v>
      </c>
      <c r="AE369" s="105">
        <f>J369+L369+N369+O369+Q369+S369+U369+W369+Y369+AA369+AC369</f>
        <v>27</v>
      </c>
      <c r="AF369" s="105">
        <f t="shared" si="109"/>
        <v>0</v>
      </c>
      <c r="AG369" s="105"/>
      <c r="AH369" s="106">
        <f>AE369-S369-W369</f>
        <v>27</v>
      </c>
      <c r="AI369" s="85">
        <f>AH369/AE369</f>
        <v>1</v>
      </c>
      <c r="AK369" s="106">
        <f t="shared" si="104"/>
        <v>0</v>
      </c>
      <c r="AL369" s="106">
        <f t="shared" si="105"/>
        <v>0</v>
      </c>
      <c r="AQ369" s="107"/>
      <c r="AS369" s="108"/>
    </row>
    <row r="370" spans="1:45" x14ac:dyDescent="0.2">
      <c r="B370" s="101"/>
      <c r="C370" s="92"/>
      <c r="D370" s="92"/>
      <c r="F370" s="109"/>
      <c r="G370" s="109"/>
      <c r="H370" s="109"/>
      <c r="I370" s="109"/>
      <c r="J370" s="105"/>
      <c r="K370" s="105"/>
      <c r="L370" s="105"/>
      <c r="M370" s="105">
        <f t="shared" si="116"/>
        <v>0</v>
      </c>
      <c r="N370" s="105"/>
      <c r="O370" s="105"/>
      <c r="P370" s="105">
        <f t="shared" si="117"/>
        <v>0</v>
      </c>
      <c r="Q370" s="105"/>
      <c r="R370" s="105">
        <f t="shared" si="112"/>
        <v>0</v>
      </c>
      <c r="S370" s="105"/>
      <c r="T370" s="105">
        <f t="shared" si="118"/>
        <v>0</v>
      </c>
      <c r="U370" s="105"/>
      <c r="V370" s="91">
        <f t="shared" si="107"/>
        <v>0</v>
      </c>
      <c r="W370" s="105"/>
      <c r="X370" s="105">
        <f t="shared" si="114"/>
        <v>0</v>
      </c>
      <c r="Y370" s="105"/>
      <c r="Z370" s="105">
        <f t="shared" si="115"/>
        <v>0</v>
      </c>
      <c r="AA370" s="105"/>
      <c r="AB370" s="105">
        <f>$F368*AA370</f>
        <v>0</v>
      </c>
      <c r="AC370" s="105"/>
      <c r="AD370" s="105">
        <f t="shared" si="108"/>
        <v>0</v>
      </c>
      <c r="AE370" s="105"/>
      <c r="AF370" s="105">
        <f t="shared" si="109"/>
        <v>0</v>
      </c>
      <c r="AG370" s="105"/>
      <c r="AH370" s="106"/>
      <c r="AK370" s="106">
        <f t="shared" si="104"/>
        <v>0</v>
      </c>
      <c r="AL370" s="106">
        <f t="shared" si="105"/>
        <v>0</v>
      </c>
      <c r="AQ370" s="107"/>
      <c r="AS370" s="108"/>
    </row>
    <row r="371" spans="1:45" x14ac:dyDescent="0.2">
      <c r="A371" s="85" t="s">
        <v>159</v>
      </c>
      <c r="B371" s="101" t="s">
        <v>156</v>
      </c>
      <c r="C371" s="86" t="s">
        <v>724</v>
      </c>
      <c r="F371" s="102">
        <f>E371</f>
        <v>0</v>
      </c>
      <c r="G371" s="103"/>
      <c r="H371" s="103"/>
      <c r="I371" s="103"/>
      <c r="J371" s="105"/>
      <c r="K371" s="105"/>
      <c r="L371" s="105"/>
      <c r="M371" s="105">
        <f t="shared" si="116"/>
        <v>0</v>
      </c>
      <c r="N371" s="105"/>
      <c r="O371" s="105"/>
      <c r="P371" s="105">
        <f t="shared" si="117"/>
        <v>0</v>
      </c>
      <c r="Q371" s="105"/>
      <c r="R371" s="105">
        <f t="shared" si="112"/>
        <v>0</v>
      </c>
      <c r="S371" s="105"/>
      <c r="T371" s="105">
        <f t="shared" si="118"/>
        <v>0</v>
      </c>
      <c r="U371" s="105"/>
      <c r="V371" s="91">
        <f t="shared" si="107"/>
        <v>0</v>
      </c>
      <c r="W371" s="105"/>
      <c r="X371" s="105">
        <f t="shared" si="114"/>
        <v>0</v>
      </c>
      <c r="Y371" s="105"/>
      <c r="Z371" s="105">
        <f t="shared" si="115"/>
        <v>0</v>
      </c>
      <c r="AA371" s="105"/>
      <c r="AB371" s="105">
        <f>$F369*AA371</f>
        <v>0</v>
      </c>
      <c r="AC371" s="105"/>
      <c r="AD371" s="105">
        <f t="shared" si="108"/>
        <v>0</v>
      </c>
      <c r="AE371" s="105"/>
      <c r="AF371" s="105">
        <f t="shared" si="109"/>
        <v>0</v>
      </c>
      <c r="AG371" s="105"/>
      <c r="AH371" s="106"/>
      <c r="AK371" s="106">
        <f t="shared" si="104"/>
        <v>0</v>
      </c>
      <c r="AL371" s="106">
        <f t="shared" si="105"/>
        <v>0</v>
      </c>
      <c r="AQ371" s="107"/>
      <c r="AS371" s="108"/>
    </row>
    <row r="372" spans="1:45" x14ac:dyDescent="0.2">
      <c r="A372" s="85" t="s">
        <v>159</v>
      </c>
      <c r="B372" s="101"/>
      <c r="C372" s="92" t="s">
        <v>725</v>
      </c>
      <c r="D372" s="92"/>
      <c r="F372" s="104">
        <f>SUM(F371)</f>
        <v>0</v>
      </c>
      <c r="G372" s="104">
        <f>F372</f>
        <v>0</v>
      </c>
      <c r="H372" s="105">
        <f>VLOOKUP(A372,Data!$A$2:$Z$179,24,FALSE)</f>
        <v>25.81</v>
      </c>
      <c r="I372" s="105">
        <f>VLOOKUP(A372,Data!$A$2:$Z$179,25,FALSE)</f>
        <v>7.3920000000000003</v>
      </c>
      <c r="J372" s="105">
        <f>VLOOKUP(A372,Data!$A$2:$Z$179,7,FALSE)</f>
        <v>18.417999999999999</v>
      </c>
      <c r="K372" s="105">
        <f>$F372*J372</f>
        <v>0</v>
      </c>
      <c r="L372" s="105">
        <f>VLOOKUP(A372,Data!$A$2:$Z$179,8,FALSE)</f>
        <v>0</v>
      </c>
      <c r="M372" s="105">
        <f>L372*F372</f>
        <v>0</v>
      </c>
      <c r="N372" s="105">
        <f>VLOOKUP(A372,Data!$A$2:$Z$179,9,FALSE)</f>
        <v>0</v>
      </c>
      <c r="O372" s="105">
        <f>VLOOKUP(A371,Data!$A$2:$Z$179,10,FALSE)</f>
        <v>0.61499999999999999</v>
      </c>
      <c r="P372" s="105">
        <f>O372*F372</f>
        <v>0</v>
      </c>
      <c r="Q372" s="105">
        <f>VLOOKUP(A372,Data!$A$2:$Z$179,11,FALSE)</f>
        <v>0</v>
      </c>
      <c r="R372" s="105">
        <f t="shared" si="112"/>
        <v>0</v>
      </c>
      <c r="S372" s="105">
        <f>VLOOKUP(A372,Data!$A$2:$Z$179,12,FALSE)</f>
        <v>7.5030000000000001</v>
      </c>
      <c r="T372" s="105">
        <f>S372*F372</f>
        <v>0</v>
      </c>
      <c r="U372" s="105">
        <f>VLOOKUP(A372,Data!$A$2:$Z$179,13,FALSE)</f>
        <v>3.2631691466862338E-2</v>
      </c>
      <c r="V372" s="91">
        <f t="shared" si="107"/>
        <v>0</v>
      </c>
      <c r="W372" s="105">
        <f>VLOOKUP(A372,Data!$A$2:$Z$179,22,FALSE)</f>
        <v>0</v>
      </c>
      <c r="X372" s="105">
        <f>W372*F372</f>
        <v>0</v>
      </c>
      <c r="Y372" s="105">
        <f>VLOOKUP(A372,Data!$A$2:$Z$179,19,FALSE)</f>
        <v>0</v>
      </c>
      <c r="Z372" s="105">
        <f t="shared" si="115"/>
        <v>0</v>
      </c>
      <c r="AA372" s="105">
        <f>VLOOKUP(A372,Data!$A$2:$Z$179,20,FALSE)</f>
        <v>0</v>
      </c>
      <c r="AB372" s="105">
        <f>$F372*AA372</f>
        <v>0</v>
      </c>
      <c r="AC372" s="105">
        <f>VLOOKUP(A372,Data!$A$2:$Z$179,21,FALSE)</f>
        <v>0</v>
      </c>
      <c r="AD372" s="105">
        <f t="shared" si="108"/>
        <v>0</v>
      </c>
      <c r="AE372" s="105">
        <f>J372+L372+N372+O372+Q372+S372+U372+W372+Y372+AA372+AC372</f>
        <v>26.568631691466859</v>
      </c>
      <c r="AF372" s="105">
        <f t="shared" si="109"/>
        <v>0</v>
      </c>
      <c r="AG372" s="105"/>
      <c r="AH372" s="106">
        <f>AE372-S372-W372</f>
        <v>19.065631691466859</v>
      </c>
      <c r="AI372" s="85">
        <f>AH372/AE372</f>
        <v>0.71759930706518982</v>
      </c>
      <c r="AK372" s="106">
        <f t="shared" si="104"/>
        <v>8.1180000000000003</v>
      </c>
      <c r="AL372" s="106">
        <f t="shared" si="105"/>
        <v>8.1180000000000003</v>
      </c>
      <c r="AQ372" s="107"/>
      <c r="AS372" s="108"/>
    </row>
    <row r="373" spans="1:45" x14ac:dyDescent="0.2">
      <c r="B373" s="101"/>
      <c r="C373" s="92"/>
      <c r="D373" s="92"/>
      <c r="F373" s="109"/>
      <c r="G373" s="109"/>
      <c r="H373" s="109"/>
      <c r="I373" s="109"/>
      <c r="J373" s="105"/>
      <c r="K373" s="105"/>
      <c r="L373" s="105"/>
      <c r="M373" s="105"/>
      <c r="N373" s="105"/>
      <c r="O373" s="105"/>
      <c r="P373" s="105">
        <f t="shared" si="117"/>
        <v>0</v>
      </c>
      <c r="Q373" s="105"/>
      <c r="R373" s="105">
        <f t="shared" si="112"/>
        <v>0</v>
      </c>
      <c r="S373" s="105"/>
      <c r="T373" s="105">
        <f t="shared" si="118"/>
        <v>0</v>
      </c>
      <c r="U373" s="105"/>
      <c r="V373" s="91">
        <f t="shared" si="107"/>
        <v>0</v>
      </c>
      <c r="W373" s="105"/>
      <c r="X373" s="105">
        <f t="shared" si="114"/>
        <v>0</v>
      </c>
      <c r="Y373" s="105"/>
      <c r="Z373" s="105">
        <f t="shared" si="115"/>
        <v>0</v>
      </c>
      <c r="AA373" s="105"/>
      <c r="AB373" s="105">
        <f>$F373*AA373</f>
        <v>0</v>
      </c>
      <c r="AC373" s="105"/>
      <c r="AD373" s="105">
        <f t="shared" si="108"/>
        <v>0</v>
      </c>
      <c r="AE373" s="105"/>
      <c r="AF373" s="105">
        <f t="shared" si="109"/>
        <v>0</v>
      </c>
      <c r="AG373" s="105"/>
      <c r="AH373" s="106"/>
      <c r="AK373" s="106">
        <f t="shared" si="104"/>
        <v>0</v>
      </c>
      <c r="AL373" s="106">
        <f t="shared" si="105"/>
        <v>0</v>
      </c>
      <c r="AQ373" s="107"/>
      <c r="AR373" s="112"/>
      <c r="AS373" s="108"/>
    </row>
    <row r="374" spans="1:45" x14ac:dyDescent="0.2">
      <c r="A374" s="112" t="s">
        <v>160</v>
      </c>
      <c r="B374" s="101" t="s">
        <v>109</v>
      </c>
      <c r="C374" s="86" t="s">
        <v>726</v>
      </c>
      <c r="F374" s="102">
        <f>E374</f>
        <v>0</v>
      </c>
      <c r="G374" s="102"/>
      <c r="H374" s="102"/>
      <c r="I374" s="102"/>
      <c r="J374" s="105"/>
      <c r="K374" s="105"/>
      <c r="L374" s="105"/>
      <c r="M374" s="105">
        <f t="shared" ref="M374:M437" si="120">L374*F374</f>
        <v>0</v>
      </c>
      <c r="N374" s="105"/>
      <c r="O374" s="105"/>
      <c r="P374" s="105">
        <f t="shared" si="117"/>
        <v>0</v>
      </c>
      <c r="Q374" s="105"/>
      <c r="R374" s="105">
        <f t="shared" si="112"/>
        <v>0</v>
      </c>
      <c r="S374" s="105"/>
      <c r="T374" s="105">
        <f t="shared" si="118"/>
        <v>0</v>
      </c>
      <c r="U374" s="105"/>
      <c r="V374" s="91">
        <f t="shared" si="107"/>
        <v>0</v>
      </c>
      <c r="W374" s="105"/>
      <c r="X374" s="105">
        <f t="shared" si="114"/>
        <v>0</v>
      </c>
      <c r="Y374" s="105"/>
      <c r="Z374" s="105">
        <f t="shared" si="115"/>
        <v>0</v>
      </c>
      <c r="AA374" s="105"/>
      <c r="AB374" s="105">
        <f>$F374*AA374</f>
        <v>0</v>
      </c>
      <c r="AC374" s="105"/>
      <c r="AD374" s="105">
        <f t="shared" si="108"/>
        <v>0</v>
      </c>
      <c r="AE374" s="105"/>
      <c r="AF374" s="105">
        <f t="shared" si="109"/>
        <v>0</v>
      </c>
      <c r="AG374" s="105"/>
      <c r="AH374" s="106"/>
      <c r="AK374" s="106">
        <f t="shared" si="104"/>
        <v>0</v>
      </c>
      <c r="AL374" s="106">
        <f t="shared" si="105"/>
        <v>0</v>
      </c>
      <c r="AQ374" s="107"/>
      <c r="AS374" s="108"/>
    </row>
    <row r="375" spans="1:45" x14ac:dyDescent="0.2">
      <c r="A375" s="112" t="s">
        <v>160</v>
      </c>
      <c r="B375" s="101" t="s">
        <v>161</v>
      </c>
      <c r="C375" s="86" t="s">
        <v>726</v>
      </c>
      <c r="F375" s="102">
        <f>E375</f>
        <v>0</v>
      </c>
      <c r="G375" s="102"/>
      <c r="H375" s="102"/>
      <c r="I375" s="102"/>
      <c r="J375" s="105"/>
      <c r="K375" s="105"/>
      <c r="L375" s="105"/>
      <c r="M375" s="105">
        <f t="shared" si="120"/>
        <v>0</v>
      </c>
      <c r="N375" s="105"/>
      <c r="O375" s="105"/>
      <c r="P375" s="105">
        <f t="shared" si="117"/>
        <v>0</v>
      </c>
      <c r="Q375" s="105"/>
      <c r="R375" s="105">
        <f t="shared" si="112"/>
        <v>0</v>
      </c>
      <c r="S375" s="105"/>
      <c r="T375" s="105">
        <f t="shared" si="118"/>
        <v>0</v>
      </c>
      <c r="U375" s="105"/>
      <c r="V375" s="91">
        <f t="shared" si="107"/>
        <v>0</v>
      </c>
      <c r="W375" s="105"/>
      <c r="X375" s="105">
        <f t="shared" si="114"/>
        <v>0</v>
      </c>
      <c r="Y375" s="105"/>
      <c r="Z375" s="105">
        <f t="shared" si="115"/>
        <v>0</v>
      </c>
      <c r="AA375" s="105"/>
      <c r="AB375" s="105">
        <f>$F374*AA375</f>
        <v>0</v>
      </c>
      <c r="AC375" s="105"/>
      <c r="AD375" s="105">
        <f t="shared" si="108"/>
        <v>0</v>
      </c>
      <c r="AE375" s="105"/>
      <c r="AF375" s="105">
        <f t="shared" si="109"/>
        <v>0</v>
      </c>
      <c r="AG375" s="105"/>
      <c r="AH375" s="106"/>
      <c r="AK375" s="106">
        <f t="shared" si="104"/>
        <v>0</v>
      </c>
      <c r="AL375" s="106">
        <f t="shared" si="105"/>
        <v>0</v>
      </c>
      <c r="AQ375" s="107"/>
      <c r="AS375" s="108"/>
    </row>
    <row r="376" spans="1:45" x14ac:dyDescent="0.2">
      <c r="A376" s="112" t="s">
        <v>160</v>
      </c>
      <c r="B376" s="101"/>
      <c r="C376" s="92" t="s">
        <v>727</v>
      </c>
      <c r="D376" s="92"/>
      <c r="F376" s="104">
        <f>SUM(F374:F375)</f>
        <v>0</v>
      </c>
      <c r="G376" s="104">
        <f>F376</f>
        <v>0</v>
      </c>
      <c r="H376" s="105">
        <f>VLOOKUP(A376,Data!$A$2:$Z$179,24,FALSE)</f>
        <v>3.43</v>
      </c>
      <c r="I376" s="105">
        <f>VLOOKUP(A376,Data!$A$2:$Z$179,25,FALSE)</f>
        <v>0</v>
      </c>
      <c r="J376" s="105">
        <f>VLOOKUP(A376,Data!$A$2:$Z$179,7,FALSE)</f>
        <v>3.43</v>
      </c>
      <c r="K376" s="105">
        <f>$F376*J376</f>
        <v>0</v>
      </c>
      <c r="L376" s="105">
        <f>VLOOKUP(A376,Data!$A$2:$Z$179,8,FALSE)</f>
        <v>0</v>
      </c>
      <c r="M376" s="105">
        <f>L376*F376</f>
        <v>0</v>
      </c>
      <c r="N376" s="105">
        <f>VLOOKUP(A376,Data!$A$2:$Z$179,9,FALSE)</f>
        <v>0</v>
      </c>
      <c r="O376" s="105">
        <f>VLOOKUP(A375,Data!$A$2:$Z$179,10,FALSE)</f>
        <v>2.1999999999999999E-2</v>
      </c>
      <c r="P376" s="105">
        <f>O376*F376</f>
        <v>0</v>
      </c>
      <c r="Q376" s="105">
        <f>VLOOKUP(A376,Data!$A$2:$Z$179,11,FALSE)</f>
        <v>0</v>
      </c>
      <c r="R376" s="105">
        <f t="shared" si="112"/>
        <v>0</v>
      </c>
      <c r="S376" s="105">
        <f>VLOOKUP(A376,Data!$A$2:$Z$179,12,FALSE)</f>
        <v>0</v>
      </c>
      <c r="T376" s="105">
        <f>S376*F376</f>
        <v>0</v>
      </c>
      <c r="U376" s="105">
        <f>VLOOKUP(A376,Data!$A$2:$Z$179,13,FALSE)</f>
        <v>4.0656717236664856E-2</v>
      </c>
      <c r="V376" s="91">
        <f t="shared" si="107"/>
        <v>0</v>
      </c>
      <c r="W376" s="105">
        <f>VLOOKUP(A376,Data!$A$2:$Z$179,22,FALSE)</f>
        <v>0</v>
      </c>
      <c r="X376" s="105">
        <f>W376*F376</f>
        <v>0</v>
      </c>
      <c r="Y376" s="105">
        <f>VLOOKUP(A376,Data!$A$2:$Z$179,19,FALSE)</f>
        <v>0</v>
      </c>
      <c r="Z376" s="105">
        <f t="shared" si="115"/>
        <v>0</v>
      </c>
      <c r="AA376" s="105">
        <f>VLOOKUP(A376,Data!$A$2:$Z$179,20,FALSE)</f>
        <v>0</v>
      </c>
      <c r="AB376" s="105">
        <f>$F376*AA376</f>
        <v>0</v>
      </c>
      <c r="AC376" s="105">
        <f>VLOOKUP(A376,Data!$A$2:$Z$179,21,FALSE)</f>
        <v>0</v>
      </c>
      <c r="AD376" s="105">
        <f t="shared" si="108"/>
        <v>0</v>
      </c>
      <c r="AE376" s="105">
        <f>J376+L376+N376+O376+Q376+S376+U376+W376+Y376+AA376+AC376</f>
        <v>3.4926567172366649</v>
      </c>
      <c r="AF376" s="105">
        <f t="shared" si="109"/>
        <v>0</v>
      </c>
      <c r="AG376" s="105"/>
      <c r="AH376" s="106">
        <f>AE376-S376-W376</f>
        <v>3.4926567172366649</v>
      </c>
      <c r="AI376" s="85">
        <f>AH376/AE376</f>
        <v>1</v>
      </c>
      <c r="AK376" s="106">
        <f t="shared" si="104"/>
        <v>2.1999999999999999E-2</v>
      </c>
      <c r="AL376" s="106">
        <f t="shared" si="105"/>
        <v>2.1999999999999999E-2</v>
      </c>
      <c r="AQ376" s="107"/>
      <c r="AS376" s="108"/>
    </row>
    <row r="377" spans="1:45" x14ac:dyDescent="0.2">
      <c r="B377" s="101"/>
      <c r="C377" s="92"/>
      <c r="D377" s="92"/>
      <c r="F377" s="109"/>
      <c r="G377" s="109"/>
      <c r="H377" s="109"/>
      <c r="I377" s="109"/>
      <c r="J377" s="105"/>
      <c r="K377" s="105"/>
      <c r="L377" s="105"/>
      <c r="M377" s="105">
        <f t="shared" si="120"/>
        <v>0</v>
      </c>
      <c r="N377" s="105"/>
      <c r="O377" s="105"/>
      <c r="P377" s="105">
        <f t="shared" si="117"/>
        <v>0</v>
      </c>
      <c r="Q377" s="105"/>
      <c r="R377" s="105">
        <f t="shared" si="112"/>
        <v>0</v>
      </c>
      <c r="S377" s="105"/>
      <c r="T377" s="105">
        <f t="shared" si="118"/>
        <v>0</v>
      </c>
      <c r="U377" s="105"/>
      <c r="V377" s="91">
        <f t="shared" si="107"/>
        <v>0</v>
      </c>
      <c r="W377" s="105"/>
      <c r="X377" s="105">
        <f t="shared" si="114"/>
        <v>0</v>
      </c>
      <c r="Y377" s="105"/>
      <c r="Z377" s="105">
        <f t="shared" si="115"/>
        <v>0</v>
      </c>
      <c r="AA377" s="105"/>
      <c r="AB377" s="105">
        <f>$F376*AA377</f>
        <v>0</v>
      </c>
      <c r="AC377" s="105"/>
      <c r="AD377" s="105">
        <f t="shared" si="108"/>
        <v>0</v>
      </c>
      <c r="AE377" s="105"/>
      <c r="AF377" s="105">
        <f t="shared" si="109"/>
        <v>0</v>
      </c>
      <c r="AG377" s="105"/>
      <c r="AH377" s="106"/>
      <c r="AK377" s="106">
        <f t="shared" si="104"/>
        <v>0</v>
      </c>
      <c r="AL377" s="106">
        <f t="shared" si="105"/>
        <v>0</v>
      </c>
      <c r="AQ377" s="107"/>
      <c r="AR377" s="112"/>
      <c r="AS377" s="108"/>
    </row>
    <row r="378" spans="1:45" x14ac:dyDescent="0.2">
      <c r="A378" s="85" t="s">
        <v>162</v>
      </c>
      <c r="B378" s="101" t="s">
        <v>161</v>
      </c>
      <c r="C378" s="86" t="s">
        <v>728</v>
      </c>
      <c r="F378" s="102">
        <f>E378</f>
        <v>0</v>
      </c>
      <c r="G378" s="103"/>
      <c r="H378" s="103"/>
      <c r="I378" s="103"/>
      <c r="J378" s="105"/>
      <c r="K378" s="105"/>
      <c r="L378" s="105"/>
      <c r="M378" s="105">
        <f t="shared" si="120"/>
        <v>0</v>
      </c>
      <c r="N378" s="105"/>
      <c r="O378" s="105"/>
      <c r="P378" s="105">
        <f t="shared" si="117"/>
        <v>0</v>
      </c>
      <c r="Q378" s="105"/>
      <c r="R378" s="105">
        <f t="shared" si="112"/>
        <v>0</v>
      </c>
      <c r="S378" s="105"/>
      <c r="T378" s="105">
        <f t="shared" si="118"/>
        <v>0</v>
      </c>
      <c r="U378" s="105"/>
      <c r="V378" s="91">
        <f t="shared" si="107"/>
        <v>0</v>
      </c>
      <c r="W378" s="105"/>
      <c r="X378" s="105">
        <f t="shared" si="114"/>
        <v>0</v>
      </c>
      <c r="Y378" s="105"/>
      <c r="Z378" s="105">
        <f t="shared" si="115"/>
        <v>0</v>
      </c>
      <c r="AA378" s="105"/>
      <c r="AB378" s="105">
        <f>$F377*AA378</f>
        <v>0</v>
      </c>
      <c r="AC378" s="105"/>
      <c r="AD378" s="105">
        <f t="shared" si="108"/>
        <v>0</v>
      </c>
      <c r="AE378" s="105"/>
      <c r="AF378" s="105">
        <f t="shared" si="109"/>
        <v>0</v>
      </c>
      <c r="AG378" s="105"/>
      <c r="AH378" s="106"/>
      <c r="AK378" s="106">
        <f t="shared" si="104"/>
        <v>0</v>
      </c>
      <c r="AL378" s="106">
        <f t="shared" si="105"/>
        <v>0</v>
      </c>
      <c r="AQ378" s="107"/>
      <c r="AR378" s="112"/>
      <c r="AS378" s="108"/>
    </row>
    <row r="379" spans="1:45" x14ac:dyDescent="0.2">
      <c r="A379" s="85" t="s">
        <v>162</v>
      </c>
      <c r="B379" s="101"/>
      <c r="C379" s="92" t="s">
        <v>729</v>
      </c>
      <c r="D379" s="92"/>
      <c r="F379" s="104">
        <f>SUM(F378)</f>
        <v>0</v>
      </c>
      <c r="G379" s="104">
        <f>F379</f>
        <v>0</v>
      </c>
      <c r="H379" s="105">
        <f>VLOOKUP(A379,Data!$A$2:$Z$179,24,FALSE)</f>
        <v>11.895</v>
      </c>
      <c r="I379" s="105">
        <f>VLOOKUP(A379,Data!$A$2:$Z$179,25,FALSE)</f>
        <v>0</v>
      </c>
      <c r="J379" s="105">
        <f>VLOOKUP(A379,Data!$A$2:$Z$179,7,FALSE)</f>
        <v>11.895</v>
      </c>
      <c r="K379" s="105">
        <f>$F379*J379</f>
        <v>0</v>
      </c>
      <c r="L379" s="105">
        <f>VLOOKUP(A379,Data!$A$2:$Z$179,8,FALSE)</f>
        <v>0</v>
      </c>
      <c r="M379" s="105">
        <f>L379*F379</f>
        <v>0</v>
      </c>
      <c r="N379" s="105">
        <f>VLOOKUP(A379,Data!$A$2:$Z$179,9,FALSE)</f>
        <v>0</v>
      </c>
      <c r="O379" s="105">
        <f>VLOOKUP(A378,Data!$A$2:$Z$179,10,FALSE)</f>
        <v>0</v>
      </c>
      <c r="P379" s="105">
        <f>O379*F379</f>
        <v>0</v>
      </c>
      <c r="Q379" s="105">
        <f>VLOOKUP(A379,Data!$A$2:$Z$179,11,FALSE)</f>
        <v>0</v>
      </c>
      <c r="R379" s="105">
        <f t="shared" si="112"/>
        <v>0</v>
      </c>
      <c r="S379" s="105">
        <f>VLOOKUP(A379,Data!$A$2:$Z$179,12,FALSE)</f>
        <v>2.5149999999999997</v>
      </c>
      <c r="T379" s="105">
        <f>S379*F379</f>
        <v>0</v>
      </c>
      <c r="U379" s="105">
        <f>VLOOKUP(A379,Data!$A$2:$Z$179,13,FALSE)</f>
        <v>2.9921055920094584</v>
      </c>
      <c r="V379" s="91">
        <f t="shared" si="107"/>
        <v>0</v>
      </c>
      <c r="W379" s="105">
        <f>VLOOKUP(A379,Data!$A$2:$Z$179,22,FALSE)</f>
        <v>0</v>
      </c>
      <c r="X379" s="105">
        <f>W379*F379</f>
        <v>0</v>
      </c>
      <c r="Y379" s="105">
        <f>VLOOKUP(A379,Data!$A$2:$Z$179,19,FALSE)</f>
        <v>0</v>
      </c>
      <c r="Z379" s="105">
        <f t="shared" si="115"/>
        <v>0</v>
      </c>
      <c r="AA379" s="105">
        <f>VLOOKUP(A379,Data!$A$2:$Z$179,20,FALSE)</f>
        <v>0</v>
      </c>
      <c r="AB379" s="105">
        <f>$F379*AA379</f>
        <v>0</v>
      </c>
      <c r="AC379" s="105">
        <f>VLOOKUP(A379,Data!$A$2:$Z$179,21,FALSE)</f>
        <v>0</v>
      </c>
      <c r="AD379" s="105">
        <f t="shared" si="108"/>
        <v>0</v>
      </c>
      <c r="AE379" s="105">
        <f>J379+L379+N379+O379+Q379+S379+U379+W379+Y379+AA379+AC379</f>
        <v>17.402105592009459</v>
      </c>
      <c r="AF379" s="105">
        <f t="shared" si="109"/>
        <v>0</v>
      </c>
      <c r="AG379" s="105"/>
      <c r="AH379" s="106">
        <f>AE379-S379-W379</f>
        <v>14.887105592009458</v>
      </c>
      <c r="AI379" s="85">
        <f>AH379/AE379</f>
        <v>0.85547725896142046</v>
      </c>
      <c r="AK379" s="106">
        <f t="shared" si="104"/>
        <v>2.5149999999999997</v>
      </c>
      <c r="AL379" s="106">
        <f t="shared" si="105"/>
        <v>2.5149999999999997</v>
      </c>
      <c r="AQ379" s="107"/>
      <c r="AS379" s="108"/>
    </row>
    <row r="380" spans="1:45" x14ac:dyDescent="0.2">
      <c r="B380" s="101"/>
      <c r="C380" s="92"/>
      <c r="D380" s="92"/>
      <c r="F380" s="109"/>
      <c r="G380" s="109"/>
      <c r="H380" s="109"/>
      <c r="I380" s="109"/>
      <c r="J380" s="105"/>
      <c r="K380" s="105"/>
      <c r="L380" s="105"/>
      <c r="M380" s="105">
        <f t="shared" si="120"/>
        <v>0</v>
      </c>
      <c r="N380" s="105"/>
      <c r="O380" s="105"/>
      <c r="P380" s="105">
        <f t="shared" si="117"/>
        <v>0</v>
      </c>
      <c r="Q380" s="105"/>
      <c r="R380" s="105">
        <f t="shared" si="112"/>
        <v>0</v>
      </c>
      <c r="S380" s="105"/>
      <c r="T380" s="105">
        <f t="shared" si="118"/>
        <v>0</v>
      </c>
      <c r="U380" s="105"/>
      <c r="V380" s="91">
        <f t="shared" si="107"/>
        <v>0</v>
      </c>
      <c r="W380" s="105"/>
      <c r="X380" s="105">
        <f t="shared" si="114"/>
        <v>0</v>
      </c>
      <c r="Y380" s="105"/>
      <c r="Z380" s="105">
        <f t="shared" si="115"/>
        <v>0</v>
      </c>
      <c r="AA380" s="105"/>
      <c r="AB380" s="105">
        <f t="shared" ref="AB380:AB400" si="121">$F380*AA380</f>
        <v>0</v>
      </c>
      <c r="AC380" s="105"/>
      <c r="AD380" s="105">
        <f t="shared" si="108"/>
        <v>0</v>
      </c>
      <c r="AE380" s="105"/>
      <c r="AF380" s="105">
        <f t="shared" si="109"/>
        <v>0</v>
      </c>
      <c r="AG380" s="105"/>
      <c r="AH380" s="106"/>
      <c r="AK380" s="106">
        <f t="shared" si="104"/>
        <v>0</v>
      </c>
      <c r="AL380" s="106">
        <f t="shared" si="105"/>
        <v>0</v>
      </c>
      <c r="AQ380" s="107"/>
      <c r="AS380" s="108"/>
    </row>
    <row r="381" spans="1:45" x14ac:dyDescent="0.2">
      <c r="A381" s="85" t="s">
        <v>163</v>
      </c>
      <c r="B381" s="101" t="s">
        <v>161</v>
      </c>
      <c r="C381" s="86" t="s">
        <v>730</v>
      </c>
      <c r="F381" s="102">
        <f>E381</f>
        <v>0</v>
      </c>
      <c r="G381" s="103"/>
      <c r="H381" s="103"/>
      <c r="I381" s="103"/>
      <c r="J381" s="105"/>
      <c r="K381" s="105"/>
      <c r="L381" s="105"/>
      <c r="M381" s="105">
        <f t="shared" si="120"/>
        <v>0</v>
      </c>
      <c r="N381" s="105"/>
      <c r="O381" s="105"/>
      <c r="P381" s="105">
        <f t="shared" si="117"/>
        <v>0</v>
      </c>
      <c r="Q381" s="105"/>
      <c r="R381" s="105">
        <f t="shared" si="112"/>
        <v>0</v>
      </c>
      <c r="S381" s="105"/>
      <c r="T381" s="105">
        <f t="shared" si="118"/>
        <v>0</v>
      </c>
      <c r="U381" s="105"/>
      <c r="V381" s="91">
        <f t="shared" si="107"/>
        <v>0</v>
      </c>
      <c r="W381" s="105"/>
      <c r="X381" s="105">
        <f t="shared" si="114"/>
        <v>0</v>
      </c>
      <c r="Y381" s="105"/>
      <c r="Z381" s="105">
        <f t="shared" si="115"/>
        <v>0</v>
      </c>
      <c r="AA381" s="105"/>
      <c r="AB381" s="105">
        <f t="shared" si="121"/>
        <v>0</v>
      </c>
      <c r="AC381" s="105"/>
      <c r="AD381" s="105">
        <f t="shared" si="108"/>
        <v>0</v>
      </c>
      <c r="AE381" s="105"/>
      <c r="AF381" s="105">
        <f t="shared" si="109"/>
        <v>0</v>
      </c>
      <c r="AG381" s="105"/>
      <c r="AH381" s="106"/>
      <c r="AK381" s="106">
        <f t="shared" si="104"/>
        <v>0</v>
      </c>
      <c r="AL381" s="106">
        <f t="shared" si="105"/>
        <v>0</v>
      </c>
      <c r="AQ381" s="107"/>
      <c r="AS381" s="108"/>
    </row>
    <row r="382" spans="1:45" x14ac:dyDescent="0.2">
      <c r="A382" s="85" t="s">
        <v>163</v>
      </c>
      <c r="B382" s="101"/>
      <c r="C382" s="92" t="s">
        <v>731</v>
      </c>
      <c r="D382" s="92"/>
      <c r="F382" s="104">
        <f>SUM(F381)</f>
        <v>0</v>
      </c>
      <c r="G382" s="104">
        <f>F382</f>
        <v>0</v>
      </c>
      <c r="H382" s="105">
        <f>VLOOKUP(A382,Data!$A$2:$Z$179,24,FALSE)</f>
        <v>27</v>
      </c>
      <c r="I382" s="105">
        <f>VLOOKUP(A382,Data!$A$2:$Z$179,25,FALSE)</f>
        <v>1.786</v>
      </c>
      <c r="J382" s="105">
        <f>VLOOKUP(A382,Data!$A$2:$Z$179,7,FALSE)</f>
        <v>25.213999999999999</v>
      </c>
      <c r="K382" s="105">
        <f>$F382*J382</f>
        <v>0</v>
      </c>
      <c r="L382" s="105">
        <f>VLOOKUP(A382,Data!$A$2:$Z$179,8,FALSE)</f>
        <v>0</v>
      </c>
      <c r="M382" s="105">
        <f>L382*F382</f>
        <v>0</v>
      </c>
      <c r="N382" s="105">
        <f>VLOOKUP(A382,Data!$A$2:$Z$179,9,FALSE)</f>
        <v>0</v>
      </c>
      <c r="O382" s="105">
        <f>VLOOKUP(A381,Data!$A$2:$Z$179,10,FALSE)</f>
        <v>0</v>
      </c>
      <c r="P382" s="105">
        <f>O382*F382</f>
        <v>0</v>
      </c>
      <c r="Q382" s="105">
        <f>VLOOKUP(A382,Data!$A$2:$Z$179,11,FALSE)</f>
        <v>0</v>
      </c>
      <c r="R382" s="105">
        <f t="shared" si="112"/>
        <v>0</v>
      </c>
      <c r="S382" s="105">
        <f>VLOOKUP(A382,Data!$A$2:$Z$179,12,FALSE)</f>
        <v>7.383</v>
      </c>
      <c r="T382" s="105">
        <f>S382*F382</f>
        <v>0</v>
      </c>
      <c r="U382" s="105">
        <f>VLOOKUP(A382,Data!$A$2:$Z$179,13,FALSE)</f>
        <v>6.9832405510731166E-2</v>
      </c>
      <c r="V382" s="91">
        <f t="shared" si="107"/>
        <v>0</v>
      </c>
      <c r="W382" s="105">
        <v>9.4309999999999992</v>
      </c>
      <c r="X382" s="105">
        <f>W382*F382</f>
        <v>0</v>
      </c>
      <c r="Y382" s="105">
        <f>VLOOKUP(A382,Data!$A$2:$Z$179,19,FALSE)</f>
        <v>0</v>
      </c>
      <c r="Z382" s="105">
        <f t="shared" si="115"/>
        <v>0</v>
      </c>
      <c r="AA382" s="105">
        <f>VLOOKUP(A382,Data!$A$2:$Z$179,20,FALSE)</f>
        <v>0</v>
      </c>
      <c r="AB382" s="105">
        <f t="shared" si="121"/>
        <v>0</v>
      </c>
      <c r="AC382" s="105">
        <f>VLOOKUP(A382,Data!$A$2:$Z$179,21,FALSE)</f>
        <v>0</v>
      </c>
      <c r="AD382" s="105">
        <f t="shared" si="108"/>
        <v>0</v>
      </c>
      <c r="AE382" s="105">
        <f>J382+L382+N382+O382+Q382+S382+U382+W382+Y382+AA382+AC382</f>
        <v>42.097832405510729</v>
      </c>
      <c r="AF382" s="105">
        <f t="shared" si="109"/>
        <v>0</v>
      </c>
      <c r="AG382" s="105"/>
      <c r="AH382" s="106">
        <f>AE382-S382-W382</f>
        <v>25.283832405510729</v>
      </c>
      <c r="AI382" s="85">
        <f>AH382/AE382</f>
        <v>0.60059701321346426</v>
      </c>
      <c r="AK382" s="106">
        <f t="shared" si="104"/>
        <v>7.383</v>
      </c>
      <c r="AL382" s="106">
        <f t="shared" si="105"/>
        <v>7.383</v>
      </c>
      <c r="AQ382" s="107"/>
      <c r="AS382" s="108"/>
    </row>
    <row r="383" spans="1:45" x14ac:dyDescent="0.2">
      <c r="B383" s="101"/>
      <c r="C383" s="92"/>
      <c r="D383" s="92"/>
      <c r="F383" s="109"/>
      <c r="G383" s="109"/>
      <c r="H383" s="109"/>
      <c r="I383" s="109"/>
      <c r="J383" s="105"/>
      <c r="K383" s="105"/>
      <c r="L383" s="105"/>
      <c r="M383" s="105">
        <f t="shared" si="120"/>
        <v>0</v>
      </c>
      <c r="N383" s="105"/>
      <c r="O383" s="105"/>
      <c r="P383" s="105">
        <f t="shared" si="117"/>
        <v>0</v>
      </c>
      <c r="Q383" s="105"/>
      <c r="R383" s="105">
        <f t="shared" si="112"/>
        <v>0</v>
      </c>
      <c r="S383" s="105"/>
      <c r="T383" s="105">
        <f t="shared" si="118"/>
        <v>0</v>
      </c>
      <c r="U383" s="105"/>
      <c r="V383" s="91">
        <f t="shared" si="107"/>
        <v>0</v>
      </c>
      <c r="W383" s="105"/>
      <c r="X383" s="105">
        <f t="shared" si="114"/>
        <v>0</v>
      </c>
      <c r="Y383" s="105"/>
      <c r="Z383" s="105">
        <f t="shared" si="115"/>
        <v>0</v>
      </c>
      <c r="AA383" s="105"/>
      <c r="AB383" s="105">
        <f t="shared" si="121"/>
        <v>0</v>
      </c>
      <c r="AC383" s="105"/>
      <c r="AD383" s="105">
        <f t="shared" si="108"/>
        <v>0</v>
      </c>
      <c r="AE383" s="105"/>
      <c r="AF383" s="105">
        <f t="shared" si="109"/>
        <v>0</v>
      </c>
      <c r="AG383" s="105"/>
      <c r="AH383" s="106"/>
      <c r="AK383" s="106">
        <f t="shared" si="104"/>
        <v>0</v>
      </c>
      <c r="AL383" s="106">
        <f t="shared" si="105"/>
        <v>0</v>
      </c>
      <c r="AQ383" s="107"/>
      <c r="AS383" s="108"/>
    </row>
    <row r="384" spans="1:45" x14ac:dyDescent="0.2">
      <c r="A384" s="85" t="s">
        <v>164</v>
      </c>
      <c r="B384" s="101" t="s">
        <v>165</v>
      </c>
      <c r="C384" s="86" t="s">
        <v>732</v>
      </c>
      <c r="F384" s="102">
        <f>E384</f>
        <v>0</v>
      </c>
      <c r="G384" s="103"/>
      <c r="H384" s="103"/>
      <c r="I384" s="103"/>
      <c r="J384" s="105"/>
      <c r="K384" s="105"/>
      <c r="L384" s="105"/>
      <c r="M384" s="105">
        <f t="shared" si="120"/>
        <v>0</v>
      </c>
      <c r="N384" s="105"/>
      <c r="O384" s="105"/>
      <c r="P384" s="105">
        <f t="shared" si="117"/>
        <v>0</v>
      </c>
      <c r="Q384" s="105"/>
      <c r="R384" s="105">
        <f t="shared" si="112"/>
        <v>0</v>
      </c>
      <c r="S384" s="105"/>
      <c r="T384" s="105">
        <f t="shared" si="118"/>
        <v>0</v>
      </c>
      <c r="U384" s="105"/>
      <c r="V384" s="91">
        <f t="shared" si="107"/>
        <v>0</v>
      </c>
      <c r="W384" s="105"/>
      <c r="X384" s="105">
        <f t="shared" si="114"/>
        <v>0</v>
      </c>
      <c r="Y384" s="105"/>
      <c r="Z384" s="105">
        <f t="shared" si="115"/>
        <v>0</v>
      </c>
      <c r="AA384" s="105"/>
      <c r="AB384" s="105">
        <f t="shared" si="121"/>
        <v>0</v>
      </c>
      <c r="AC384" s="105"/>
      <c r="AD384" s="105">
        <f t="shared" si="108"/>
        <v>0</v>
      </c>
      <c r="AE384" s="105"/>
      <c r="AF384" s="105">
        <f t="shared" si="109"/>
        <v>0</v>
      </c>
      <c r="AG384" s="105"/>
      <c r="AH384" s="106"/>
      <c r="AK384" s="106">
        <f t="shared" si="104"/>
        <v>0</v>
      </c>
      <c r="AL384" s="106">
        <f t="shared" si="105"/>
        <v>0</v>
      </c>
      <c r="AQ384" s="107"/>
      <c r="AS384" s="108"/>
    </row>
    <row r="385" spans="1:45" x14ac:dyDescent="0.2">
      <c r="A385" s="85" t="s">
        <v>164</v>
      </c>
      <c r="B385" s="101"/>
      <c r="C385" s="92" t="s">
        <v>733</v>
      </c>
      <c r="D385" s="92"/>
      <c r="F385" s="104">
        <f>SUM(F384)</f>
        <v>0</v>
      </c>
      <c r="G385" s="104">
        <f>F385</f>
        <v>0</v>
      </c>
      <c r="H385" s="105">
        <f>VLOOKUP(A385,Data!$A$2:$Z$179,24,FALSE)</f>
        <v>27</v>
      </c>
      <c r="I385" s="105">
        <f>VLOOKUP(A385,Data!$A$2:$Z$179,25,FALSE)</f>
        <v>5.5469999999999997</v>
      </c>
      <c r="J385" s="105">
        <f>VLOOKUP(A385,Data!$A$2:$Z$179,7,FALSE)</f>
        <v>21.452999999999999</v>
      </c>
      <c r="K385" s="105">
        <f>$F385*J385</f>
        <v>0</v>
      </c>
      <c r="L385" s="105">
        <f>VLOOKUP(A385,Data!$A$2:$Z$179,8,FALSE)</f>
        <v>0</v>
      </c>
      <c r="M385" s="105">
        <f>L385*F385</f>
        <v>0</v>
      </c>
      <c r="N385" s="105">
        <f>VLOOKUP(A385,Data!$A$2:$Z$179,9,FALSE)</f>
        <v>0</v>
      </c>
      <c r="O385" s="105">
        <f>VLOOKUP(A384,Data!$A$2:$Z$179,10,FALSE)</f>
        <v>0</v>
      </c>
      <c r="P385" s="105">
        <f>O385*F385</f>
        <v>0</v>
      </c>
      <c r="Q385" s="105">
        <f>VLOOKUP(A385,Data!$A$2:$Z$179,11,FALSE)</f>
        <v>0</v>
      </c>
      <c r="R385" s="105">
        <f t="shared" si="112"/>
        <v>0</v>
      </c>
      <c r="S385" s="105">
        <f>VLOOKUP(A385,Data!$A$2:$Z$179,12,FALSE)</f>
        <v>1.4159999999999999</v>
      </c>
      <c r="T385" s="105">
        <f>S385*F385</f>
        <v>0</v>
      </c>
      <c r="U385" s="105">
        <f>VLOOKUP(A385,Data!$A$2:$Z$179,13,FALSE)</f>
        <v>0</v>
      </c>
      <c r="V385" s="91">
        <f t="shared" si="107"/>
        <v>0</v>
      </c>
      <c r="W385" s="105">
        <f>VLOOKUP(A385,Data!$A$2:$Z$179,22,FALSE)</f>
        <v>0</v>
      </c>
      <c r="X385" s="105">
        <f>W385*F385</f>
        <v>0</v>
      </c>
      <c r="Y385" s="105">
        <f>VLOOKUP(A385,Data!$A$2:$Z$179,19,FALSE)</f>
        <v>0</v>
      </c>
      <c r="Z385" s="105">
        <f t="shared" si="115"/>
        <v>0</v>
      </c>
      <c r="AA385" s="105">
        <f>VLOOKUP(A385,Data!$A$2:$Z$179,20,FALSE)</f>
        <v>0</v>
      </c>
      <c r="AB385" s="105">
        <f t="shared" si="121"/>
        <v>0</v>
      </c>
      <c r="AC385" s="105">
        <f>VLOOKUP(A385,Data!$A$2:$Z$179,21,FALSE)</f>
        <v>0</v>
      </c>
      <c r="AD385" s="105">
        <f t="shared" si="108"/>
        <v>0</v>
      </c>
      <c r="AE385" s="105">
        <f>J385+L385+N385+O385+Q385+S385+U385+W385+Y385+AA385+AC385</f>
        <v>22.869</v>
      </c>
      <c r="AF385" s="105">
        <f t="shared" si="109"/>
        <v>0</v>
      </c>
      <c r="AG385" s="105"/>
      <c r="AH385" s="106">
        <f>AE385-S385-W385</f>
        <v>21.452999999999999</v>
      </c>
      <c r="AI385" s="85">
        <f>AH385/AE385</f>
        <v>0.93808211990030166</v>
      </c>
      <c r="AK385" s="106">
        <f t="shared" si="104"/>
        <v>1.4159999999999999</v>
      </c>
      <c r="AL385" s="106">
        <f t="shared" si="105"/>
        <v>1.4159999999999999</v>
      </c>
      <c r="AQ385" s="107"/>
      <c r="AS385" s="108"/>
    </row>
    <row r="386" spans="1:45" x14ac:dyDescent="0.2">
      <c r="B386" s="101"/>
      <c r="C386" s="92"/>
      <c r="D386" s="92"/>
      <c r="F386" s="109"/>
      <c r="G386" s="109"/>
      <c r="H386" s="109"/>
      <c r="I386" s="109"/>
      <c r="J386" s="105"/>
      <c r="K386" s="105"/>
      <c r="L386" s="105"/>
      <c r="M386" s="105">
        <f t="shared" si="120"/>
        <v>0</v>
      </c>
      <c r="N386" s="105"/>
      <c r="O386" s="105"/>
      <c r="P386" s="105">
        <f t="shared" si="117"/>
        <v>0</v>
      </c>
      <c r="Q386" s="105"/>
      <c r="R386" s="105">
        <f t="shared" si="112"/>
        <v>0</v>
      </c>
      <c r="S386" s="105"/>
      <c r="T386" s="105">
        <f t="shared" si="118"/>
        <v>0</v>
      </c>
      <c r="U386" s="105"/>
      <c r="V386" s="91">
        <f t="shared" si="107"/>
        <v>0</v>
      </c>
      <c r="W386" s="105"/>
      <c r="X386" s="105">
        <f t="shared" si="114"/>
        <v>0</v>
      </c>
      <c r="Y386" s="105"/>
      <c r="Z386" s="105">
        <f t="shared" si="115"/>
        <v>0</v>
      </c>
      <c r="AA386" s="105"/>
      <c r="AB386" s="105">
        <f t="shared" si="121"/>
        <v>0</v>
      </c>
      <c r="AC386" s="105"/>
      <c r="AD386" s="105">
        <f t="shared" si="108"/>
        <v>0</v>
      </c>
      <c r="AE386" s="105"/>
      <c r="AF386" s="105">
        <f t="shared" si="109"/>
        <v>0</v>
      </c>
      <c r="AG386" s="105"/>
      <c r="AH386" s="106"/>
      <c r="AK386" s="106">
        <f t="shared" si="104"/>
        <v>0</v>
      </c>
      <c r="AL386" s="106">
        <f t="shared" si="105"/>
        <v>0</v>
      </c>
      <c r="AQ386" s="107"/>
      <c r="AS386" s="108"/>
    </row>
    <row r="387" spans="1:45" x14ac:dyDescent="0.2">
      <c r="A387" s="112" t="s">
        <v>166</v>
      </c>
      <c r="B387" s="101" t="s">
        <v>167</v>
      </c>
      <c r="C387" s="86" t="s">
        <v>734</v>
      </c>
      <c r="F387" s="102">
        <f>E387</f>
        <v>0</v>
      </c>
      <c r="G387" s="103"/>
      <c r="H387" s="103"/>
      <c r="I387" s="103"/>
      <c r="J387" s="105"/>
      <c r="K387" s="105"/>
      <c r="L387" s="105"/>
      <c r="M387" s="105">
        <f t="shared" si="120"/>
        <v>0</v>
      </c>
      <c r="N387" s="105"/>
      <c r="O387" s="105"/>
      <c r="P387" s="105">
        <f t="shared" si="117"/>
        <v>0</v>
      </c>
      <c r="Q387" s="105"/>
      <c r="R387" s="105">
        <f t="shared" si="112"/>
        <v>0</v>
      </c>
      <c r="S387" s="105"/>
      <c r="T387" s="105">
        <f t="shared" si="118"/>
        <v>0</v>
      </c>
      <c r="U387" s="105"/>
      <c r="V387" s="91">
        <f t="shared" si="107"/>
        <v>0</v>
      </c>
      <c r="W387" s="105"/>
      <c r="X387" s="105">
        <f t="shared" si="114"/>
        <v>0</v>
      </c>
      <c r="Y387" s="105"/>
      <c r="Z387" s="105">
        <f t="shared" si="115"/>
        <v>0</v>
      </c>
      <c r="AA387" s="105"/>
      <c r="AB387" s="105">
        <f t="shared" si="121"/>
        <v>0</v>
      </c>
      <c r="AC387" s="105"/>
      <c r="AD387" s="105">
        <f t="shared" si="108"/>
        <v>0</v>
      </c>
      <c r="AE387" s="105"/>
      <c r="AF387" s="105">
        <f t="shared" si="109"/>
        <v>0</v>
      </c>
      <c r="AG387" s="105"/>
      <c r="AH387" s="106"/>
      <c r="AK387" s="106">
        <f t="shared" si="104"/>
        <v>0</v>
      </c>
      <c r="AL387" s="106">
        <f t="shared" si="105"/>
        <v>0</v>
      </c>
      <c r="AQ387" s="107"/>
      <c r="AS387" s="108"/>
    </row>
    <row r="388" spans="1:45" x14ac:dyDescent="0.2">
      <c r="A388" s="112" t="s">
        <v>166</v>
      </c>
      <c r="B388" s="101"/>
      <c r="C388" s="92" t="s">
        <v>735</v>
      </c>
      <c r="D388" s="92"/>
      <c r="F388" s="104">
        <f>SUM(F387)</f>
        <v>0</v>
      </c>
      <c r="G388" s="104">
        <f>F388</f>
        <v>0</v>
      </c>
      <c r="H388" s="105">
        <f>VLOOKUP(A388,Data!$A$2:$Z$179,24,FALSE)</f>
        <v>27</v>
      </c>
      <c r="I388" s="105">
        <f>VLOOKUP(A388,Data!$A$2:$Z$179,25,FALSE)</f>
        <v>5.484</v>
      </c>
      <c r="J388" s="105">
        <f>VLOOKUP(A388,Data!$A$2:$Z$179,7,FALSE)</f>
        <v>21.515999999999998</v>
      </c>
      <c r="K388" s="105">
        <f>$F388*J388</f>
        <v>0</v>
      </c>
      <c r="L388" s="105">
        <f>VLOOKUP(A388,Data!$A$2:$Z$179,8,FALSE)</f>
        <v>0</v>
      </c>
      <c r="M388" s="105">
        <f>L388*F388</f>
        <v>0</v>
      </c>
      <c r="N388" s="105">
        <f>VLOOKUP(A388,Data!$A$2:$Z$179,9,FALSE)</f>
        <v>0</v>
      </c>
      <c r="O388" s="105">
        <f>VLOOKUP(A387,Data!$A$2:$Z$179,10,FALSE)</f>
        <v>0.65100000000000002</v>
      </c>
      <c r="P388" s="105">
        <f>O388*F388</f>
        <v>0</v>
      </c>
      <c r="Q388" s="105">
        <f>VLOOKUP(A388,Data!$A$2:$Z$179,11,FALSE)</f>
        <v>0</v>
      </c>
      <c r="R388" s="105">
        <f t="shared" si="112"/>
        <v>0</v>
      </c>
      <c r="S388" s="105">
        <f>VLOOKUP(A388,Data!$A$2:$Z$179,12,FALSE)</f>
        <v>4.4539999999999997</v>
      </c>
      <c r="T388" s="105">
        <f>S388*F388</f>
        <v>0</v>
      </c>
      <c r="U388" s="105">
        <f>VLOOKUP(A388,Data!$A$2:$Z$179,13,FALSE)</f>
        <v>2.0685562148920526E-2</v>
      </c>
      <c r="V388" s="91">
        <f t="shared" si="107"/>
        <v>0</v>
      </c>
      <c r="W388" s="105">
        <f>VLOOKUP(A388,Data!$A$2:$Z$179,22,FALSE)</f>
        <v>0</v>
      </c>
      <c r="X388" s="105">
        <f>W388*F388</f>
        <v>0</v>
      </c>
      <c r="Y388" s="105">
        <f>VLOOKUP(A388,Data!$A$2:$Z$179,19,FALSE)</f>
        <v>0</v>
      </c>
      <c r="Z388" s="105">
        <f t="shared" si="115"/>
        <v>0</v>
      </c>
      <c r="AA388" s="105">
        <f>VLOOKUP(A388,Data!$A$2:$Z$179,20,FALSE)</f>
        <v>0</v>
      </c>
      <c r="AB388" s="105">
        <f t="shared" si="121"/>
        <v>0</v>
      </c>
      <c r="AC388" s="105">
        <f>VLOOKUP(A388,Data!$A$2:$Z$179,21,FALSE)</f>
        <v>0</v>
      </c>
      <c r="AD388" s="105">
        <f t="shared" si="108"/>
        <v>0</v>
      </c>
      <c r="AE388" s="105">
        <f>J388+L388+N388+O388+Q388+S388+U388+W388+Y388+AA388+AC388</f>
        <v>26.641685562148918</v>
      </c>
      <c r="AF388" s="105">
        <f t="shared" si="109"/>
        <v>0</v>
      </c>
      <c r="AG388" s="105"/>
      <c r="AH388" s="106">
        <f>AE388-S388-W388</f>
        <v>22.187685562148918</v>
      </c>
      <c r="AI388" s="85">
        <f>AH388/AE388</f>
        <v>0.83281838569823807</v>
      </c>
      <c r="AK388" s="106">
        <f t="shared" si="104"/>
        <v>5.1049999999999995</v>
      </c>
      <c r="AL388" s="106">
        <f t="shared" si="105"/>
        <v>5.1049999999999995</v>
      </c>
      <c r="AQ388" s="107"/>
      <c r="AS388" s="108"/>
    </row>
    <row r="389" spans="1:45" x14ac:dyDescent="0.2">
      <c r="B389" s="101"/>
      <c r="C389" s="92"/>
      <c r="D389" s="92"/>
      <c r="F389" s="109"/>
      <c r="G389" s="109"/>
      <c r="H389" s="109"/>
      <c r="I389" s="109"/>
      <c r="J389" s="105"/>
      <c r="K389" s="105"/>
      <c r="L389" s="105"/>
      <c r="M389" s="105">
        <f t="shared" si="120"/>
        <v>0</v>
      </c>
      <c r="N389" s="105"/>
      <c r="O389" s="105"/>
      <c r="P389" s="105">
        <f t="shared" si="117"/>
        <v>0</v>
      </c>
      <c r="Q389" s="105"/>
      <c r="R389" s="105">
        <f t="shared" si="112"/>
        <v>0</v>
      </c>
      <c r="S389" s="105"/>
      <c r="T389" s="105">
        <f t="shared" si="118"/>
        <v>0</v>
      </c>
      <c r="U389" s="105"/>
      <c r="V389" s="91">
        <f t="shared" si="107"/>
        <v>0</v>
      </c>
      <c r="W389" s="105"/>
      <c r="X389" s="105">
        <f t="shared" si="114"/>
        <v>0</v>
      </c>
      <c r="Y389" s="105"/>
      <c r="Z389" s="105">
        <f t="shared" si="115"/>
        <v>0</v>
      </c>
      <c r="AA389" s="105"/>
      <c r="AB389" s="105">
        <f t="shared" si="121"/>
        <v>0</v>
      </c>
      <c r="AC389" s="105"/>
      <c r="AD389" s="105">
        <f t="shared" si="108"/>
        <v>0</v>
      </c>
      <c r="AE389" s="105"/>
      <c r="AF389" s="105">
        <f t="shared" si="109"/>
        <v>0</v>
      </c>
      <c r="AG389" s="105"/>
      <c r="AH389" s="106"/>
      <c r="AK389" s="106">
        <f t="shared" si="104"/>
        <v>0</v>
      </c>
      <c r="AL389" s="106">
        <f t="shared" si="105"/>
        <v>0</v>
      </c>
      <c r="AQ389" s="107"/>
      <c r="AR389" s="112"/>
      <c r="AS389" s="108"/>
    </row>
    <row r="390" spans="1:45" x14ac:dyDescent="0.2">
      <c r="A390" s="85" t="s">
        <v>168</v>
      </c>
      <c r="B390" s="101" t="s">
        <v>169</v>
      </c>
      <c r="C390" s="86" t="s">
        <v>736</v>
      </c>
      <c r="F390" s="102">
        <f>E390</f>
        <v>0</v>
      </c>
      <c r="G390" s="103"/>
      <c r="H390" s="103"/>
      <c r="I390" s="103"/>
      <c r="J390" s="105"/>
      <c r="K390" s="105"/>
      <c r="L390" s="105"/>
      <c r="M390" s="105">
        <f t="shared" si="120"/>
        <v>0</v>
      </c>
      <c r="N390" s="105"/>
      <c r="O390" s="105"/>
      <c r="P390" s="105">
        <f t="shared" si="117"/>
        <v>0</v>
      </c>
      <c r="Q390" s="105"/>
      <c r="R390" s="105">
        <f t="shared" si="112"/>
        <v>0</v>
      </c>
      <c r="S390" s="105"/>
      <c r="T390" s="105">
        <f t="shared" si="118"/>
        <v>0</v>
      </c>
      <c r="U390" s="105"/>
      <c r="V390" s="91">
        <f t="shared" si="107"/>
        <v>0</v>
      </c>
      <c r="W390" s="105"/>
      <c r="X390" s="105">
        <f t="shared" si="114"/>
        <v>0</v>
      </c>
      <c r="Y390" s="105"/>
      <c r="Z390" s="105">
        <f t="shared" si="115"/>
        <v>0</v>
      </c>
      <c r="AA390" s="105"/>
      <c r="AB390" s="105">
        <f t="shared" si="121"/>
        <v>0</v>
      </c>
      <c r="AC390" s="105"/>
      <c r="AD390" s="105">
        <f t="shared" si="108"/>
        <v>0</v>
      </c>
      <c r="AE390" s="105"/>
      <c r="AF390" s="105">
        <f t="shared" si="109"/>
        <v>0</v>
      </c>
      <c r="AG390" s="105"/>
      <c r="AH390" s="106"/>
      <c r="AK390" s="106">
        <f t="shared" si="104"/>
        <v>0</v>
      </c>
      <c r="AL390" s="106">
        <f t="shared" si="105"/>
        <v>0</v>
      </c>
      <c r="AQ390" s="107"/>
      <c r="AR390" s="112"/>
      <c r="AS390" s="108"/>
    </row>
    <row r="391" spans="1:45" x14ac:dyDescent="0.2">
      <c r="A391" s="85" t="s">
        <v>168</v>
      </c>
      <c r="B391" s="101"/>
      <c r="C391" s="92" t="s">
        <v>737</v>
      </c>
      <c r="D391" s="92"/>
      <c r="F391" s="104">
        <f>SUM(F390)</f>
        <v>0</v>
      </c>
      <c r="G391" s="104">
        <f>F391</f>
        <v>0</v>
      </c>
      <c r="H391" s="105">
        <f>VLOOKUP(A391,Data!$A$2:$Z$179,24,FALSE)</f>
        <v>27</v>
      </c>
      <c r="I391" s="105">
        <f>VLOOKUP(A391,Data!$A$2:$Z$179,25,FALSE)</f>
        <v>7.1549999999999994</v>
      </c>
      <c r="J391" s="105">
        <f>VLOOKUP(A391,Data!$A$2:$Z$179,7,FALSE)</f>
        <v>19.844999999999999</v>
      </c>
      <c r="K391" s="105">
        <f>$F391*J391</f>
        <v>0</v>
      </c>
      <c r="L391" s="105">
        <f>VLOOKUP(A391,Data!$A$2:$Z$179,8,FALSE)</f>
        <v>0</v>
      </c>
      <c r="M391" s="105">
        <f>L391*F391</f>
        <v>0</v>
      </c>
      <c r="N391" s="105">
        <f>VLOOKUP(A391,Data!$A$2:$Z$179,9,FALSE)</f>
        <v>0</v>
      </c>
      <c r="O391" s="105">
        <f>VLOOKUP(A390,Data!$A$2:$Z$179,10,FALSE)</f>
        <v>0</v>
      </c>
      <c r="P391" s="105">
        <f>O391*F391</f>
        <v>0</v>
      </c>
      <c r="Q391" s="105">
        <f>VLOOKUP(A391,Data!$A$2:$Z$179,11,FALSE)</f>
        <v>0</v>
      </c>
      <c r="R391" s="105">
        <f t="shared" si="112"/>
        <v>0</v>
      </c>
      <c r="S391" s="105">
        <f>VLOOKUP(A391,Data!$A$2:$Z$179,12,FALSE)</f>
        <v>0</v>
      </c>
      <c r="T391" s="105">
        <f>S391*F391</f>
        <v>0</v>
      </c>
      <c r="U391" s="105">
        <f>VLOOKUP(A391,Data!$A$2:$Z$179,13,FALSE)</f>
        <v>3.5815669975960744E-2</v>
      </c>
      <c r="V391" s="91">
        <f t="shared" si="107"/>
        <v>0</v>
      </c>
      <c r="W391" s="105">
        <f>VLOOKUP(A391,Data!$A$2:$Z$179,22,FALSE)</f>
        <v>0</v>
      </c>
      <c r="X391" s="105">
        <f>W391*F391</f>
        <v>0</v>
      </c>
      <c r="Y391" s="105">
        <f>VLOOKUP(A391,Data!$A$2:$Z$179,19,FALSE)</f>
        <v>0</v>
      </c>
      <c r="Z391" s="105">
        <f t="shared" si="115"/>
        <v>0</v>
      </c>
      <c r="AA391" s="105">
        <f>VLOOKUP(A391,Data!$A$2:$Z$179,20,FALSE)</f>
        <v>0</v>
      </c>
      <c r="AB391" s="105">
        <f t="shared" si="121"/>
        <v>0</v>
      </c>
      <c r="AC391" s="105">
        <f>VLOOKUP(A391,Data!$A$2:$Z$179,21,FALSE)</f>
        <v>0</v>
      </c>
      <c r="AD391" s="105">
        <f t="shared" si="108"/>
        <v>0</v>
      </c>
      <c r="AE391" s="105">
        <f>J391+L391+N391+O391+Q391+S391+U391+W391+Y391+AA391+AC391</f>
        <v>19.880815669975959</v>
      </c>
      <c r="AF391" s="105">
        <f t="shared" si="109"/>
        <v>0</v>
      </c>
      <c r="AG391" s="105"/>
      <c r="AH391" s="106">
        <f>AE391-S391-W391</f>
        <v>19.880815669975959</v>
      </c>
      <c r="AI391" s="85">
        <f>AH391/AE391</f>
        <v>1</v>
      </c>
      <c r="AK391" s="106">
        <f t="shared" si="104"/>
        <v>0</v>
      </c>
      <c r="AL391" s="106">
        <f t="shared" si="105"/>
        <v>0</v>
      </c>
      <c r="AQ391" s="107"/>
      <c r="AS391" s="108"/>
    </row>
    <row r="392" spans="1:45" x14ac:dyDescent="0.2">
      <c r="B392" s="101"/>
      <c r="C392" s="92"/>
      <c r="D392" s="92"/>
      <c r="F392" s="109"/>
      <c r="G392" s="109"/>
      <c r="H392" s="109"/>
      <c r="I392" s="109"/>
      <c r="J392" s="105"/>
      <c r="K392" s="105"/>
      <c r="L392" s="105"/>
      <c r="M392" s="105">
        <f t="shared" si="120"/>
        <v>0</v>
      </c>
      <c r="N392" s="105"/>
      <c r="O392" s="105"/>
      <c r="P392" s="105">
        <f t="shared" si="117"/>
        <v>0</v>
      </c>
      <c r="Q392" s="105"/>
      <c r="R392" s="105">
        <f t="shared" si="112"/>
        <v>0</v>
      </c>
      <c r="S392" s="105"/>
      <c r="T392" s="105">
        <f t="shared" si="118"/>
        <v>0</v>
      </c>
      <c r="U392" s="105"/>
      <c r="V392" s="91">
        <f t="shared" si="107"/>
        <v>0</v>
      </c>
      <c r="W392" s="105"/>
      <c r="X392" s="105">
        <f t="shared" si="114"/>
        <v>0</v>
      </c>
      <c r="Y392" s="105"/>
      <c r="Z392" s="105">
        <f t="shared" si="115"/>
        <v>0</v>
      </c>
      <c r="AA392" s="105"/>
      <c r="AB392" s="105">
        <f t="shared" si="121"/>
        <v>0</v>
      </c>
      <c r="AC392" s="105"/>
      <c r="AD392" s="105">
        <f t="shared" si="108"/>
        <v>0</v>
      </c>
      <c r="AE392" s="105"/>
      <c r="AF392" s="105">
        <f t="shared" si="109"/>
        <v>0</v>
      </c>
      <c r="AG392" s="105"/>
      <c r="AH392" s="106"/>
      <c r="AK392" s="106">
        <f t="shared" ref="AK392:AK455" si="122">O392+Q392+S392</f>
        <v>0</v>
      </c>
      <c r="AL392" s="106">
        <f t="shared" ref="AL392:AL455" si="123">O392+Q392+S392</f>
        <v>0</v>
      </c>
      <c r="AQ392" s="107"/>
      <c r="AS392" s="108"/>
    </row>
    <row r="393" spans="1:45" x14ac:dyDescent="0.2">
      <c r="A393" s="85" t="s">
        <v>170</v>
      </c>
      <c r="B393" s="101" t="s">
        <v>169</v>
      </c>
      <c r="C393" s="86" t="s">
        <v>738</v>
      </c>
      <c r="F393" s="102">
        <f>E393</f>
        <v>0</v>
      </c>
      <c r="G393" s="103"/>
      <c r="H393" s="103"/>
      <c r="I393" s="103"/>
      <c r="J393" s="105"/>
      <c r="K393" s="105"/>
      <c r="L393" s="105"/>
      <c r="M393" s="105">
        <f t="shared" si="120"/>
        <v>0</v>
      </c>
      <c r="N393" s="105"/>
      <c r="O393" s="105"/>
      <c r="P393" s="105">
        <f t="shared" si="117"/>
        <v>0</v>
      </c>
      <c r="Q393" s="105"/>
      <c r="R393" s="105">
        <f t="shared" si="112"/>
        <v>0</v>
      </c>
      <c r="S393" s="105"/>
      <c r="T393" s="105">
        <f t="shared" si="118"/>
        <v>0</v>
      </c>
      <c r="U393" s="105"/>
      <c r="V393" s="91">
        <f t="shared" si="107"/>
        <v>0</v>
      </c>
      <c r="W393" s="105"/>
      <c r="X393" s="105">
        <f t="shared" si="114"/>
        <v>0</v>
      </c>
      <c r="Y393" s="105"/>
      <c r="Z393" s="105">
        <f t="shared" si="115"/>
        <v>0</v>
      </c>
      <c r="AA393" s="105"/>
      <c r="AB393" s="105">
        <f t="shared" si="121"/>
        <v>0</v>
      </c>
      <c r="AC393" s="105"/>
      <c r="AD393" s="105">
        <f t="shared" si="108"/>
        <v>0</v>
      </c>
      <c r="AE393" s="105"/>
      <c r="AF393" s="105">
        <f t="shared" si="109"/>
        <v>0</v>
      </c>
      <c r="AG393" s="105"/>
      <c r="AH393" s="106"/>
      <c r="AK393" s="106">
        <f t="shared" si="122"/>
        <v>0</v>
      </c>
      <c r="AL393" s="106">
        <f t="shared" si="123"/>
        <v>0</v>
      </c>
      <c r="AQ393" s="107"/>
      <c r="AS393" s="108"/>
    </row>
    <row r="394" spans="1:45" x14ac:dyDescent="0.2">
      <c r="A394" s="85" t="s">
        <v>170</v>
      </c>
      <c r="B394" s="101"/>
      <c r="C394" s="92" t="s">
        <v>739</v>
      </c>
      <c r="D394" s="92"/>
      <c r="F394" s="104">
        <f>SUM(F393)</f>
        <v>0</v>
      </c>
      <c r="G394" s="104">
        <f>F394</f>
        <v>0</v>
      </c>
      <c r="H394" s="105">
        <f>VLOOKUP(A394,Data!$A$2:$Z$179,24,FALSE)</f>
        <v>27</v>
      </c>
      <c r="I394" s="105">
        <f>VLOOKUP(A394,Data!$A$2:$Z$179,25,FALSE)</f>
        <v>5.117</v>
      </c>
      <c r="J394" s="105">
        <f>VLOOKUP(A394,Data!$A$2:$Z$179,7,FALSE)</f>
        <v>21.882999999999999</v>
      </c>
      <c r="K394" s="105">
        <f>$F394*J394</f>
        <v>0</v>
      </c>
      <c r="L394" s="105">
        <f>VLOOKUP(A394,Data!$A$2:$Z$179,8,FALSE)</f>
        <v>0</v>
      </c>
      <c r="M394" s="105">
        <f>L394*F394</f>
        <v>0</v>
      </c>
      <c r="N394" s="105">
        <f>VLOOKUP(A394,Data!$A$2:$Z$179,9,FALSE)</f>
        <v>0</v>
      </c>
      <c r="O394" s="105">
        <f>VLOOKUP(A393,Data!$A$2:$Z$179,10,FALSE)</f>
        <v>0</v>
      </c>
      <c r="P394" s="105">
        <f>O394*F394</f>
        <v>0</v>
      </c>
      <c r="Q394" s="105">
        <f>VLOOKUP(A394,Data!$A$2:$Z$179,11,FALSE)</f>
        <v>0</v>
      </c>
      <c r="R394" s="105">
        <f t="shared" si="112"/>
        <v>0</v>
      </c>
      <c r="S394" s="105">
        <f>VLOOKUP(A394,Data!$A$2:$Z$179,12,FALSE)</f>
        <v>5.9660000000000002</v>
      </c>
      <c r="T394" s="105">
        <f>S394*F394</f>
        <v>0</v>
      </c>
      <c r="U394" s="105">
        <f>VLOOKUP(A394,Data!$A$2:$Z$179,13,FALSE)</f>
        <v>0.12032528309379331</v>
      </c>
      <c r="V394" s="91">
        <f t="shared" si="107"/>
        <v>0</v>
      </c>
      <c r="W394" s="105">
        <f>VLOOKUP(A394,Data!$A$2:$Z$179,22,FALSE)</f>
        <v>0</v>
      </c>
      <c r="X394" s="105">
        <f>W394*F394</f>
        <v>0</v>
      </c>
      <c r="Y394" s="105">
        <f>VLOOKUP(A394,Data!$A$2:$Z$179,19,FALSE)</f>
        <v>0</v>
      </c>
      <c r="Z394" s="105">
        <f t="shared" si="115"/>
        <v>0</v>
      </c>
      <c r="AA394" s="105">
        <f>VLOOKUP(A394,Data!$A$2:$Z$179,20,FALSE)</f>
        <v>0</v>
      </c>
      <c r="AB394" s="105">
        <f t="shared" si="121"/>
        <v>0</v>
      </c>
      <c r="AC394" s="105">
        <f>VLOOKUP(A394,Data!$A$2:$Z$179,21,FALSE)</f>
        <v>0</v>
      </c>
      <c r="AD394" s="105">
        <f t="shared" si="108"/>
        <v>0</v>
      </c>
      <c r="AE394" s="105">
        <f>J394+L394+N394+O394+Q394+S394+U394+W394+Y394+AA394+AC394</f>
        <v>27.969325283093795</v>
      </c>
      <c r="AF394" s="105">
        <f t="shared" si="109"/>
        <v>0</v>
      </c>
      <c r="AG394" s="105"/>
      <c r="AH394" s="106">
        <f>AE394-S394-W394</f>
        <v>22.003325283093794</v>
      </c>
      <c r="AI394" s="85">
        <f>AH394/AE394</f>
        <v>0.78669489021938688</v>
      </c>
      <c r="AK394" s="106">
        <f t="shared" si="122"/>
        <v>5.9660000000000002</v>
      </c>
      <c r="AL394" s="106">
        <f t="shared" si="123"/>
        <v>5.9660000000000002</v>
      </c>
      <c r="AQ394" s="107"/>
      <c r="AS394" s="108"/>
    </row>
    <row r="395" spans="1:45" x14ac:dyDescent="0.2">
      <c r="B395" s="101"/>
      <c r="C395" s="92"/>
      <c r="D395" s="92"/>
      <c r="F395" s="109"/>
      <c r="G395" s="109"/>
      <c r="H395" s="109"/>
      <c r="I395" s="109"/>
      <c r="J395" s="105"/>
      <c r="K395" s="105"/>
      <c r="L395" s="105"/>
      <c r="M395" s="105">
        <f t="shared" si="120"/>
        <v>0</v>
      </c>
      <c r="N395" s="105"/>
      <c r="O395" s="105"/>
      <c r="P395" s="105">
        <f t="shared" si="117"/>
        <v>0</v>
      </c>
      <c r="Q395" s="105"/>
      <c r="R395" s="105">
        <f t="shared" si="112"/>
        <v>0</v>
      </c>
      <c r="S395" s="105"/>
      <c r="T395" s="105">
        <f t="shared" si="118"/>
        <v>0</v>
      </c>
      <c r="U395" s="105"/>
      <c r="V395" s="91">
        <f t="shared" si="107"/>
        <v>0</v>
      </c>
      <c r="W395" s="105"/>
      <c r="X395" s="105">
        <f t="shared" si="114"/>
        <v>0</v>
      </c>
      <c r="Y395" s="105"/>
      <c r="Z395" s="105">
        <f t="shared" si="115"/>
        <v>0</v>
      </c>
      <c r="AA395" s="105"/>
      <c r="AB395" s="105">
        <f t="shared" si="121"/>
        <v>0</v>
      </c>
      <c r="AC395" s="105"/>
      <c r="AD395" s="105">
        <f t="shared" si="108"/>
        <v>0</v>
      </c>
      <c r="AE395" s="105"/>
      <c r="AF395" s="105">
        <f t="shared" si="109"/>
        <v>0</v>
      </c>
      <c r="AG395" s="105"/>
      <c r="AH395" s="106"/>
      <c r="AK395" s="106">
        <f t="shared" si="122"/>
        <v>0</v>
      </c>
      <c r="AL395" s="106">
        <f t="shared" si="123"/>
        <v>0</v>
      </c>
      <c r="AQ395" s="107"/>
      <c r="AS395" s="108"/>
    </row>
    <row r="396" spans="1:45" x14ac:dyDescent="0.2">
      <c r="A396" s="85" t="s">
        <v>171</v>
      </c>
      <c r="B396" s="101" t="s">
        <v>169</v>
      </c>
      <c r="C396" s="86" t="s">
        <v>740</v>
      </c>
      <c r="F396" s="102">
        <f>E396</f>
        <v>0</v>
      </c>
      <c r="G396" s="103"/>
      <c r="H396" s="103"/>
      <c r="I396" s="103"/>
      <c r="J396" s="105"/>
      <c r="K396" s="105"/>
      <c r="L396" s="105"/>
      <c r="M396" s="105">
        <f t="shared" si="120"/>
        <v>0</v>
      </c>
      <c r="N396" s="105"/>
      <c r="O396" s="105"/>
      <c r="P396" s="105">
        <f t="shared" si="117"/>
        <v>0</v>
      </c>
      <c r="Q396" s="105"/>
      <c r="R396" s="105">
        <f t="shared" si="112"/>
        <v>0</v>
      </c>
      <c r="S396" s="105"/>
      <c r="T396" s="105">
        <f t="shared" si="118"/>
        <v>0</v>
      </c>
      <c r="U396" s="105"/>
      <c r="V396" s="91">
        <f t="shared" si="107"/>
        <v>0</v>
      </c>
      <c r="W396" s="105"/>
      <c r="X396" s="105">
        <f t="shared" si="114"/>
        <v>0</v>
      </c>
      <c r="Y396" s="105"/>
      <c r="Z396" s="105">
        <f t="shared" si="115"/>
        <v>0</v>
      </c>
      <c r="AA396" s="105"/>
      <c r="AB396" s="105">
        <f t="shared" si="121"/>
        <v>0</v>
      </c>
      <c r="AC396" s="105"/>
      <c r="AD396" s="105">
        <f t="shared" si="108"/>
        <v>0</v>
      </c>
      <c r="AE396" s="105"/>
      <c r="AF396" s="105">
        <f t="shared" si="109"/>
        <v>0</v>
      </c>
      <c r="AG396" s="105"/>
      <c r="AH396" s="106"/>
      <c r="AK396" s="106">
        <f t="shared" si="122"/>
        <v>0</v>
      </c>
      <c r="AL396" s="106">
        <f t="shared" si="123"/>
        <v>0</v>
      </c>
      <c r="AQ396" s="107"/>
      <c r="AS396" s="108"/>
    </row>
    <row r="397" spans="1:45" x14ac:dyDescent="0.2">
      <c r="A397" s="85" t="s">
        <v>171</v>
      </c>
      <c r="B397" s="101"/>
      <c r="C397" s="92" t="s">
        <v>741</v>
      </c>
      <c r="D397" s="92"/>
      <c r="F397" s="104">
        <f>SUM(F396)</f>
        <v>0</v>
      </c>
      <c r="G397" s="104">
        <f>F397</f>
        <v>0</v>
      </c>
      <c r="H397" s="105">
        <f>VLOOKUP(A397,Data!$A$2:$Z$179,24,FALSE)</f>
        <v>27</v>
      </c>
      <c r="I397" s="105">
        <f>VLOOKUP(A397,Data!$A$2:$Z$179,25,FALSE)</f>
        <v>10.342000000000001</v>
      </c>
      <c r="J397" s="105">
        <f>VLOOKUP(A397,Data!$A$2:$Z$179,7,FALSE)</f>
        <v>16.658000000000001</v>
      </c>
      <c r="K397" s="105">
        <f>$F397*J397</f>
        <v>0</v>
      </c>
      <c r="L397" s="105">
        <f>VLOOKUP(A397,Data!$A$2:$Z$179,8,FALSE)</f>
        <v>0</v>
      </c>
      <c r="M397" s="105">
        <f>L397*F397</f>
        <v>0</v>
      </c>
      <c r="N397" s="105">
        <f>VLOOKUP(A397,Data!$A$2:$Z$179,9,FALSE)</f>
        <v>0</v>
      </c>
      <c r="O397" s="105">
        <f>VLOOKUP(A396,Data!$A$2:$Z$179,10,FALSE)</f>
        <v>0</v>
      </c>
      <c r="P397" s="105">
        <f>O397*F397</f>
        <v>0</v>
      </c>
      <c r="Q397" s="105">
        <f>VLOOKUP(A397,Data!$A$2:$Z$179,11,FALSE)</f>
        <v>0</v>
      </c>
      <c r="R397" s="105">
        <f t="shared" si="112"/>
        <v>0</v>
      </c>
      <c r="S397" s="105">
        <f>VLOOKUP(A397,Data!$A$2:$Z$179,12,FALSE)</f>
        <v>6.3290000000000006</v>
      </c>
      <c r="T397" s="105">
        <f>S397*F397</f>
        <v>0</v>
      </c>
      <c r="U397" s="105">
        <f>VLOOKUP(A397,Data!$A$2:$Z$179,13,FALSE)</f>
        <v>0.22651906467761676</v>
      </c>
      <c r="V397" s="91">
        <f t="shared" si="107"/>
        <v>0</v>
      </c>
      <c r="W397" s="105">
        <f>VLOOKUP(A397,Data!$A$2:$Z$179,22,FALSE)</f>
        <v>0</v>
      </c>
      <c r="X397" s="105">
        <f>W397*F397</f>
        <v>0</v>
      </c>
      <c r="Y397" s="105">
        <f>VLOOKUP(A397,Data!$A$2:$Z$179,19,FALSE)</f>
        <v>0</v>
      </c>
      <c r="Z397" s="105">
        <f t="shared" si="115"/>
        <v>0</v>
      </c>
      <c r="AA397" s="105">
        <f>VLOOKUP(A397,Data!$A$2:$Z$179,20,FALSE)</f>
        <v>0</v>
      </c>
      <c r="AB397" s="105">
        <f t="shared" si="121"/>
        <v>0</v>
      </c>
      <c r="AC397" s="105">
        <f>VLOOKUP(A397,Data!$A$2:$Z$179,21,FALSE)</f>
        <v>0</v>
      </c>
      <c r="AD397" s="105">
        <f t="shared" si="108"/>
        <v>0</v>
      </c>
      <c r="AE397" s="105">
        <f>J397+L397+N397+O397+Q397+S397+U397+W397+Y397+AA397+AC397</f>
        <v>23.213519064677619</v>
      </c>
      <c r="AF397" s="105">
        <f t="shared" si="109"/>
        <v>0</v>
      </c>
      <c r="AG397" s="105"/>
      <c r="AH397" s="106">
        <f>AE397-S397-W397</f>
        <v>16.884519064677619</v>
      </c>
      <c r="AI397" s="85">
        <f>AH397/AE397</f>
        <v>0.7273571498416026</v>
      </c>
      <c r="AK397" s="106">
        <f t="shared" si="122"/>
        <v>6.3290000000000006</v>
      </c>
      <c r="AL397" s="106">
        <f t="shared" si="123"/>
        <v>6.3290000000000006</v>
      </c>
      <c r="AQ397" s="107"/>
      <c r="AS397" s="108"/>
    </row>
    <row r="398" spans="1:45" x14ac:dyDescent="0.2">
      <c r="B398" s="101"/>
      <c r="C398" s="92"/>
      <c r="D398" s="92"/>
      <c r="F398" s="109"/>
      <c r="G398" s="109"/>
      <c r="H398" s="109"/>
      <c r="I398" s="109"/>
      <c r="J398" s="105"/>
      <c r="K398" s="105"/>
      <c r="L398" s="105"/>
      <c r="M398" s="105">
        <f t="shared" si="120"/>
        <v>0</v>
      </c>
      <c r="N398" s="105"/>
      <c r="O398" s="105"/>
      <c r="P398" s="105">
        <f t="shared" si="117"/>
        <v>0</v>
      </c>
      <c r="Q398" s="105"/>
      <c r="R398" s="105">
        <f t="shared" si="112"/>
        <v>0</v>
      </c>
      <c r="S398" s="105"/>
      <c r="T398" s="105">
        <f t="shared" si="118"/>
        <v>0</v>
      </c>
      <c r="U398" s="105"/>
      <c r="V398" s="91">
        <f t="shared" si="107"/>
        <v>0</v>
      </c>
      <c r="W398" s="105"/>
      <c r="X398" s="105">
        <f t="shared" si="114"/>
        <v>0</v>
      </c>
      <c r="Y398" s="105"/>
      <c r="Z398" s="105">
        <f t="shared" si="115"/>
        <v>0</v>
      </c>
      <c r="AA398" s="105"/>
      <c r="AB398" s="105">
        <f t="shared" si="121"/>
        <v>0</v>
      </c>
      <c r="AC398" s="105"/>
      <c r="AD398" s="105">
        <f t="shared" si="108"/>
        <v>0</v>
      </c>
      <c r="AE398" s="105"/>
      <c r="AF398" s="105">
        <f t="shared" si="109"/>
        <v>0</v>
      </c>
      <c r="AG398" s="105"/>
      <c r="AH398" s="106"/>
      <c r="AK398" s="106">
        <f t="shared" si="122"/>
        <v>0</v>
      </c>
      <c r="AL398" s="106">
        <f t="shared" si="123"/>
        <v>0</v>
      </c>
      <c r="AQ398" s="107"/>
      <c r="AS398" s="108"/>
    </row>
    <row r="399" spans="1:45" x14ac:dyDescent="0.2">
      <c r="A399" s="112" t="s">
        <v>172</v>
      </c>
      <c r="B399" s="101" t="s">
        <v>173</v>
      </c>
      <c r="C399" s="113" t="s">
        <v>742</v>
      </c>
      <c r="F399" s="102">
        <f>E399</f>
        <v>0</v>
      </c>
      <c r="G399" s="102"/>
      <c r="H399" s="102"/>
      <c r="I399" s="102"/>
      <c r="J399" s="105"/>
      <c r="K399" s="105"/>
      <c r="L399" s="105"/>
      <c r="M399" s="105">
        <f t="shared" si="120"/>
        <v>0</v>
      </c>
      <c r="N399" s="105"/>
      <c r="O399" s="105"/>
      <c r="P399" s="105">
        <f t="shared" si="117"/>
        <v>0</v>
      </c>
      <c r="Q399" s="105"/>
      <c r="R399" s="105">
        <f t="shared" si="112"/>
        <v>0</v>
      </c>
      <c r="S399" s="105"/>
      <c r="T399" s="105">
        <f t="shared" si="118"/>
        <v>0</v>
      </c>
      <c r="U399" s="105"/>
      <c r="V399" s="91">
        <f t="shared" si="107"/>
        <v>0</v>
      </c>
      <c r="W399" s="105"/>
      <c r="X399" s="105">
        <f t="shared" si="114"/>
        <v>0</v>
      </c>
      <c r="Y399" s="105"/>
      <c r="Z399" s="105">
        <f t="shared" si="115"/>
        <v>0</v>
      </c>
      <c r="AA399" s="105"/>
      <c r="AB399" s="105">
        <f t="shared" si="121"/>
        <v>0</v>
      </c>
      <c r="AC399" s="105"/>
      <c r="AD399" s="105">
        <f t="shared" si="108"/>
        <v>0</v>
      </c>
      <c r="AE399" s="105"/>
      <c r="AF399" s="105">
        <f t="shared" si="109"/>
        <v>0</v>
      </c>
      <c r="AG399" s="105"/>
      <c r="AH399" s="106"/>
      <c r="AK399" s="106">
        <f t="shared" si="122"/>
        <v>0</v>
      </c>
      <c r="AL399" s="106">
        <f t="shared" si="123"/>
        <v>0</v>
      </c>
      <c r="AQ399" s="107"/>
      <c r="AS399" s="108"/>
    </row>
    <row r="400" spans="1:45" x14ac:dyDescent="0.2">
      <c r="A400" s="112" t="s">
        <v>172</v>
      </c>
      <c r="B400" s="101" t="s">
        <v>188</v>
      </c>
      <c r="C400" s="113" t="s">
        <v>742</v>
      </c>
      <c r="F400" s="102">
        <f>E400</f>
        <v>0</v>
      </c>
      <c r="G400" s="102"/>
      <c r="H400" s="102"/>
      <c r="I400" s="102"/>
      <c r="J400" s="105"/>
      <c r="K400" s="105"/>
      <c r="L400" s="105"/>
      <c r="M400" s="105">
        <f t="shared" si="120"/>
        <v>0</v>
      </c>
      <c r="N400" s="105"/>
      <c r="O400" s="105"/>
      <c r="P400" s="105">
        <f t="shared" si="117"/>
        <v>0</v>
      </c>
      <c r="Q400" s="105"/>
      <c r="R400" s="105">
        <f t="shared" si="112"/>
        <v>0</v>
      </c>
      <c r="S400" s="105"/>
      <c r="T400" s="105">
        <f t="shared" si="118"/>
        <v>0</v>
      </c>
      <c r="U400" s="105"/>
      <c r="V400" s="91">
        <f t="shared" si="107"/>
        <v>0</v>
      </c>
      <c r="W400" s="105"/>
      <c r="X400" s="105">
        <f t="shared" si="114"/>
        <v>0</v>
      </c>
      <c r="Y400" s="105"/>
      <c r="Z400" s="105">
        <f t="shared" si="115"/>
        <v>0</v>
      </c>
      <c r="AA400" s="105"/>
      <c r="AB400" s="105">
        <f t="shared" si="121"/>
        <v>0</v>
      </c>
      <c r="AC400" s="105"/>
      <c r="AD400" s="105">
        <f t="shared" si="108"/>
        <v>0</v>
      </c>
      <c r="AE400" s="105"/>
      <c r="AF400" s="105">
        <f t="shared" si="109"/>
        <v>0</v>
      </c>
      <c r="AG400" s="105"/>
      <c r="AH400" s="106"/>
      <c r="AK400" s="106">
        <f t="shared" si="122"/>
        <v>0</v>
      </c>
      <c r="AL400" s="106">
        <f t="shared" si="123"/>
        <v>0</v>
      </c>
      <c r="AQ400" s="107"/>
      <c r="AS400" s="108"/>
    </row>
    <row r="401" spans="1:45" x14ac:dyDescent="0.2">
      <c r="A401" s="112" t="s">
        <v>172</v>
      </c>
      <c r="B401" s="101" t="s">
        <v>118</v>
      </c>
      <c r="C401" s="113" t="s">
        <v>742</v>
      </c>
      <c r="F401" s="102">
        <f>E401</f>
        <v>0</v>
      </c>
      <c r="G401" s="102"/>
      <c r="H401" s="102"/>
      <c r="I401" s="102"/>
      <c r="J401" s="105"/>
      <c r="K401" s="105"/>
      <c r="L401" s="105"/>
      <c r="M401" s="105">
        <f t="shared" si="120"/>
        <v>0</v>
      </c>
      <c r="N401" s="105"/>
      <c r="O401" s="105"/>
      <c r="P401" s="105">
        <f t="shared" si="117"/>
        <v>0</v>
      </c>
      <c r="Q401" s="105"/>
      <c r="R401" s="105">
        <f t="shared" si="112"/>
        <v>0</v>
      </c>
      <c r="S401" s="105"/>
      <c r="T401" s="105">
        <f t="shared" si="118"/>
        <v>0</v>
      </c>
      <c r="U401" s="105"/>
      <c r="V401" s="91">
        <f t="shared" si="107"/>
        <v>0</v>
      </c>
      <c r="W401" s="105"/>
      <c r="X401" s="105">
        <f t="shared" si="114"/>
        <v>0</v>
      </c>
      <c r="Y401" s="105"/>
      <c r="Z401" s="105">
        <f t="shared" si="115"/>
        <v>0</v>
      </c>
      <c r="AA401" s="105"/>
      <c r="AB401" s="105">
        <f>$F399*AA401</f>
        <v>0</v>
      </c>
      <c r="AC401" s="105"/>
      <c r="AD401" s="105">
        <f t="shared" si="108"/>
        <v>0</v>
      </c>
      <c r="AE401" s="105"/>
      <c r="AF401" s="105">
        <f t="shared" si="109"/>
        <v>0</v>
      </c>
      <c r="AG401" s="105"/>
      <c r="AH401" s="106"/>
      <c r="AK401" s="106">
        <f t="shared" si="122"/>
        <v>0</v>
      </c>
      <c r="AL401" s="106">
        <f t="shared" si="123"/>
        <v>0</v>
      </c>
      <c r="AQ401" s="107"/>
      <c r="AS401" s="108"/>
    </row>
    <row r="402" spans="1:45" x14ac:dyDescent="0.2">
      <c r="A402" s="112" t="s">
        <v>172</v>
      </c>
      <c r="B402" s="101"/>
      <c r="C402" s="92" t="s">
        <v>743</v>
      </c>
      <c r="D402" s="92"/>
      <c r="F402" s="104">
        <f>SUM(F399:F401)</f>
        <v>0</v>
      </c>
      <c r="G402" s="104">
        <f>F402</f>
        <v>0</v>
      </c>
      <c r="H402" s="105">
        <f>VLOOKUP(A402,Data!$A$2:$Z$179,24,FALSE)</f>
        <v>27</v>
      </c>
      <c r="I402" s="105">
        <f>VLOOKUP(A402,Data!$A$2:$Z$179,25,FALSE)</f>
        <v>4.0330000000000004</v>
      </c>
      <c r="J402" s="105">
        <f>VLOOKUP(A402,Data!$A$2:$Z$179,7,FALSE)</f>
        <v>22.966999999999999</v>
      </c>
      <c r="K402" s="105">
        <f>$F402*J402</f>
        <v>0</v>
      </c>
      <c r="L402" s="105">
        <f>VLOOKUP(A402,Data!$A$2:$Z$179,8,FALSE)</f>
        <v>0</v>
      </c>
      <c r="M402" s="105">
        <f>L402*F402</f>
        <v>0</v>
      </c>
      <c r="N402" s="105">
        <f>VLOOKUP(A402,Data!$A$2:$Z$179,9,FALSE)</f>
        <v>0</v>
      </c>
      <c r="O402" s="105">
        <f>VLOOKUP(A401,Data!$A$2:$Z$179,10,FALSE)</f>
        <v>0</v>
      </c>
      <c r="P402" s="105">
        <f>O402*F402</f>
        <v>0</v>
      </c>
      <c r="Q402" s="105">
        <f>VLOOKUP(A402,Data!$A$2:$Z$179,11,FALSE)</f>
        <v>0</v>
      </c>
      <c r="R402" s="105">
        <f t="shared" si="112"/>
        <v>0</v>
      </c>
      <c r="S402" s="105">
        <f>VLOOKUP(A402,Data!$A$2:$Z$179,12,FALSE)</f>
        <v>0</v>
      </c>
      <c r="T402" s="105">
        <f>S402*F402</f>
        <v>0</v>
      </c>
      <c r="U402" s="105">
        <f>VLOOKUP(A402,Data!$A$2:$Z$179,13,FALSE)</f>
        <v>4.7379594438024586E-2</v>
      </c>
      <c r="V402" s="91">
        <f t="shared" ref="V402:V464" si="124">U402*F402/1000</f>
        <v>0</v>
      </c>
      <c r="W402" s="105">
        <f>VLOOKUP(A402,Data!$A$2:$Z$179,22,FALSE)</f>
        <v>0</v>
      </c>
      <c r="X402" s="105">
        <f>W402*F402</f>
        <v>0</v>
      </c>
      <c r="Y402" s="105">
        <f>VLOOKUP(A402,Data!$A$2:$Z$179,19,FALSE)</f>
        <v>0</v>
      </c>
      <c r="Z402" s="105">
        <f t="shared" si="115"/>
        <v>0</v>
      </c>
      <c r="AA402" s="105">
        <f>VLOOKUP(A402,Data!$A$2:$Z$179,20,FALSE)</f>
        <v>0</v>
      </c>
      <c r="AB402" s="105">
        <f>$F402*AA402</f>
        <v>0</v>
      </c>
      <c r="AC402" s="105">
        <f>VLOOKUP(A402,Data!$A$2:$Z$179,21,FALSE)</f>
        <v>0</v>
      </c>
      <c r="AD402" s="105">
        <f t="shared" si="108"/>
        <v>0</v>
      </c>
      <c r="AE402" s="105">
        <f>J402+L402+N402+O402+Q402+S402+U402+W402+Y402+AA402+AC402</f>
        <v>23.014379594438022</v>
      </c>
      <c r="AF402" s="105">
        <f t="shared" si="109"/>
        <v>0</v>
      </c>
      <c r="AG402" s="105"/>
      <c r="AH402" s="106">
        <f>AE402-S402-W402</f>
        <v>23.014379594438022</v>
      </c>
      <c r="AI402" s="85">
        <f>AH402/AE402</f>
        <v>1</v>
      </c>
      <c r="AK402" s="106">
        <f t="shared" si="122"/>
        <v>0</v>
      </c>
      <c r="AL402" s="106">
        <f t="shared" si="123"/>
        <v>0</v>
      </c>
      <c r="AQ402" s="107"/>
      <c r="AS402" s="108"/>
    </row>
    <row r="403" spans="1:45" x14ac:dyDescent="0.2">
      <c r="B403" s="101"/>
      <c r="C403" s="92"/>
      <c r="D403" s="92"/>
      <c r="F403" s="109"/>
      <c r="G403" s="109"/>
      <c r="H403" s="109"/>
      <c r="I403" s="109"/>
      <c r="J403" s="105"/>
      <c r="K403" s="105"/>
      <c r="L403" s="105"/>
      <c r="M403" s="105">
        <f t="shared" si="120"/>
        <v>0</v>
      </c>
      <c r="N403" s="105"/>
      <c r="O403" s="105"/>
      <c r="P403" s="105">
        <f t="shared" si="117"/>
        <v>0</v>
      </c>
      <c r="Q403" s="105"/>
      <c r="R403" s="105">
        <f t="shared" si="112"/>
        <v>0</v>
      </c>
      <c r="S403" s="105"/>
      <c r="T403" s="105">
        <f t="shared" si="118"/>
        <v>0</v>
      </c>
      <c r="U403" s="105"/>
      <c r="V403" s="91">
        <f t="shared" si="124"/>
        <v>0</v>
      </c>
      <c r="W403" s="105"/>
      <c r="X403" s="105">
        <f t="shared" si="114"/>
        <v>0</v>
      </c>
      <c r="Y403" s="105"/>
      <c r="Z403" s="105">
        <f t="shared" si="115"/>
        <v>0</v>
      </c>
      <c r="AA403" s="105"/>
      <c r="AB403" s="105">
        <f>$F401*AA403</f>
        <v>0</v>
      </c>
      <c r="AC403" s="105"/>
      <c r="AD403" s="105">
        <f t="shared" si="108"/>
        <v>0</v>
      </c>
      <c r="AE403" s="105"/>
      <c r="AF403" s="105">
        <f t="shared" si="109"/>
        <v>0</v>
      </c>
      <c r="AG403" s="105"/>
      <c r="AH403" s="106"/>
      <c r="AK403" s="106">
        <f t="shared" si="122"/>
        <v>0</v>
      </c>
      <c r="AL403" s="106">
        <f t="shared" si="123"/>
        <v>0</v>
      </c>
      <c r="AQ403" s="107"/>
      <c r="AS403" s="108"/>
    </row>
    <row r="404" spans="1:45" x14ac:dyDescent="0.2">
      <c r="A404" s="85" t="s">
        <v>174</v>
      </c>
      <c r="B404" s="101" t="s">
        <v>173</v>
      </c>
      <c r="C404" s="86" t="s">
        <v>744</v>
      </c>
      <c r="F404" s="102">
        <f>E404</f>
        <v>0</v>
      </c>
      <c r="G404" s="103"/>
      <c r="H404" s="103"/>
      <c r="I404" s="103"/>
      <c r="J404" s="105"/>
      <c r="K404" s="105"/>
      <c r="L404" s="105"/>
      <c r="M404" s="105">
        <f t="shared" si="120"/>
        <v>0</v>
      </c>
      <c r="N404" s="105"/>
      <c r="O404" s="105"/>
      <c r="P404" s="105">
        <f t="shared" si="117"/>
        <v>0</v>
      </c>
      <c r="Q404" s="105"/>
      <c r="R404" s="105">
        <f t="shared" si="112"/>
        <v>0</v>
      </c>
      <c r="S404" s="105"/>
      <c r="T404" s="105">
        <f t="shared" si="118"/>
        <v>0</v>
      </c>
      <c r="U404" s="105"/>
      <c r="V404" s="91">
        <f t="shared" si="124"/>
        <v>0</v>
      </c>
      <c r="W404" s="105"/>
      <c r="X404" s="105">
        <f t="shared" si="114"/>
        <v>0</v>
      </c>
      <c r="Y404" s="105"/>
      <c r="Z404" s="105">
        <f t="shared" si="115"/>
        <v>0</v>
      </c>
      <c r="AA404" s="105"/>
      <c r="AB404" s="105">
        <f>$F402*AA404</f>
        <v>0</v>
      </c>
      <c r="AC404" s="105"/>
      <c r="AD404" s="105">
        <f t="shared" si="108"/>
        <v>0</v>
      </c>
      <c r="AE404" s="105"/>
      <c r="AF404" s="105">
        <f t="shared" si="109"/>
        <v>0</v>
      </c>
      <c r="AG404" s="105"/>
      <c r="AH404" s="106"/>
      <c r="AK404" s="106">
        <f t="shared" si="122"/>
        <v>0</v>
      </c>
      <c r="AL404" s="106">
        <f t="shared" si="123"/>
        <v>0</v>
      </c>
      <c r="AQ404" s="107"/>
      <c r="AS404" s="108"/>
    </row>
    <row r="405" spans="1:45" x14ac:dyDescent="0.2">
      <c r="A405" s="85" t="s">
        <v>174</v>
      </c>
      <c r="B405" s="101"/>
      <c r="C405" s="92" t="s">
        <v>745</v>
      </c>
      <c r="D405" s="92"/>
      <c r="F405" s="104">
        <f>SUM(F404)</f>
        <v>0</v>
      </c>
      <c r="G405" s="104">
        <f>F405</f>
        <v>0</v>
      </c>
      <c r="H405" s="105">
        <f>VLOOKUP(A405,Data!$A$2:$Z$179,24,FALSE)</f>
        <v>27</v>
      </c>
      <c r="I405" s="105">
        <f>VLOOKUP(A405,Data!$A$2:$Z$179,25,FALSE)</f>
        <v>6.101</v>
      </c>
      <c r="J405" s="105">
        <f>VLOOKUP(A405,Data!$A$2:$Z$179,7,FALSE)</f>
        <v>20.899000000000001</v>
      </c>
      <c r="K405" s="105">
        <f>$F405*J405</f>
        <v>0</v>
      </c>
      <c r="L405" s="105">
        <f>VLOOKUP(A405,Data!$A$2:$Z$179,8,FALSE)</f>
        <v>0</v>
      </c>
      <c r="M405" s="105">
        <f>L405*F405</f>
        <v>0</v>
      </c>
      <c r="N405" s="105">
        <f>VLOOKUP(A405,Data!$A$2:$Z$179,9,FALSE)</f>
        <v>0</v>
      </c>
      <c r="O405" s="105">
        <f>VLOOKUP(A404,Data!$A$2:$Z$179,10,FALSE)</f>
        <v>0</v>
      </c>
      <c r="P405" s="105">
        <f>O405*F405</f>
        <v>0</v>
      </c>
      <c r="Q405" s="105">
        <f>VLOOKUP(A405,Data!$A$2:$Z$179,11,FALSE)</f>
        <v>0</v>
      </c>
      <c r="R405" s="105">
        <f t="shared" si="112"/>
        <v>0</v>
      </c>
      <c r="S405" s="105">
        <f>VLOOKUP(A405,Data!$A$2:$Z$179,12,FALSE)</f>
        <v>9.5879999999999992</v>
      </c>
      <c r="T405" s="105">
        <f>S405*F405</f>
        <v>0</v>
      </c>
      <c r="U405" s="105">
        <f>VLOOKUP(A405,Data!$A$2:$Z$179,13,FALSE)</f>
        <v>0</v>
      </c>
      <c r="V405" s="91">
        <f t="shared" si="124"/>
        <v>0</v>
      </c>
      <c r="W405" s="105">
        <f>VLOOKUP(A405,Data!$A$2:$Z$179,22,FALSE)</f>
        <v>0</v>
      </c>
      <c r="X405" s="105">
        <f>W405*F405</f>
        <v>0</v>
      </c>
      <c r="Y405" s="105">
        <f>VLOOKUP(A405,Data!$A$2:$Z$179,19,FALSE)</f>
        <v>0</v>
      </c>
      <c r="Z405" s="105">
        <f t="shared" si="115"/>
        <v>0</v>
      </c>
      <c r="AA405" s="105">
        <f>VLOOKUP(A405,Data!$A$2:$Z$179,20,FALSE)</f>
        <v>0</v>
      </c>
      <c r="AB405" s="105">
        <f>$F405*AA405</f>
        <v>0</v>
      </c>
      <c r="AC405" s="105">
        <f>VLOOKUP(A405,Data!$A$2:$Z$179,21,FALSE)</f>
        <v>0</v>
      </c>
      <c r="AD405" s="105">
        <f t="shared" si="108"/>
        <v>0</v>
      </c>
      <c r="AE405" s="105">
        <f>J405+L405+N405+O405+Q405+S405+U405+W405+Y405+AA405+AC405</f>
        <v>30.487000000000002</v>
      </c>
      <c r="AF405" s="105">
        <f t="shared" si="109"/>
        <v>0</v>
      </c>
      <c r="AG405" s="105"/>
      <c r="AH405" s="106">
        <f>AE405-S405-W405</f>
        <v>20.899000000000001</v>
      </c>
      <c r="AI405" s="85">
        <f>AH405/AE405</f>
        <v>0.68550529733984977</v>
      </c>
      <c r="AK405" s="106">
        <f t="shared" si="122"/>
        <v>9.5879999999999992</v>
      </c>
      <c r="AL405" s="106">
        <f t="shared" si="123"/>
        <v>9.5879999999999992</v>
      </c>
      <c r="AQ405" s="107"/>
      <c r="AS405" s="108"/>
    </row>
    <row r="406" spans="1:45" x14ac:dyDescent="0.2">
      <c r="B406" s="101"/>
      <c r="C406" s="92"/>
      <c r="D406" s="92"/>
      <c r="F406" s="109"/>
      <c r="G406" s="109"/>
      <c r="H406" s="109"/>
      <c r="I406" s="109"/>
      <c r="J406" s="105"/>
      <c r="K406" s="105"/>
      <c r="L406" s="105"/>
      <c r="M406" s="105">
        <f t="shared" si="120"/>
        <v>0</v>
      </c>
      <c r="N406" s="105"/>
      <c r="O406" s="105"/>
      <c r="P406" s="105">
        <f t="shared" si="117"/>
        <v>0</v>
      </c>
      <c r="Q406" s="105"/>
      <c r="R406" s="105">
        <f t="shared" si="112"/>
        <v>0</v>
      </c>
      <c r="S406" s="105"/>
      <c r="T406" s="105">
        <f t="shared" si="118"/>
        <v>0</v>
      </c>
      <c r="U406" s="105"/>
      <c r="V406" s="91">
        <f t="shared" si="124"/>
        <v>0</v>
      </c>
      <c r="W406" s="105"/>
      <c r="X406" s="105">
        <f t="shared" si="114"/>
        <v>0</v>
      </c>
      <c r="Y406" s="105"/>
      <c r="Z406" s="105">
        <f t="shared" si="115"/>
        <v>0</v>
      </c>
      <c r="AA406" s="105"/>
      <c r="AB406" s="105">
        <f>$F406*AA406</f>
        <v>0</v>
      </c>
      <c r="AC406" s="105"/>
      <c r="AD406" s="105">
        <f t="shared" si="108"/>
        <v>0</v>
      </c>
      <c r="AE406" s="105"/>
      <c r="AF406" s="105">
        <f t="shared" si="109"/>
        <v>0</v>
      </c>
      <c r="AG406" s="105"/>
      <c r="AH406" s="106"/>
      <c r="AK406" s="106">
        <f t="shared" si="122"/>
        <v>0</v>
      </c>
      <c r="AL406" s="106">
        <f t="shared" si="123"/>
        <v>0</v>
      </c>
      <c r="AQ406" s="107"/>
      <c r="AR406" s="112"/>
      <c r="AS406" s="108"/>
    </row>
    <row r="407" spans="1:45" x14ac:dyDescent="0.2">
      <c r="A407" s="85" t="s">
        <v>175</v>
      </c>
      <c r="B407" s="101" t="s">
        <v>176</v>
      </c>
      <c r="C407" s="86" t="s">
        <v>746</v>
      </c>
      <c r="F407" s="102">
        <f>E407</f>
        <v>0</v>
      </c>
      <c r="G407" s="102"/>
      <c r="H407" s="102"/>
      <c r="I407" s="102"/>
      <c r="J407" s="105"/>
      <c r="K407" s="105"/>
      <c r="L407" s="105"/>
      <c r="M407" s="105">
        <f t="shared" si="120"/>
        <v>0</v>
      </c>
      <c r="N407" s="105"/>
      <c r="O407" s="105"/>
      <c r="P407" s="105">
        <f t="shared" si="117"/>
        <v>0</v>
      </c>
      <c r="Q407" s="105"/>
      <c r="R407" s="105">
        <f t="shared" si="112"/>
        <v>0</v>
      </c>
      <c r="S407" s="105"/>
      <c r="T407" s="105">
        <f t="shared" si="118"/>
        <v>0</v>
      </c>
      <c r="U407" s="105"/>
      <c r="V407" s="91">
        <f t="shared" si="124"/>
        <v>0</v>
      </c>
      <c r="W407" s="105"/>
      <c r="X407" s="105">
        <f t="shared" si="114"/>
        <v>0</v>
      </c>
      <c r="Y407" s="105"/>
      <c r="Z407" s="105">
        <f t="shared" si="115"/>
        <v>0</v>
      </c>
      <c r="AA407" s="105"/>
      <c r="AB407" s="105">
        <f>$F407*AA407</f>
        <v>0</v>
      </c>
      <c r="AC407" s="105"/>
      <c r="AD407" s="105">
        <f t="shared" si="108"/>
        <v>0</v>
      </c>
      <c r="AE407" s="105"/>
      <c r="AF407" s="105">
        <f t="shared" si="109"/>
        <v>0</v>
      </c>
      <c r="AG407" s="105"/>
      <c r="AH407" s="106"/>
      <c r="AK407" s="106">
        <f t="shared" si="122"/>
        <v>0</v>
      </c>
      <c r="AL407" s="106">
        <f t="shared" si="123"/>
        <v>0</v>
      </c>
      <c r="AQ407" s="107"/>
      <c r="AS407" s="108"/>
    </row>
    <row r="408" spans="1:45" x14ac:dyDescent="0.2">
      <c r="A408" s="85" t="s">
        <v>175</v>
      </c>
      <c r="B408" s="101" t="s">
        <v>235</v>
      </c>
      <c r="C408" s="86" t="s">
        <v>746</v>
      </c>
      <c r="F408" s="102">
        <f>E408</f>
        <v>0</v>
      </c>
      <c r="G408" s="102"/>
      <c r="H408" s="102"/>
      <c r="I408" s="102"/>
      <c r="J408" s="105"/>
      <c r="K408" s="105"/>
      <c r="L408" s="105"/>
      <c r="M408" s="105">
        <f t="shared" si="120"/>
        <v>0</v>
      </c>
      <c r="N408" s="105"/>
      <c r="O408" s="105"/>
      <c r="P408" s="105">
        <f t="shared" si="117"/>
        <v>0</v>
      </c>
      <c r="Q408" s="105"/>
      <c r="R408" s="105">
        <f t="shared" si="112"/>
        <v>0</v>
      </c>
      <c r="S408" s="105"/>
      <c r="T408" s="105">
        <f t="shared" si="118"/>
        <v>0</v>
      </c>
      <c r="U408" s="105"/>
      <c r="V408" s="91">
        <f t="shared" si="124"/>
        <v>0</v>
      </c>
      <c r="W408" s="105"/>
      <c r="X408" s="105">
        <f t="shared" si="114"/>
        <v>0</v>
      </c>
      <c r="Y408" s="105"/>
      <c r="Z408" s="105">
        <f t="shared" si="115"/>
        <v>0</v>
      </c>
      <c r="AA408" s="105"/>
      <c r="AB408" s="105">
        <f>$F407*AA408</f>
        <v>0</v>
      </c>
      <c r="AC408" s="105"/>
      <c r="AD408" s="105">
        <f t="shared" si="108"/>
        <v>0</v>
      </c>
      <c r="AE408" s="105"/>
      <c r="AF408" s="105">
        <f t="shared" si="109"/>
        <v>0</v>
      </c>
      <c r="AG408" s="105"/>
      <c r="AH408" s="106"/>
      <c r="AK408" s="106">
        <f t="shared" si="122"/>
        <v>0</v>
      </c>
      <c r="AL408" s="106">
        <f t="shared" si="123"/>
        <v>0</v>
      </c>
      <c r="AQ408" s="107"/>
      <c r="AS408" s="108"/>
    </row>
    <row r="409" spans="1:45" x14ac:dyDescent="0.2">
      <c r="A409" s="85" t="s">
        <v>175</v>
      </c>
      <c r="B409" s="101"/>
      <c r="C409" s="92" t="s">
        <v>747</v>
      </c>
      <c r="D409" s="92"/>
      <c r="F409" s="104">
        <f>SUM(F407:F408)</f>
        <v>0</v>
      </c>
      <c r="G409" s="104">
        <f>F409</f>
        <v>0</v>
      </c>
      <c r="H409" s="105">
        <f>VLOOKUP(A409,Data!$A$2:$Z$179,24,FALSE)</f>
        <v>27</v>
      </c>
      <c r="I409" s="105">
        <f>VLOOKUP(A409,Data!$A$2:$Z$179,25,FALSE)</f>
        <v>0</v>
      </c>
      <c r="J409" s="105">
        <f>VLOOKUP(A409,Data!$A$2:$Z$179,7,FALSE)</f>
        <v>27</v>
      </c>
      <c r="K409" s="105">
        <f>$F409*J409</f>
        <v>0</v>
      </c>
      <c r="L409" s="105">
        <f>VLOOKUP(A409,Data!$A$2:$Z$179,8,FALSE)</f>
        <v>0</v>
      </c>
      <c r="M409" s="105">
        <f>L409*F409</f>
        <v>0</v>
      </c>
      <c r="N409" s="105">
        <f>VLOOKUP(A409,Data!$A$2:$Z$179,9,FALSE)</f>
        <v>0</v>
      </c>
      <c r="O409" s="105">
        <f>VLOOKUP(A408,Data!$A$2:$Z$179,10,FALSE)</f>
        <v>0</v>
      </c>
      <c r="P409" s="105">
        <f>O409*F409</f>
        <v>0</v>
      </c>
      <c r="Q409" s="105">
        <f>VLOOKUP(A409,Data!$A$2:$Z$179,11,FALSE)</f>
        <v>0</v>
      </c>
      <c r="R409" s="105">
        <f>$F409*Q409</f>
        <v>0</v>
      </c>
      <c r="S409" s="105">
        <f>VLOOKUP(A409,Data!$A$2:$Z$179,12,FALSE)</f>
        <v>1.498</v>
      </c>
      <c r="T409" s="105">
        <f>S409*F409</f>
        <v>0</v>
      </c>
      <c r="U409" s="105">
        <f>VLOOKUP(A409,Data!$A$2:$Z$179,13,FALSE)</f>
        <v>1.1468738683957857E-2</v>
      </c>
      <c r="V409" s="91">
        <f t="shared" si="124"/>
        <v>0</v>
      </c>
      <c r="W409" s="105">
        <f>VLOOKUP(A409,Data!$A$2:$Z$179,22,FALSE)</f>
        <v>0</v>
      </c>
      <c r="X409" s="105">
        <f>W409*F409</f>
        <v>0</v>
      </c>
      <c r="Y409" s="105">
        <f>VLOOKUP(A409,Data!$A$2:$Z$179,19,FALSE)</f>
        <v>0</v>
      </c>
      <c r="Z409" s="105">
        <f>$F409*Y409</f>
        <v>0</v>
      </c>
      <c r="AA409" s="105">
        <f>VLOOKUP(A409,Data!$A$2:$Z$179,20,FALSE)</f>
        <v>0</v>
      </c>
      <c r="AB409" s="105">
        <f>$F409*AA409</f>
        <v>0</v>
      </c>
      <c r="AC409" s="105">
        <f>VLOOKUP(A409,Data!$A$2:$Z$179,21,FALSE)</f>
        <v>0</v>
      </c>
      <c r="AD409" s="105">
        <f t="shared" ref="AD409:AD472" si="125">$F409*AC409</f>
        <v>0</v>
      </c>
      <c r="AE409" s="105">
        <f>J409+L409+N409+O409+Q409+S409+U409+W409+Y409+AA409+AC409</f>
        <v>28.50946873868396</v>
      </c>
      <c r="AF409" s="105">
        <f t="shared" ref="AF409:AF472" si="126">$F409*AE409</f>
        <v>0</v>
      </c>
      <c r="AG409" s="105"/>
      <c r="AH409" s="106">
        <f>AE409-S409-W409</f>
        <v>27.011468738683959</v>
      </c>
      <c r="AI409" s="85">
        <f>AH409/AE409</f>
        <v>0.94745605350522044</v>
      </c>
      <c r="AK409" s="106">
        <f t="shared" si="122"/>
        <v>1.498</v>
      </c>
      <c r="AL409" s="106">
        <f t="shared" si="123"/>
        <v>1.498</v>
      </c>
      <c r="AQ409" s="107"/>
      <c r="AS409" s="108"/>
    </row>
    <row r="410" spans="1:45" x14ac:dyDescent="0.2">
      <c r="B410" s="101"/>
      <c r="C410" s="92"/>
      <c r="D410" s="92"/>
      <c r="F410" s="109"/>
      <c r="G410" s="109"/>
      <c r="H410" s="109"/>
      <c r="I410" s="109"/>
      <c r="J410" s="105"/>
      <c r="K410" s="105"/>
      <c r="L410" s="105"/>
      <c r="M410" s="105">
        <f t="shared" si="120"/>
        <v>0</v>
      </c>
      <c r="N410" s="105"/>
      <c r="O410" s="105"/>
      <c r="P410" s="105">
        <f t="shared" si="117"/>
        <v>0</v>
      </c>
      <c r="Q410" s="105"/>
      <c r="R410" s="105">
        <f t="shared" ref="R410:R473" si="127">$F410*Q410</f>
        <v>0</v>
      </c>
      <c r="S410" s="105"/>
      <c r="T410" s="105">
        <f t="shared" si="118"/>
        <v>0</v>
      </c>
      <c r="U410" s="105"/>
      <c r="V410" s="91">
        <f t="shared" si="124"/>
        <v>0</v>
      </c>
      <c r="W410" s="105"/>
      <c r="X410" s="105">
        <f t="shared" ref="X410:X473" si="128">W410*F410</f>
        <v>0</v>
      </c>
      <c r="Y410" s="105"/>
      <c r="Z410" s="105">
        <f t="shared" ref="Z410:Z473" si="129">$F410*Y410</f>
        <v>0</v>
      </c>
      <c r="AA410" s="105"/>
      <c r="AB410" s="105">
        <f>$F409*AA410</f>
        <v>0</v>
      </c>
      <c r="AC410" s="105"/>
      <c r="AD410" s="105">
        <f t="shared" si="125"/>
        <v>0</v>
      </c>
      <c r="AE410" s="105"/>
      <c r="AF410" s="105">
        <f t="shared" si="126"/>
        <v>0</v>
      </c>
      <c r="AG410" s="105"/>
      <c r="AH410" s="106"/>
      <c r="AK410" s="106">
        <f t="shared" si="122"/>
        <v>0</v>
      </c>
      <c r="AL410" s="106">
        <f t="shared" si="123"/>
        <v>0</v>
      </c>
      <c r="AQ410" s="107"/>
      <c r="AS410" s="108"/>
    </row>
    <row r="411" spans="1:45" x14ac:dyDescent="0.2">
      <c r="A411" s="112" t="s">
        <v>177</v>
      </c>
      <c r="B411" s="101" t="s">
        <v>176</v>
      </c>
      <c r="C411" s="113" t="s">
        <v>748</v>
      </c>
      <c r="F411" s="102">
        <f>E411</f>
        <v>0</v>
      </c>
      <c r="G411" s="103"/>
      <c r="H411" s="103"/>
      <c r="I411" s="103"/>
      <c r="J411" s="105"/>
      <c r="K411" s="105"/>
      <c r="L411" s="105"/>
      <c r="M411" s="105">
        <f t="shared" si="120"/>
        <v>0</v>
      </c>
      <c r="N411" s="105"/>
      <c r="O411" s="105"/>
      <c r="P411" s="105">
        <f t="shared" si="117"/>
        <v>0</v>
      </c>
      <c r="Q411" s="105"/>
      <c r="R411" s="105">
        <f t="shared" si="127"/>
        <v>0</v>
      </c>
      <c r="S411" s="105"/>
      <c r="T411" s="105">
        <f t="shared" si="118"/>
        <v>0</v>
      </c>
      <c r="U411" s="105"/>
      <c r="V411" s="91">
        <f t="shared" si="124"/>
        <v>0</v>
      </c>
      <c r="W411" s="105"/>
      <c r="X411" s="105">
        <f t="shared" si="128"/>
        <v>0</v>
      </c>
      <c r="Y411" s="105"/>
      <c r="Z411" s="105">
        <f t="shared" si="129"/>
        <v>0</v>
      </c>
      <c r="AA411" s="105"/>
      <c r="AB411" s="105">
        <f>$F410*AA411</f>
        <v>0</v>
      </c>
      <c r="AC411" s="105"/>
      <c r="AD411" s="105">
        <f t="shared" si="125"/>
        <v>0</v>
      </c>
      <c r="AE411" s="105"/>
      <c r="AF411" s="105">
        <f t="shared" si="126"/>
        <v>0</v>
      </c>
      <c r="AG411" s="105"/>
      <c r="AH411" s="106"/>
      <c r="AK411" s="106">
        <f t="shared" si="122"/>
        <v>0</v>
      </c>
      <c r="AL411" s="106">
        <f t="shared" si="123"/>
        <v>0</v>
      </c>
      <c r="AQ411" s="107"/>
      <c r="AS411" s="108"/>
    </row>
    <row r="412" spans="1:45" x14ac:dyDescent="0.2">
      <c r="A412" s="112" t="s">
        <v>177</v>
      </c>
      <c r="B412" s="101"/>
      <c r="C412" s="92" t="s">
        <v>749</v>
      </c>
      <c r="D412" s="92"/>
      <c r="F412" s="104">
        <f>SUM(F411)</f>
        <v>0</v>
      </c>
      <c r="G412" s="104">
        <f>F412</f>
        <v>0</v>
      </c>
      <c r="H412" s="105">
        <f>VLOOKUP(A412,Data!$A$2:$Z$179,24,FALSE)</f>
        <v>27</v>
      </c>
      <c r="I412" s="105">
        <f>VLOOKUP(A412,Data!$A$2:$Z$179,25,FALSE)</f>
        <v>0</v>
      </c>
      <c r="J412" s="105">
        <f>VLOOKUP(A412,Data!$A$2:$Z$179,7,FALSE)</f>
        <v>27</v>
      </c>
      <c r="K412" s="105">
        <f>$F412*J412</f>
        <v>0</v>
      </c>
      <c r="L412" s="105">
        <f>VLOOKUP(A412,Data!$A$2:$Z$179,8,FALSE)</f>
        <v>0</v>
      </c>
      <c r="M412" s="105">
        <f>L412*F412</f>
        <v>0</v>
      </c>
      <c r="N412" s="105">
        <f>VLOOKUP(A412,Data!$A$2:$Z$179,9,FALSE)</f>
        <v>0</v>
      </c>
      <c r="O412" s="105">
        <f>VLOOKUP(A411,Data!$A$2:$Z$179,10,FALSE)</f>
        <v>0</v>
      </c>
      <c r="P412" s="105">
        <f>O412*F412</f>
        <v>0</v>
      </c>
      <c r="Q412" s="105">
        <f>VLOOKUP(A412,Data!$A$2:$Z$179,11,FALSE)</f>
        <v>0</v>
      </c>
      <c r="R412" s="105">
        <f t="shared" si="127"/>
        <v>0</v>
      </c>
      <c r="S412" s="105">
        <f>VLOOKUP(A412,Data!$A$2:$Z$179,12,FALSE)</f>
        <v>1.7730000000000001</v>
      </c>
      <c r="T412" s="105">
        <f>S412*F412</f>
        <v>0</v>
      </c>
      <c r="U412" s="105">
        <f>VLOOKUP(A412,Data!$A$2:$Z$179,13,FALSE)</f>
        <v>8.4492460004532949E-2</v>
      </c>
      <c r="V412" s="91">
        <f t="shared" si="124"/>
        <v>0</v>
      </c>
      <c r="W412" s="105">
        <f>VLOOKUP(A412,Data!$A$2:$Z$179,22,FALSE)</f>
        <v>0</v>
      </c>
      <c r="X412" s="105">
        <f>W412*F412</f>
        <v>0</v>
      </c>
      <c r="Y412" s="105">
        <f>VLOOKUP(A412,Data!$A$2:$Z$179,19,FALSE)</f>
        <v>0</v>
      </c>
      <c r="Z412" s="105">
        <f t="shared" si="129"/>
        <v>0</v>
      </c>
      <c r="AA412" s="105">
        <f>VLOOKUP(A412,Data!$A$2:$Z$179,20,FALSE)</f>
        <v>0</v>
      </c>
      <c r="AB412" s="105">
        <f>$F412*AA412</f>
        <v>0</v>
      </c>
      <c r="AC412" s="105">
        <f>VLOOKUP(A412,Data!$A$2:$Z$179,21,FALSE)</f>
        <v>0</v>
      </c>
      <c r="AD412" s="105">
        <f t="shared" si="125"/>
        <v>0</v>
      </c>
      <c r="AE412" s="105">
        <f>J412+L412+N412+O412+Q412+S412+U412+W412+Y412+AA412+AC412</f>
        <v>28.857492460004533</v>
      </c>
      <c r="AF412" s="105">
        <f t="shared" si="126"/>
        <v>0</v>
      </c>
      <c r="AG412" s="105"/>
      <c r="AH412" s="106">
        <f>AE412-S412-W412</f>
        <v>27.084492460004533</v>
      </c>
      <c r="AI412" s="85">
        <f>AH412/AE412</f>
        <v>0.93856015028134143</v>
      </c>
      <c r="AK412" s="106">
        <f t="shared" si="122"/>
        <v>1.7730000000000001</v>
      </c>
      <c r="AL412" s="106">
        <f t="shared" si="123"/>
        <v>1.7730000000000001</v>
      </c>
      <c r="AQ412" s="107"/>
      <c r="AS412" s="108"/>
    </row>
    <row r="413" spans="1:45" x14ac:dyDescent="0.2">
      <c r="B413" s="101"/>
      <c r="C413" s="92"/>
      <c r="D413" s="92"/>
      <c r="F413" s="109"/>
      <c r="G413" s="109"/>
      <c r="H413" s="109"/>
      <c r="I413" s="109"/>
      <c r="J413" s="105"/>
      <c r="K413" s="105"/>
      <c r="L413" s="105"/>
      <c r="M413" s="105">
        <f t="shared" si="120"/>
        <v>0</v>
      </c>
      <c r="N413" s="105"/>
      <c r="O413" s="105"/>
      <c r="P413" s="105">
        <f t="shared" si="117"/>
        <v>0</v>
      </c>
      <c r="Q413" s="105"/>
      <c r="R413" s="105">
        <f t="shared" si="127"/>
        <v>0</v>
      </c>
      <c r="S413" s="105"/>
      <c r="T413" s="105">
        <f t="shared" si="118"/>
        <v>0</v>
      </c>
      <c r="U413" s="105"/>
      <c r="V413" s="91">
        <f t="shared" si="124"/>
        <v>0</v>
      </c>
      <c r="W413" s="105"/>
      <c r="X413" s="105">
        <f t="shared" si="128"/>
        <v>0</v>
      </c>
      <c r="Y413" s="105"/>
      <c r="Z413" s="105">
        <f t="shared" si="129"/>
        <v>0</v>
      </c>
      <c r="AA413" s="105"/>
      <c r="AB413" s="105">
        <f>$F413*AA413</f>
        <v>0</v>
      </c>
      <c r="AC413" s="105"/>
      <c r="AD413" s="105">
        <f t="shared" si="125"/>
        <v>0</v>
      </c>
      <c r="AE413" s="105"/>
      <c r="AF413" s="105">
        <f t="shared" si="126"/>
        <v>0</v>
      </c>
      <c r="AG413" s="105"/>
      <c r="AH413" s="106"/>
      <c r="AK413" s="106">
        <f t="shared" si="122"/>
        <v>0</v>
      </c>
      <c r="AL413" s="106">
        <f t="shared" si="123"/>
        <v>0</v>
      </c>
      <c r="AQ413" s="107"/>
      <c r="AS413" s="108"/>
    </row>
    <row r="414" spans="1:45" x14ac:dyDescent="0.2">
      <c r="A414" s="85" t="s">
        <v>178</v>
      </c>
      <c r="B414" s="101" t="s">
        <v>176</v>
      </c>
      <c r="C414" s="86" t="s">
        <v>750</v>
      </c>
      <c r="F414" s="102">
        <f>E414</f>
        <v>0</v>
      </c>
      <c r="G414" s="102"/>
      <c r="H414" s="102"/>
      <c r="I414" s="102"/>
      <c r="J414" s="105"/>
      <c r="K414" s="105"/>
      <c r="L414" s="105"/>
      <c r="M414" s="105">
        <f t="shared" si="120"/>
        <v>0</v>
      </c>
      <c r="N414" s="105"/>
      <c r="O414" s="105"/>
      <c r="P414" s="105">
        <f t="shared" si="117"/>
        <v>0</v>
      </c>
      <c r="Q414" s="105"/>
      <c r="R414" s="105">
        <f t="shared" si="127"/>
        <v>0</v>
      </c>
      <c r="S414" s="105"/>
      <c r="T414" s="105">
        <f t="shared" si="118"/>
        <v>0</v>
      </c>
      <c r="U414" s="105"/>
      <c r="V414" s="91">
        <f t="shared" si="124"/>
        <v>0</v>
      </c>
      <c r="W414" s="105"/>
      <c r="X414" s="105">
        <f t="shared" si="128"/>
        <v>0</v>
      </c>
      <c r="Y414" s="105"/>
      <c r="Z414" s="105">
        <f t="shared" si="129"/>
        <v>0</v>
      </c>
      <c r="AA414" s="105"/>
      <c r="AB414" s="105">
        <f>$F414*AA414</f>
        <v>0</v>
      </c>
      <c r="AC414" s="105"/>
      <c r="AD414" s="105">
        <f t="shared" si="125"/>
        <v>0</v>
      </c>
      <c r="AE414" s="105"/>
      <c r="AF414" s="105">
        <f t="shared" si="126"/>
        <v>0</v>
      </c>
      <c r="AG414" s="105"/>
      <c r="AH414" s="106"/>
      <c r="AK414" s="106">
        <f t="shared" si="122"/>
        <v>0</v>
      </c>
      <c r="AL414" s="106">
        <f t="shared" si="123"/>
        <v>0</v>
      </c>
      <c r="AQ414" s="107"/>
      <c r="AS414" s="108"/>
    </row>
    <row r="415" spans="1:45" x14ac:dyDescent="0.2">
      <c r="A415" s="85" t="s">
        <v>178</v>
      </c>
      <c r="B415" s="101" t="s">
        <v>241</v>
      </c>
      <c r="C415" s="86" t="s">
        <v>750</v>
      </c>
      <c r="F415" s="102">
        <f>E415</f>
        <v>0</v>
      </c>
      <c r="G415" s="102"/>
      <c r="H415" s="102"/>
      <c r="I415" s="102"/>
      <c r="J415" s="105"/>
      <c r="K415" s="105"/>
      <c r="L415" s="105"/>
      <c r="M415" s="105">
        <f t="shared" si="120"/>
        <v>0</v>
      </c>
      <c r="N415" s="105"/>
      <c r="O415" s="105"/>
      <c r="P415" s="105">
        <f t="shared" si="117"/>
        <v>0</v>
      </c>
      <c r="Q415" s="105"/>
      <c r="R415" s="105">
        <f t="shared" si="127"/>
        <v>0</v>
      </c>
      <c r="S415" s="105"/>
      <c r="T415" s="105">
        <f t="shared" si="118"/>
        <v>0</v>
      </c>
      <c r="U415" s="105"/>
      <c r="V415" s="91">
        <f t="shared" si="124"/>
        <v>0</v>
      </c>
      <c r="W415" s="105"/>
      <c r="X415" s="105">
        <f t="shared" si="128"/>
        <v>0</v>
      </c>
      <c r="Y415" s="105"/>
      <c r="Z415" s="105">
        <f t="shared" si="129"/>
        <v>0</v>
      </c>
      <c r="AA415" s="105"/>
      <c r="AB415" s="105">
        <f>$F414*AA415</f>
        <v>0</v>
      </c>
      <c r="AC415" s="105"/>
      <c r="AD415" s="105">
        <f t="shared" si="125"/>
        <v>0</v>
      </c>
      <c r="AE415" s="105"/>
      <c r="AF415" s="105">
        <f t="shared" si="126"/>
        <v>0</v>
      </c>
      <c r="AG415" s="105"/>
      <c r="AH415" s="106"/>
      <c r="AK415" s="106">
        <f t="shared" si="122"/>
        <v>0</v>
      </c>
      <c r="AL415" s="106">
        <f t="shared" si="123"/>
        <v>0</v>
      </c>
      <c r="AQ415" s="107"/>
      <c r="AS415" s="108"/>
    </row>
    <row r="416" spans="1:45" x14ac:dyDescent="0.2">
      <c r="A416" s="85" t="s">
        <v>178</v>
      </c>
      <c r="B416" s="101"/>
      <c r="C416" s="92" t="s">
        <v>751</v>
      </c>
      <c r="D416" s="92"/>
      <c r="F416" s="104">
        <f>SUM(F414:F415)</f>
        <v>0</v>
      </c>
      <c r="G416" s="104">
        <f>F416</f>
        <v>0</v>
      </c>
      <c r="H416" s="105">
        <f>VLOOKUP(A416,Data!$A$2:$Z$179,24,FALSE)</f>
        <v>27</v>
      </c>
      <c r="I416" s="105">
        <f>VLOOKUP(A416,Data!$A$2:$Z$179,25,FALSE)</f>
        <v>0</v>
      </c>
      <c r="J416" s="105">
        <f>VLOOKUP(A416,Data!$A$2:$Z$179,7,FALSE)</f>
        <v>27</v>
      </c>
      <c r="K416" s="105">
        <f>$F416*J416</f>
        <v>0</v>
      </c>
      <c r="L416" s="105">
        <f>VLOOKUP(A416,Data!$A$2:$Z$179,8,FALSE)</f>
        <v>0</v>
      </c>
      <c r="M416" s="105">
        <f>L416*F416</f>
        <v>0</v>
      </c>
      <c r="N416" s="105">
        <f>VLOOKUP(A416,Data!$A$2:$Z$179,9,FALSE)</f>
        <v>0</v>
      </c>
      <c r="O416" s="105">
        <f>VLOOKUP(A415,Data!$A$2:$Z$179,10,FALSE)</f>
        <v>0.30599999999999999</v>
      </c>
      <c r="P416" s="105">
        <f>O416*F416</f>
        <v>0</v>
      </c>
      <c r="Q416" s="105">
        <f>VLOOKUP(A416,Data!$A$2:$Z$179,11,FALSE)</f>
        <v>0</v>
      </c>
      <c r="R416" s="105">
        <f t="shared" si="127"/>
        <v>0</v>
      </c>
      <c r="S416" s="105">
        <f>VLOOKUP(A416,Data!$A$2:$Z$179,12,FALSE)</f>
        <v>0</v>
      </c>
      <c r="T416" s="105">
        <f>S416*F416</f>
        <v>0</v>
      </c>
      <c r="U416" s="105">
        <f>VLOOKUP(A416,Data!$A$2:$Z$179,13,FALSE)</f>
        <v>0.10280815708673841</v>
      </c>
      <c r="V416" s="91">
        <f t="shared" si="124"/>
        <v>0</v>
      </c>
      <c r="W416" s="105">
        <f>VLOOKUP(A416,Data!$A$2:$Z$179,22,FALSE)</f>
        <v>0</v>
      </c>
      <c r="X416" s="105">
        <f>W416*F416</f>
        <v>0</v>
      </c>
      <c r="Y416" s="105">
        <f>VLOOKUP(A416,Data!$A$2:$Z$179,19,FALSE)</f>
        <v>0</v>
      </c>
      <c r="Z416" s="105">
        <f t="shared" si="129"/>
        <v>0</v>
      </c>
      <c r="AA416" s="105">
        <f>VLOOKUP(A416,Data!$A$2:$Z$179,20,FALSE)</f>
        <v>0</v>
      </c>
      <c r="AB416" s="105">
        <f>$F416*AA416</f>
        <v>0</v>
      </c>
      <c r="AC416" s="105">
        <f>VLOOKUP(A416,Data!$A$2:$Z$179,21,FALSE)</f>
        <v>0</v>
      </c>
      <c r="AD416" s="105">
        <f t="shared" si="125"/>
        <v>0</v>
      </c>
      <c r="AE416" s="105">
        <f>J416+L416+N416+O416+Q416+S416+U416+W416+Y416+AA416+AC416</f>
        <v>27.408808157086739</v>
      </c>
      <c r="AF416" s="105">
        <f t="shared" si="126"/>
        <v>0</v>
      </c>
      <c r="AG416" s="105"/>
      <c r="AH416" s="106">
        <f>AE416-S416-W416</f>
        <v>27.408808157086739</v>
      </c>
      <c r="AI416" s="85">
        <f>AH416/AE416</f>
        <v>1</v>
      </c>
      <c r="AK416" s="106">
        <f t="shared" si="122"/>
        <v>0.30599999999999999</v>
      </c>
      <c r="AL416" s="106">
        <f t="shared" si="123"/>
        <v>0.30599999999999999</v>
      </c>
      <c r="AQ416" s="107"/>
      <c r="AS416" s="108"/>
    </row>
    <row r="417" spans="1:45" x14ac:dyDescent="0.2">
      <c r="B417" s="101"/>
      <c r="C417" s="92"/>
      <c r="D417" s="92"/>
      <c r="F417" s="109"/>
      <c r="G417" s="109"/>
      <c r="H417" s="109"/>
      <c r="I417" s="109"/>
      <c r="J417" s="105"/>
      <c r="K417" s="105"/>
      <c r="L417" s="105"/>
      <c r="M417" s="105">
        <f t="shared" si="120"/>
        <v>0</v>
      </c>
      <c r="N417" s="105"/>
      <c r="O417" s="105"/>
      <c r="P417" s="105">
        <f t="shared" si="117"/>
        <v>0</v>
      </c>
      <c r="Q417" s="105"/>
      <c r="R417" s="105">
        <f t="shared" si="127"/>
        <v>0</v>
      </c>
      <c r="S417" s="105"/>
      <c r="T417" s="105">
        <f t="shared" si="118"/>
        <v>0</v>
      </c>
      <c r="U417" s="105"/>
      <c r="V417" s="91">
        <f t="shared" si="124"/>
        <v>0</v>
      </c>
      <c r="W417" s="105"/>
      <c r="X417" s="105">
        <f t="shared" si="128"/>
        <v>0</v>
      </c>
      <c r="Y417" s="105"/>
      <c r="Z417" s="105">
        <f t="shared" si="129"/>
        <v>0</v>
      </c>
      <c r="AA417" s="105"/>
      <c r="AB417" s="105">
        <f>$F416*AA417</f>
        <v>0</v>
      </c>
      <c r="AC417" s="105"/>
      <c r="AD417" s="105">
        <f t="shared" si="125"/>
        <v>0</v>
      </c>
      <c r="AE417" s="105"/>
      <c r="AF417" s="105">
        <f t="shared" si="126"/>
        <v>0</v>
      </c>
      <c r="AG417" s="105"/>
      <c r="AH417" s="106"/>
      <c r="AK417" s="106">
        <f t="shared" si="122"/>
        <v>0</v>
      </c>
      <c r="AL417" s="106">
        <f t="shared" si="123"/>
        <v>0</v>
      </c>
      <c r="AQ417" s="107"/>
      <c r="AS417" s="108"/>
    </row>
    <row r="418" spans="1:45" x14ac:dyDescent="0.2">
      <c r="A418" s="85" t="s">
        <v>179</v>
      </c>
      <c r="B418" s="101" t="s">
        <v>176</v>
      </c>
      <c r="C418" s="86" t="s">
        <v>752</v>
      </c>
      <c r="F418" s="102">
        <f>E418</f>
        <v>0</v>
      </c>
      <c r="G418" s="102"/>
      <c r="H418" s="102"/>
      <c r="I418" s="102"/>
      <c r="J418" s="105"/>
      <c r="K418" s="105"/>
      <c r="L418" s="105"/>
      <c r="M418" s="105">
        <f t="shared" si="120"/>
        <v>0</v>
      </c>
      <c r="N418" s="105"/>
      <c r="O418" s="105"/>
      <c r="P418" s="105">
        <f t="shared" ref="P418:P480" si="130">O418*F418</f>
        <v>0</v>
      </c>
      <c r="Q418" s="105"/>
      <c r="R418" s="105">
        <f t="shared" si="127"/>
        <v>0</v>
      </c>
      <c r="S418" s="105"/>
      <c r="T418" s="105">
        <f t="shared" ref="T418:T480" si="131">S418*F418</f>
        <v>0</v>
      </c>
      <c r="U418" s="105"/>
      <c r="V418" s="91">
        <f t="shared" si="124"/>
        <v>0</v>
      </c>
      <c r="W418" s="105"/>
      <c r="X418" s="105">
        <f t="shared" si="128"/>
        <v>0</v>
      </c>
      <c r="Y418" s="105"/>
      <c r="Z418" s="105">
        <f t="shared" si="129"/>
        <v>0</v>
      </c>
      <c r="AA418" s="105"/>
      <c r="AB418" s="105">
        <f>$F417*AA418</f>
        <v>0</v>
      </c>
      <c r="AC418" s="105"/>
      <c r="AD418" s="105">
        <f t="shared" si="125"/>
        <v>0</v>
      </c>
      <c r="AE418" s="105"/>
      <c r="AF418" s="105">
        <f t="shared" si="126"/>
        <v>0</v>
      </c>
      <c r="AG418" s="105"/>
      <c r="AH418" s="106"/>
      <c r="AK418" s="106">
        <f t="shared" si="122"/>
        <v>0</v>
      </c>
      <c r="AL418" s="106">
        <f t="shared" si="123"/>
        <v>0</v>
      </c>
      <c r="AQ418" s="107"/>
      <c r="AS418" s="108"/>
    </row>
    <row r="419" spans="1:45" x14ac:dyDescent="0.2">
      <c r="A419" s="85" t="s">
        <v>179</v>
      </c>
      <c r="B419" s="101" t="s">
        <v>241</v>
      </c>
      <c r="C419" s="86" t="s">
        <v>752</v>
      </c>
      <c r="F419" s="102">
        <f>E419</f>
        <v>0</v>
      </c>
      <c r="G419" s="102"/>
      <c r="H419" s="102"/>
      <c r="I419" s="102"/>
      <c r="J419" s="105"/>
      <c r="K419" s="105"/>
      <c r="L419" s="105"/>
      <c r="M419" s="105">
        <f t="shared" si="120"/>
        <v>0</v>
      </c>
      <c r="N419" s="105"/>
      <c r="O419" s="105"/>
      <c r="P419" s="105">
        <f t="shared" si="130"/>
        <v>0</v>
      </c>
      <c r="Q419" s="105"/>
      <c r="R419" s="105">
        <f t="shared" si="127"/>
        <v>0</v>
      </c>
      <c r="S419" s="105"/>
      <c r="T419" s="105">
        <f t="shared" si="131"/>
        <v>0</v>
      </c>
      <c r="U419" s="105"/>
      <c r="V419" s="91">
        <f t="shared" si="124"/>
        <v>0</v>
      </c>
      <c r="W419" s="105"/>
      <c r="X419" s="105">
        <f t="shared" si="128"/>
        <v>0</v>
      </c>
      <c r="Y419" s="105"/>
      <c r="Z419" s="105">
        <f t="shared" si="129"/>
        <v>0</v>
      </c>
      <c r="AA419" s="105"/>
      <c r="AB419" s="105">
        <f>$F419*AA419</f>
        <v>0</v>
      </c>
      <c r="AC419" s="105"/>
      <c r="AD419" s="105">
        <f t="shared" si="125"/>
        <v>0</v>
      </c>
      <c r="AE419" s="105"/>
      <c r="AF419" s="105">
        <f t="shared" si="126"/>
        <v>0</v>
      </c>
      <c r="AG419" s="105"/>
      <c r="AH419" s="106"/>
      <c r="AK419" s="106">
        <f t="shared" si="122"/>
        <v>0</v>
      </c>
      <c r="AL419" s="106">
        <f t="shared" si="123"/>
        <v>0</v>
      </c>
      <c r="AQ419" s="107"/>
      <c r="AS419" s="108"/>
    </row>
    <row r="420" spans="1:45" x14ac:dyDescent="0.2">
      <c r="A420" s="85" t="s">
        <v>179</v>
      </c>
      <c r="B420" s="101" t="s">
        <v>16</v>
      </c>
      <c r="C420" s="86" t="s">
        <v>752</v>
      </c>
      <c r="F420" s="102">
        <f>E420</f>
        <v>0</v>
      </c>
      <c r="G420" s="102"/>
      <c r="H420" s="102"/>
      <c r="I420" s="102"/>
      <c r="J420" s="105"/>
      <c r="K420" s="105"/>
      <c r="L420" s="105"/>
      <c r="M420" s="105">
        <f t="shared" si="120"/>
        <v>0</v>
      </c>
      <c r="N420" s="105"/>
      <c r="O420" s="105"/>
      <c r="P420" s="105">
        <f t="shared" si="130"/>
        <v>0</v>
      </c>
      <c r="Q420" s="105"/>
      <c r="R420" s="105">
        <f t="shared" si="127"/>
        <v>0</v>
      </c>
      <c r="S420" s="105"/>
      <c r="T420" s="105">
        <f t="shared" si="131"/>
        <v>0</v>
      </c>
      <c r="U420" s="105"/>
      <c r="V420" s="91">
        <f t="shared" si="124"/>
        <v>0</v>
      </c>
      <c r="W420" s="105"/>
      <c r="X420" s="105">
        <f t="shared" si="128"/>
        <v>0</v>
      </c>
      <c r="Y420" s="105"/>
      <c r="Z420" s="105">
        <f t="shared" si="129"/>
        <v>0</v>
      </c>
      <c r="AA420" s="105"/>
      <c r="AB420" s="105">
        <f>$F418*AA420</f>
        <v>0</v>
      </c>
      <c r="AC420" s="105"/>
      <c r="AD420" s="105">
        <f t="shared" si="125"/>
        <v>0</v>
      </c>
      <c r="AE420" s="105"/>
      <c r="AF420" s="105">
        <f t="shared" si="126"/>
        <v>0</v>
      </c>
      <c r="AG420" s="105"/>
      <c r="AH420" s="106"/>
      <c r="AK420" s="106">
        <f t="shared" si="122"/>
        <v>0</v>
      </c>
      <c r="AL420" s="106">
        <f t="shared" si="123"/>
        <v>0</v>
      </c>
      <c r="AQ420" s="107"/>
      <c r="AS420" s="108"/>
    </row>
    <row r="421" spans="1:45" x14ac:dyDescent="0.2">
      <c r="A421" s="85" t="s">
        <v>179</v>
      </c>
      <c r="B421" s="101"/>
      <c r="C421" s="92" t="s">
        <v>753</v>
      </c>
      <c r="D421" s="92"/>
      <c r="F421" s="104">
        <f>SUM(F418:F420)</f>
        <v>0</v>
      </c>
      <c r="G421" s="104">
        <f>F421</f>
        <v>0</v>
      </c>
      <c r="H421" s="105">
        <f>VLOOKUP(A421,Data!$A$2:$Z$179,24,FALSE)</f>
        <v>24.545000000000002</v>
      </c>
      <c r="I421" s="105">
        <f>VLOOKUP(A421,Data!$A$2:$Z$179,25,FALSE)</f>
        <v>0</v>
      </c>
      <c r="J421" s="105">
        <f>VLOOKUP(A421,Data!$A$2:$Z$179,7,FALSE)</f>
        <v>24.545000000000002</v>
      </c>
      <c r="K421" s="105">
        <f>$F421*J421</f>
        <v>0</v>
      </c>
      <c r="L421" s="105">
        <f>VLOOKUP(A421,Data!$A$2:$Z$179,8,FALSE)</f>
        <v>0</v>
      </c>
      <c r="M421" s="105">
        <f>L421*F421</f>
        <v>0</v>
      </c>
      <c r="N421" s="105">
        <f>VLOOKUP(A421,Data!$A$2:$Z$179,9,FALSE)</f>
        <v>0</v>
      </c>
      <c r="O421" s="105">
        <f>VLOOKUP(A420,Data!$A$2:$Z$179,10,FALSE)</f>
        <v>0</v>
      </c>
      <c r="P421" s="105">
        <f>O421*F421</f>
        <v>0</v>
      </c>
      <c r="Q421" s="105">
        <f>VLOOKUP(A421,Data!$A$2:$Z$179,11,FALSE)</f>
        <v>0</v>
      </c>
      <c r="R421" s="105">
        <f t="shared" si="127"/>
        <v>0</v>
      </c>
      <c r="S421" s="105">
        <f>VLOOKUP(A421,Data!$A$2:$Z$179,12,FALSE)</f>
        <v>0</v>
      </c>
      <c r="T421" s="105">
        <f>S421*F421</f>
        <v>0</v>
      </c>
      <c r="U421" s="105">
        <f>VLOOKUP(A421,Data!$A$2:$Z$179,13,FALSE)</f>
        <v>1.1106801290560612E-2</v>
      </c>
      <c r="V421" s="91">
        <f t="shared" si="124"/>
        <v>0</v>
      </c>
      <c r="W421" s="105">
        <f>VLOOKUP(A421,Data!$A$2:$Z$179,22,FALSE)</f>
        <v>0</v>
      </c>
      <c r="X421" s="105">
        <f>W421*F421</f>
        <v>0</v>
      </c>
      <c r="Y421" s="105">
        <f>VLOOKUP(A421,Data!$A$2:$Z$179,19,FALSE)</f>
        <v>0</v>
      </c>
      <c r="Z421" s="105">
        <f t="shared" si="129"/>
        <v>0</v>
      </c>
      <c r="AA421" s="105">
        <f>VLOOKUP(A421,Data!$A$2:$Z$179,20,FALSE)</f>
        <v>0</v>
      </c>
      <c r="AB421" s="105">
        <f>$F421*AA421</f>
        <v>0</v>
      </c>
      <c r="AC421" s="105">
        <f>VLOOKUP(A421,Data!$A$2:$Z$179,21,FALSE)</f>
        <v>0</v>
      </c>
      <c r="AD421" s="105">
        <f t="shared" si="125"/>
        <v>0</v>
      </c>
      <c r="AE421" s="105">
        <f>J421+L421+N421+O421+Q421+S421+U421+W421+Y421+AA421+AC421</f>
        <v>24.556106801290561</v>
      </c>
      <c r="AF421" s="105">
        <f t="shared" si="126"/>
        <v>0</v>
      </c>
      <c r="AG421" s="105"/>
      <c r="AH421" s="106">
        <f>AE421-S421-W421</f>
        <v>24.556106801290561</v>
      </c>
      <c r="AI421" s="85">
        <f>AH421/AE421</f>
        <v>1</v>
      </c>
      <c r="AK421" s="106">
        <f t="shared" si="122"/>
        <v>0</v>
      </c>
      <c r="AL421" s="106">
        <f t="shared" si="123"/>
        <v>0</v>
      </c>
      <c r="AQ421" s="107"/>
      <c r="AS421" s="108"/>
    </row>
    <row r="422" spans="1:45" x14ac:dyDescent="0.2">
      <c r="B422" s="101"/>
      <c r="C422" s="92"/>
      <c r="D422" s="92"/>
      <c r="F422" s="109"/>
      <c r="G422" s="109"/>
      <c r="H422" s="109"/>
      <c r="I422" s="109"/>
      <c r="J422" s="105"/>
      <c r="K422" s="105"/>
      <c r="L422" s="105"/>
      <c r="M422" s="105">
        <f t="shared" si="120"/>
        <v>0</v>
      </c>
      <c r="N422" s="105"/>
      <c r="O422" s="105"/>
      <c r="P422" s="105">
        <f t="shared" si="130"/>
        <v>0</v>
      </c>
      <c r="Q422" s="105"/>
      <c r="R422" s="105">
        <f t="shared" si="127"/>
        <v>0</v>
      </c>
      <c r="S422" s="105"/>
      <c r="T422" s="105">
        <f t="shared" si="131"/>
        <v>0</v>
      </c>
      <c r="U422" s="105"/>
      <c r="V422" s="91">
        <f t="shared" si="124"/>
        <v>0</v>
      </c>
      <c r="W422" s="105"/>
      <c r="X422" s="105">
        <f t="shared" si="128"/>
        <v>0</v>
      </c>
      <c r="Y422" s="105"/>
      <c r="Z422" s="105">
        <f t="shared" si="129"/>
        <v>0</v>
      </c>
      <c r="AA422" s="105"/>
      <c r="AB422" s="105">
        <f>$F420*AA422</f>
        <v>0</v>
      </c>
      <c r="AC422" s="105"/>
      <c r="AD422" s="105">
        <f t="shared" si="125"/>
        <v>0</v>
      </c>
      <c r="AE422" s="105"/>
      <c r="AF422" s="105">
        <f t="shared" si="126"/>
        <v>0</v>
      </c>
      <c r="AG422" s="105"/>
      <c r="AH422" s="106"/>
      <c r="AK422" s="106">
        <f t="shared" si="122"/>
        <v>0</v>
      </c>
      <c r="AL422" s="106">
        <f t="shared" si="123"/>
        <v>0</v>
      </c>
      <c r="AQ422" s="107"/>
      <c r="AS422" s="108"/>
    </row>
    <row r="423" spans="1:45" x14ac:dyDescent="0.2">
      <c r="A423" s="85" t="s">
        <v>180</v>
      </c>
      <c r="B423" s="101" t="s">
        <v>181</v>
      </c>
      <c r="C423" s="86" t="s">
        <v>754</v>
      </c>
      <c r="F423" s="102">
        <f>E423</f>
        <v>0</v>
      </c>
      <c r="G423" s="103"/>
      <c r="H423" s="103"/>
      <c r="I423" s="103"/>
      <c r="J423" s="105"/>
      <c r="K423" s="105"/>
      <c r="L423" s="105"/>
      <c r="M423" s="105">
        <f t="shared" si="120"/>
        <v>0</v>
      </c>
      <c r="N423" s="105"/>
      <c r="O423" s="105"/>
      <c r="P423" s="105">
        <f t="shared" si="130"/>
        <v>0</v>
      </c>
      <c r="Q423" s="105"/>
      <c r="R423" s="105">
        <f t="shared" si="127"/>
        <v>0</v>
      </c>
      <c r="S423" s="105"/>
      <c r="T423" s="105">
        <f t="shared" si="131"/>
        <v>0</v>
      </c>
      <c r="U423" s="105"/>
      <c r="V423" s="91">
        <f t="shared" si="124"/>
        <v>0</v>
      </c>
      <c r="W423" s="105"/>
      <c r="X423" s="105">
        <f t="shared" si="128"/>
        <v>0</v>
      </c>
      <c r="Y423" s="105"/>
      <c r="Z423" s="105">
        <f t="shared" si="129"/>
        <v>0</v>
      </c>
      <c r="AA423" s="105"/>
      <c r="AB423" s="105">
        <f>$F421*AA423</f>
        <v>0</v>
      </c>
      <c r="AC423" s="105"/>
      <c r="AD423" s="105">
        <f t="shared" si="125"/>
        <v>0</v>
      </c>
      <c r="AE423" s="105"/>
      <c r="AF423" s="105">
        <f t="shared" si="126"/>
        <v>0</v>
      </c>
      <c r="AG423" s="105"/>
      <c r="AH423" s="106"/>
      <c r="AK423" s="106">
        <f t="shared" si="122"/>
        <v>0</v>
      </c>
      <c r="AL423" s="106">
        <f t="shared" si="123"/>
        <v>0</v>
      </c>
      <c r="AQ423" s="107"/>
      <c r="AS423" s="108"/>
    </row>
    <row r="424" spans="1:45" x14ac:dyDescent="0.2">
      <c r="A424" s="85" t="s">
        <v>180</v>
      </c>
      <c r="B424" s="101"/>
      <c r="C424" s="92" t="s">
        <v>755</v>
      </c>
      <c r="D424" s="92"/>
      <c r="F424" s="104">
        <f>SUM(F423)</f>
        <v>0</v>
      </c>
      <c r="G424" s="104">
        <f>F424</f>
        <v>0</v>
      </c>
      <c r="H424" s="105">
        <f>VLOOKUP(A424,Data!$A$2:$Z$179,24,FALSE)</f>
        <v>27</v>
      </c>
      <c r="I424" s="105">
        <f>VLOOKUP(A424,Data!$A$2:$Z$179,25,FALSE)</f>
        <v>1.5830000000000002</v>
      </c>
      <c r="J424" s="105">
        <f>VLOOKUP(A424,Data!$A$2:$Z$179,7,FALSE)</f>
        <v>25.417000000000002</v>
      </c>
      <c r="K424" s="105">
        <f>$F424*J424</f>
        <v>0</v>
      </c>
      <c r="L424" s="105">
        <f>VLOOKUP(A424,Data!$A$2:$Z$179,8,FALSE)</f>
        <v>0</v>
      </c>
      <c r="M424" s="105">
        <f>L424*F424</f>
        <v>0</v>
      </c>
      <c r="N424" s="105">
        <f>VLOOKUP(A424,Data!$A$2:$Z$179,9,FALSE)</f>
        <v>0</v>
      </c>
      <c r="O424" s="105">
        <f>VLOOKUP(A423,Data!$A$2:$Z$179,10,FALSE)</f>
        <v>0</v>
      </c>
      <c r="P424" s="105">
        <f>O424*F424</f>
        <v>0</v>
      </c>
      <c r="Q424" s="105">
        <f>VLOOKUP(A424,Data!$A$2:$Z$179,11,FALSE)</f>
        <v>0</v>
      </c>
      <c r="R424" s="105">
        <f t="shared" si="127"/>
        <v>0</v>
      </c>
      <c r="S424" s="105">
        <f>VLOOKUP(A424,Data!$A$2:$Z$179,12,FALSE)</f>
        <v>0</v>
      </c>
      <c r="T424" s="105">
        <f>S424*F424</f>
        <v>0</v>
      </c>
      <c r="U424" s="105">
        <f>VLOOKUP(A424,Data!$A$2:$Z$179,13,FALSE)</f>
        <v>3.002998689061159E-3</v>
      </c>
      <c r="V424" s="91">
        <f t="shared" si="124"/>
        <v>0</v>
      </c>
      <c r="W424" s="105">
        <f>VLOOKUP(A424,Data!$A$2:$Z$179,22,FALSE)</f>
        <v>0</v>
      </c>
      <c r="X424" s="105">
        <f>W424*F424</f>
        <v>0</v>
      </c>
      <c r="Y424" s="105">
        <f>VLOOKUP(A424,Data!$A$2:$Z$179,19,FALSE)</f>
        <v>0</v>
      </c>
      <c r="Z424" s="105">
        <f t="shared" si="129"/>
        <v>0</v>
      </c>
      <c r="AA424" s="105">
        <f>VLOOKUP(A424,Data!$A$2:$Z$179,20,FALSE)</f>
        <v>0</v>
      </c>
      <c r="AB424" s="105">
        <f t="shared" ref="AB424:AB429" si="132">$F424*AA424</f>
        <v>0</v>
      </c>
      <c r="AC424" s="105">
        <f>VLOOKUP(A424,Data!$A$2:$Z$179,21,FALSE)</f>
        <v>0</v>
      </c>
      <c r="AD424" s="105">
        <f t="shared" si="125"/>
        <v>0</v>
      </c>
      <c r="AE424" s="105">
        <f>J424+L424+N424+O424+Q424+S424+U424+W424+Y424+AA424+AC424</f>
        <v>25.420002998689064</v>
      </c>
      <c r="AF424" s="105">
        <f t="shared" si="126"/>
        <v>0</v>
      </c>
      <c r="AG424" s="105"/>
      <c r="AH424" s="106">
        <f>AE424-S424-W424</f>
        <v>25.420002998689064</v>
      </c>
      <c r="AI424" s="85">
        <f>AH424/AE424</f>
        <v>1</v>
      </c>
      <c r="AK424" s="106">
        <f t="shared" si="122"/>
        <v>0</v>
      </c>
      <c r="AL424" s="106">
        <f t="shared" si="123"/>
        <v>0</v>
      </c>
      <c r="AQ424" s="107"/>
      <c r="AS424" s="108"/>
    </row>
    <row r="425" spans="1:45" x14ac:dyDescent="0.2">
      <c r="B425" s="101"/>
      <c r="C425" s="92"/>
      <c r="D425" s="92"/>
      <c r="F425" s="109"/>
      <c r="G425" s="109"/>
      <c r="H425" s="109"/>
      <c r="I425" s="109"/>
      <c r="J425" s="105"/>
      <c r="K425" s="105"/>
      <c r="L425" s="105"/>
      <c r="M425" s="105">
        <f t="shared" si="120"/>
        <v>0</v>
      </c>
      <c r="N425" s="105"/>
      <c r="O425" s="105"/>
      <c r="P425" s="105">
        <f t="shared" si="130"/>
        <v>0</v>
      </c>
      <c r="Q425" s="105"/>
      <c r="R425" s="105">
        <f t="shared" si="127"/>
        <v>0</v>
      </c>
      <c r="S425" s="105"/>
      <c r="T425" s="105">
        <f t="shared" si="131"/>
        <v>0</v>
      </c>
      <c r="U425" s="105"/>
      <c r="V425" s="91">
        <f t="shared" si="124"/>
        <v>0</v>
      </c>
      <c r="W425" s="105"/>
      <c r="X425" s="105">
        <f t="shared" si="128"/>
        <v>0</v>
      </c>
      <c r="Y425" s="105"/>
      <c r="Z425" s="105">
        <f t="shared" si="129"/>
        <v>0</v>
      </c>
      <c r="AA425" s="105"/>
      <c r="AB425" s="105">
        <f t="shared" si="132"/>
        <v>0</v>
      </c>
      <c r="AC425" s="105"/>
      <c r="AD425" s="105">
        <f t="shared" si="125"/>
        <v>0</v>
      </c>
      <c r="AE425" s="105"/>
      <c r="AF425" s="105">
        <f t="shared" si="126"/>
        <v>0</v>
      </c>
      <c r="AG425" s="105"/>
      <c r="AH425" s="106"/>
      <c r="AK425" s="106">
        <f t="shared" si="122"/>
        <v>0</v>
      </c>
      <c r="AL425" s="106">
        <f t="shared" si="123"/>
        <v>0</v>
      </c>
      <c r="AQ425" s="107"/>
      <c r="AR425" s="112"/>
      <c r="AS425" s="108"/>
    </row>
    <row r="426" spans="1:45" x14ac:dyDescent="0.2">
      <c r="A426" s="85" t="s">
        <v>182</v>
      </c>
      <c r="B426" s="101" t="s">
        <v>181</v>
      </c>
      <c r="C426" s="86" t="s">
        <v>756</v>
      </c>
      <c r="F426" s="102">
        <f>E426</f>
        <v>0</v>
      </c>
      <c r="G426" s="103"/>
      <c r="H426" s="103"/>
      <c r="I426" s="103"/>
      <c r="J426" s="105"/>
      <c r="K426" s="105"/>
      <c r="L426" s="105"/>
      <c r="M426" s="105">
        <f t="shared" si="120"/>
        <v>0</v>
      </c>
      <c r="N426" s="105"/>
      <c r="O426" s="105"/>
      <c r="P426" s="105">
        <f t="shared" si="130"/>
        <v>0</v>
      </c>
      <c r="Q426" s="105"/>
      <c r="R426" s="105">
        <f t="shared" si="127"/>
        <v>0</v>
      </c>
      <c r="S426" s="105"/>
      <c r="T426" s="105">
        <f t="shared" si="131"/>
        <v>0</v>
      </c>
      <c r="U426" s="105"/>
      <c r="V426" s="91">
        <f t="shared" si="124"/>
        <v>0</v>
      </c>
      <c r="W426" s="105"/>
      <c r="X426" s="105">
        <f t="shared" si="128"/>
        <v>0</v>
      </c>
      <c r="Y426" s="105"/>
      <c r="Z426" s="105">
        <f t="shared" si="129"/>
        <v>0</v>
      </c>
      <c r="AA426" s="105"/>
      <c r="AB426" s="105">
        <f t="shared" si="132"/>
        <v>0</v>
      </c>
      <c r="AC426" s="105"/>
      <c r="AD426" s="105">
        <f t="shared" si="125"/>
        <v>0</v>
      </c>
      <c r="AE426" s="105"/>
      <c r="AF426" s="105">
        <f t="shared" si="126"/>
        <v>0</v>
      </c>
      <c r="AG426" s="105"/>
      <c r="AH426" s="106"/>
      <c r="AK426" s="106">
        <f t="shared" si="122"/>
        <v>0</v>
      </c>
      <c r="AL426" s="106">
        <f t="shared" si="123"/>
        <v>0</v>
      </c>
      <c r="AQ426" s="107"/>
      <c r="AR426" s="112"/>
      <c r="AS426" s="108"/>
    </row>
    <row r="427" spans="1:45" x14ac:dyDescent="0.2">
      <c r="A427" s="85" t="s">
        <v>182</v>
      </c>
      <c r="B427" s="101"/>
      <c r="C427" s="92" t="s">
        <v>757</v>
      </c>
      <c r="D427" s="92"/>
      <c r="F427" s="104">
        <f>SUM(F426)</f>
        <v>0</v>
      </c>
      <c r="G427" s="104">
        <f>F427</f>
        <v>0</v>
      </c>
      <c r="H427" s="105">
        <f>VLOOKUP(A427,Data!$A$2:$Z$179,24,FALSE)</f>
        <v>27</v>
      </c>
      <c r="I427" s="105">
        <f>VLOOKUP(A427,Data!$A$2:$Z$179,25,FALSE)</f>
        <v>7.6000000000000068E-2</v>
      </c>
      <c r="J427" s="105">
        <f>VLOOKUP(A427,Data!$A$2:$Z$179,7,FALSE)</f>
        <v>26.923999999999999</v>
      </c>
      <c r="K427" s="105">
        <f>$F427*J427</f>
        <v>0</v>
      </c>
      <c r="L427" s="105">
        <f>VLOOKUP(A427,Data!$A$2:$Z$179,8,FALSE)</f>
        <v>0</v>
      </c>
      <c r="M427" s="105">
        <f>L427*F427</f>
        <v>0</v>
      </c>
      <c r="N427" s="105">
        <f>VLOOKUP(A427,Data!$A$2:$Z$179,9,FALSE)</f>
        <v>0</v>
      </c>
      <c r="O427" s="105">
        <f>VLOOKUP(A426,Data!$A$2:$Z$179,10,FALSE)</f>
        <v>0</v>
      </c>
      <c r="P427" s="105">
        <f>O427*F427</f>
        <v>0</v>
      </c>
      <c r="Q427" s="105">
        <f>VLOOKUP(A427,Data!$A$2:$Z$179,11,FALSE)</f>
        <v>0</v>
      </c>
      <c r="R427" s="105">
        <f t="shared" si="127"/>
        <v>0</v>
      </c>
      <c r="S427" s="105">
        <f>VLOOKUP(A427,Data!$A$2:$Z$179,12,FALSE)</f>
        <v>0</v>
      </c>
      <c r="T427" s="105">
        <f>S427*F427</f>
        <v>0</v>
      </c>
      <c r="U427" s="105">
        <f>VLOOKUP(A427,Data!$A$2:$Z$179,13,FALSE)</f>
        <v>1.1790107092167514E-3</v>
      </c>
      <c r="V427" s="91">
        <f t="shared" si="124"/>
        <v>0</v>
      </c>
      <c r="W427" s="105">
        <f>VLOOKUP(A427,Data!$A$2:$Z$179,22,FALSE)</f>
        <v>0</v>
      </c>
      <c r="X427" s="105">
        <f>W427*F427</f>
        <v>0</v>
      </c>
      <c r="Y427" s="105">
        <f>VLOOKUP(A427,Data!$A$2:$Z$179,19,FALSE)</f>
        <v>0</v>
      </c>
      <c r="Z427" s="105">
        <f t="shared" si="129"/>
        <v>0</v>
      </c>
      <c r="AA427" s="105">
        <f>VLOOKUP(A427,Data!$A$2:$Z$179,20,FALSE)</f>
        <v>0</v>
      </c>
      <c r="AB427" s="105">
        <f t="shared" si="132"/>
        <v>0</v>
      </c>
      <c r="AC427" s="105">
        <f>VLOOKUP(A427,Data!$A$2:$Z$179,21,FALSE)</f>
        <v>0</v>
      </c>
      <c r="AD427" s="105">
        <f t="shared" si="125"/>
        <v>0</v>
      </c>
      <c r="AE427" s="105">
        <f>J427+L427+N427+O427+Q427+S427+U427+W427+Y427+AA427+AC427</f>
        <v>26.925179010709215</v>
      </c>
      <c r="AF427" s="105">
        <f t="shared" si="126"/>
        <v>0</v>
      </c>
      <c r="AG427" s="105"/>
      <c r="AH427" s="106">
        <f>AE427-S427-W427</f>
        <v>26.925179010709215</v>
      </c>
      <c r="AI427" s="85">
        <f>AH427/AE427</f>
        <v>1</v>
      </c>
      <c r="AK427" s="106">
        <f t="shared" si="122"/>
        <v>0</v>
      </c>
      <c r="AL427" s="106">
        <f t="shared" si="123"/>
        <v>0</v>
      </c>
      <c r="AQ427" s="107"/>
      <c r="AS427" s="108"/>
    </row>
    <row r="428" spans="1:45" x14ac:dyDescent="0.2">
      <c r="B428" s="101"/>
      <c r="C428" s="92"/>
      <c r="D428" s="92"/>
      <c r="F428" s="109"/>
      <c r="G428" s="109"/>
      <c r="H428" s="109"/>
      <c r="I428" s="109"/>
      <c r="J428" s="105"/>
      <c r="K428" s="105"/>
      <c r="L428" s="105"/>
      <c r="M428" s="105">
        <f t="shared" si="120"/>
        <v>0</v>
      </c>
      <c r="N428" s="105"/>
      <c r="O428" s="105"/>
      <c r="P428" s="105">
        <f t="shared" si="130"/>
        <v>0</v>
      </c>
      <c r="Q428" s="105"/>
      <c r="R428" s="105">
        <f t="shared" si="127"/>
        <v>0</v>
      </c>
      <c r="S428" s="105"/>
      <c r="T428" s="105">
        <f t="shared" si="131"/>
        <v>0</v>
      </c>
      <c r="U428" s="105"/>
      <c r="V428" s="91">
        <f t="shared" si="124"/>
        <v>0</v>
      </c>
      <c r="W428" s="105"/>
      <c r="X428" s="105">
        <f t="shared" si="128"/>
        <v>0</v>
      </c>
      <c r="Y428" s="105"/>
      <c r="Z428" s="105">
        <f t="shared" si="129"/>
        <v>0</v>
      </c>
      <c r="AA428" s="105"/>
      <c r="AB428" s="105">
        <f t="shared" si="132"/>
        <v>0</v>
      </c>
      <c r="AC428" s="105"/>
      <c r="AD428" s="105">
        <f t="shared" si="125"/>
        <v>0</v>
      </c>
      <c r="AE428" s="105"/>
      <c r="AF428" s="105">
        <f t="shared" si="126"/>
        <v>0</v>
      </c>
      <c r="AG428" s="105"/>
      <c r="AH428" s="106"/>
      <c r="AK428" s="106">
        <f t="shared" si="122"/>
        <v>0</v>
      </c>
      <c r="AL428" s="106">
        <f t="shared" si="123"/>
        <v>0</v>
      </c>
      <c r="AQ428" s="107"/>
      <c r="AS428" s="108"/>
    </row>
    <row r="429" spans="1:45" x14ac:dyDescent="0.2">
      <c r="A429" s="85" t="s">
        <v>183</v>
      </c>
      <c r="B429" s="101" t="s">
        <v>181</v>
      </c>
      <c r="C429" s="86" t="s">
        <v>758</v>
      </c>
      <c r="F429" s="102">
        <f>E429</f>
        <v>0</v>
      </c>
      <c r="G429" s="102"/>
      <c r="H429" s="102"/>
      <c r="I429" s="102"/>
      <c r="J429" s="105"/>
      <c r="K429" s="105"/>
      <c r="L429" s="105"/>
      <c r="M429" s="105">
        <f t="shared" si="120"/>
        <v>0</v>
      </c>
      <c r="N429" s="105"/>
      <c r="O429" s="105"/>
      <c r="P429" s="105">
        <f t="shared" si="130"/>
        <v>0</v>
      </c>
      <c r="Q429" s="105"/>
      <c r="R429" s="105">
        <f t="shared" si="127"/>
        <v>0</v>
      </c>
      <c r="S429" s="105"/>
      <c r="T429" s="105">
        <f t="shared" si="131"/>
        <v>0</v>
      </c>
      <c r="U429" s="105"/>
      <c r="V429" s="91">
        <f t="shared" si="124"/>
        <v>0</v>
      </c>
      <c r="W429" s="105"/>
      <c r="X429" s="105">
        <f t="shared" si="128"/>
        <v>0</v>
      </c>
      <c r="Y429" s="105"/>
      <c r="Z429" s="105">
        <f t="shared" si="129"/>
        <v>0</v>
      </c>
      <c r="AA429" s="105"/>
      <c r="AB429" s="105">
        <f t="shared" si="132"/>
        <v>0</v>
      </c>
      <c r="AC429" s="105"/>
      <c r="AD429" s="105">
        <f t="shared" si="125"/>
        <v>0</v>
      </c>
      <c r="AE429" s="105"/>
      <c r="AF429" s="105">
        <f t="shared" si="126"/>
        <v>0</v>
      </c>
      <c r="AG429" s="105"/>
      <c r="AH429" s="106"/>
      <c r="AK429" s="106">
        <f t="shared" si="122"/>
        <v>0</v>
      </c>
      <c r="AL429" s="106">
        <f t="shared" si="123"/>
        <v>0</v>
      </c>
      <c r="AQ429" s="107"/>
      <c r="AS429" s="108"/>
    </row>
    <row r="430" spans="1:45" x14ac:dyDescent="0.2">
      <c r="A430" s="85" t="s">
        <v>183</v>
      </c>
      <c r="B430" s="101" t="s">
        <v>67</v>
      </c>
      <c r="C430" s="86" t="s">
        <v>758</v>
      </c>
      <c r="F430" s="102">
        <f>E430</f>
        <v>0</v>
      </c>
      <c r="G430" s="102"/>
      <c r="H430" s="102"/>
      <c r="I430" s="102"/>
      <c r="J430" s="105"/>
      <c r="K430" s="105"/>
      <c r="L430" s="105"/>
      <c r="M430" s="105">
        <f t="shared" si="120"/>
        <v>0</v>
      </c>
      <c r="N430" s="105"/>
      <c r="O430" s="105"/>
      <c r="P430" s="105">
        <f t="shared" si="130"/>
        <v>0</v>
      </c>
      <c r="Q430" s="105"/>
      <c r="R430" s="105">
        <f t="shared" si="127"/>
        <v>0</v>
      </c>
      <c r="S430" s="105"/>
      <c r="T430" s="105">
        <f t="shared" si="131"/>
        <v>0</v>
      </c>
      <c r="U430" s="105"/>
      <c r="V430" s="91">
        <f t="shared" si="124"/>
        <v>0</v>
      </c>
      <c r="W430" s="105"/>
      <c r="X430" s="105">
        <f t="shared" si="128"/>
        <v>0</v>
      </c>
      <c r="Y430" s="105"/>
      <c r="Z430" s="105">
        <f t="shared" si="129"/>
        <v>0</v>
      </c>
      <c r="AA430" s="105"/>
      <c r="AB430" s="105">
        <f>$F429*AA430</f>
        <v>0</v>
      </c>
      <c r="AC430" s="105"/>
      <c r="AD430" s="105">
        <f t="shared" si="125"/>
        <v>0</v>
      </c>
      <c r="AE430" s="105"/>
      <c r="AF430" s="105">
        <f t="shared" si="126"/>
        <v>0</v>
      </c>
      <c r="AG430" s="105"/>
      <c r="AH430" s="106"/>
      <c r="AK430" s="106">
        <f t="shared" si="122"/>
        <v>0</v>
      </c>
      <c r="AL430" s="106">
        <f t="shared" si="123"/>
        <v>0</v>
      </c>
      <c r="AQ430" s="107"/>
      <c r="AS430" s="108"/>
    </row>
    <row r="431" spans="1:45" x14ac:dyDescent="0.2">
      <c r="A431" s="85" t="s">
        <v>183</v>
      </c>
      <c r="B431" s="101"/>
      <c r="C431" s="92" t="s">
        <v>759</v>
      </c>
      <c r="D431" s="92"/>
      <c r="F431" s="104">
        <f>SUM(F429:F430)</f>
        <v>0</v>
      </c>
      <c r="G431" s="104">
        <f>F431</f>
        <v>0</v>
      </c>
      <c r="H431" s="105">
        <f>VLOOKUP(A431,Data!$A$2:$Z$179,24,FALSE)</f>
        <v>27</v>
      </c>
      <c r="I431" s="105">
        <f>VLOOKUP(A431,Data!$A$2:$Z$179,25,FALSE)</f>
        <v>4.2709999999999999</v>
      </c>
      <c r="J431" s="105">
        <f>VLOOKUP(A431,Data!$A$2:$Z$179,7,FALSE)</f>
        <v>22.728999999999999</v>
      </c>
      <c r="K431" s="105">
        <f>$F431*J431</f>
        <v>0</v>
      </c>
      <c r="L431" s="105">
        <f>VLOOKUP(A431,Data!$A$2:$Z$179,8,FALSE)</f>
        <v>0</v>
      </c>
      <c r="M431" s="105">
        <f>L431*F431</f>
        <v>0</v>
      </c>
      <c r="N431" s="105">
        <f>VLOOKUP(A431,Data!$A$2:$Z$179,9,FALSE)</f>
        <v>0</v>
      </c>
      <c r="O431" s="105">
        <f>VLOOKUP(A430,Data!$A$2:$Z$179,10,FALSE)</f>
        <v>0</v>
      </c>
      <c r="P431" s="105">
        <f>O431*F431</f>
        <v>0</v>
      </c>
      <c r="Q431" s="105">
        <f>VLOOKUP(A431,Data!$A$2:$Z$179,11,FALSE)</f>
        <v>0</v>
      </c>
      <c r="R431" s="105">
        <f t="shared" si="127"/>
        <v>0</v>
      </c>
      <c r="S431" s="105">
        <f>VLOOKUP(A431,Data!$A$2:$Z$179,12,FALSE)</f>
        <v>0</v>
      </c>
      <c r="T431" s="105">
        <f>S431*F431</f>
        <v>0</v>
      </c>
      <c r="U431" s="105">
        <f>VLOOKUP(A431,Data!$A$2:$Z$179,13,FALSE)</f>
        <v>0</v>
      </c>
      <c r="V431" s="91">
        <f t="shared" si="124"/>
        <v>0</v>
      </c>
      <c r="W431" s="105">
        <f>VLOOKUP(A431,Data!$A$2:$Z$179,22,FALSE)</f>
        <v>0</v>
      </c>
      <c r="X431" s="105">
        <f>W431*F431</f>
        <v>0</v>
      </c>
      <c r="Y431" s="105">
        <f>VLOOKUP(A431,Data!$A$2:$Z$179,19,FALSE)</f>
        <v>0</v>
      </c>
      <c r="Z431" s="105">
        <f t="shared" si="129"/>
        <v>0</v>
      </c>
      <c r="AA431" s="105">
        <f>VLOOKUP(A431,Data!$A$2:$Z$179,20,FALSE)</f>
        <v>0</v>
      </c>
      <c r="AB431" s="105">
        <f>$F431*AA431</f>
        <v>0</v>
      </c>
      <c r="AC431" s="105">
        <f>VLOOKUP(A431,Data!$A$2:$Z$179,21,FALSE)</f>
        <v>0</v>
      </c>
      <c r="AD431" s="105">
        <f t="shared" si="125"/>
        <v>0</v>
      </c>
      <c r="AE431" s="105">
        <f>J431+L431+N431+O431+Q431+S431+U431+W431+Y431+AA431+AC431</f>
        <v>22.728999999999999</v>
      </c>
      <c r="AF431" s="105">
        <f t="shared" si="126"/>
        <v>0</v>
      </c>
      <c r="AG431" s="105"/>
      <c r="AH431" s="106">
        <f>AE431-S431-W431</f>
        <v>22.728999999999999</v>
      </c>
      <c r="AI431" s="85">
        <f>AH431/AE431</f>
        <v>1</v>
      </c>
      <c r="AK431" s="106">
        <f t="shared" si="122"/>
        <v>0</v>
      </c>
      <c r="AL431" s="106">
        <f t="shared" si="123"/>
        <v>0</v>
      </c>
      <c r="AQ431" s="107"/>
      <c r="AS431" s="108"/>
    </row>
    <row r="432" spans="1:45" x14ac:dyDescent="0.2">
      <c r="B432" s="101"/>
      <c r="C432" s="92"/>
      <c r="D432" s="92"/>
      <c r="F432" s="109"/>
      <c r="G432" s="109"/>
      <c r="H432" s="109"/>
      <c r="I432" s="109"/>
      <c r="J432" s="105"/>
      <c r="K432" s="105"/>
      <c r="L432" s="105"/>
      <c r="M432" s="105">
        <f t="shared" si="120"/>
        <v>0</v>
      </c>
      <c r="N432" s="105"/>
      <c r="O432" s="105"/>
      <c r="P432" s="105">
        <f t="shared" si="130"/>
        <v>0</v>
      </c>
      <c r="Q432" s="105"/>
      <c r="R432" s="105">
        <f t="shared" si="127"/>
        <v>0</v>
      </c>
      <c r="S432" s="105"/>
      <c r="T432" s="105">
        <f t="shared" si="131"/>
        <v>0</v>
      </c>
      <c r="U432" s="105"/>
      <c r="V432" s="91">
        <f t="shared" si="124"/>
        <v>0</v>
      </c>
      <c r="W432" s="105"/>
      <c r="X432" s="105">
        <f t="shared" si="128"/>
        <v>0</v>
      </c>
      <c r="Y432" s="105"/>
      <c r="Z432" s="105">
        <f t="shared" si="129"/>
        <v>0</v>
      </c>
      <c r="AA432" s="105"/>
      <c r="AB432" s="105">
        <f>$F431*AA432</f>
        <v>0</v>
      </c>
      <c r="AC432" s="105"/>
      <c r="AD432" s="105">
        <f t="shared" si="125"/>
        <v>0</v>
      </c>
      <c r="AE432" s="105"/>
      <c r="AF432" s="105">
        <f t="shared" si="126"/>
        <v>0</v>
      </c>
      <c r="AG432" s="105"/>
      <c r="AH432" s="106"/>
      <c r="AK432" s="106">
        <f t="shared" si="122"/>
        <v>0</v>
      </c>
      <c r="AL432" s="106">
        <f t="shared" si="123"/>
        <v>0</v>
      </c>
      <c r="AQ432" s="107"/>
      <c r="AS432" s="108"/>
    </row>
    <row r="433" spans="1:45" x14ac:dyDescent="0.2">
      <c r="A433" s="85" t="s">
        <v>184</v>
      </c>
      <c r="B433" s="101" t="s">
        <v>181</v>
      </c>
      <c r="C433" s="86" t="s">
        <v>760</v>
      </c>
      <c r="F433" s="102">
        <f>E433</f>
        <v>0</v>
      </c>
      <c r="G433" s="102"/>
      <c r="H433" s="102"/>
      <c r="I433" s="102"/>
      <c r="J433" s="105" t="s">
        <v>271</v>
      </c>
      <c r="K433" s="105"/>
      <c r="L433" s="105"/>
      <c r="M433" s="105">
        <f t="shared" si="120"/>
        <v>0</v>
      </c>
      <c r="N433" s="105"/>
      <c r="O433" s="105"/>
      <c r="P433" s="105">
        <f t="shared" si="130"/>
        <v>0</v>
      </c>
      <c r="Q433" s="105"/>
      <c r="R433" s="105">
        <f t="shared" si="127"/>
        <v>0</v>
      </c>
      <c r="S433" s="105"/>
      <c r="T433" s="105">
        <f t="shared" si="131"/>
        <v>0</v>
      </c>
      <c r="U433" s="105"/>
      <c r="V433" s="91">
        <f t="shared" si="124"/>
        <v>0</v>
      </c>
      <c r="W433" s="105"/>
      <c r="X433" s="105">
        <f t="shared" si="128"/>
        <v>0</v>
      </c>
      <c r="Y433" s="105"/>
      <c r="Z433" s="105">
        <f t="shared" si="129"/>
        <v>0</v>
      </c>
      <c r="AA433" s="105"/>
      <c r="AB433" s="105">
        <f>$F432*AA433</f>
        <v>0</v>
      </c>
      <c r="AC433" s="105"/>
      <c r="AD433" s="105">
        <f t="shared" si="125"/>
        <v>0</v>
      </c>
      <c r="AE433" s="105"/>
      <c r="AF433" s="105">
        <f t="shared" si="126"/>
        <v>0</v>
      </c>
      <c r="AG433" s="105"/>
      <c r="AH433" s="106"/>
      <c r="AK433" s="106">
        <f t="shared" si="122"/>
        <v>0</v>
      </c>
      <c r="AL433" s="106">
        <f t="shared" si="123"/>
        <v>0</v>
      </c>
      <c r="AQ433" s="107"/>
      <c r="AS433" s="108"/>
    </row>
    <row r="434" spans="1:45" x14ac:dyDescent="0.2">
      <c r="A434" s="85" t="s">
        <v>184</v>
      </c>
      <c r="B434" s="101" t="s">
        <v>204</v>
      </c>
      <c r="C434" s="86" t="s">
        <v>760</v>
      </c>
      <c r="F434" s="102">
        <f>E434</f>
        <v>0</v>
      </c>
      <c r="G434" s="102"/>
      <c r="H434" s="102"/>
      <c r="I434" s="102"/>
      <c r="J434" s="105"/>
      <c r="K434" s="105"/>
      <c r="L434" s="105"/>
      <c r="M434" s="105">
        <f t="shared" si="120"/>
        <v>0</v>
      </c>
      <c r="N434" s="105"/>
      <c r="O434" s="105"/>
      <c r="P434" s="105">
        <f t="shared" si="130"/>
        <v>0</v>
      </c>
      <c r="Q434" s="105"/>
      <c r="R434" s="105">
        <f t="shared" si="127"/>
        <v>0</v>
      </c>
      <c r="S434" s="105"/>
      <c r="T434" s="105">
        <f t="shared" si="131"/>
        <v>0</v>
      </c>
      <c r="U434" s="105"/>
      <c r="V434" s="91">
        <f t="shared" si="124"/>
        <v>0</v>
      </c>
      <c r="W434" s="105"/>
      <c r="X434" s="105">
        <f t="shared" si="128"/>
        <v>0</v>
      </c>
      <c r="Y434" s="105"/>
      <c r="Z434" s="105">
        <f t="shared" si="129"/>
        <v>0</v>
      </c>
      <c r="AA434" s="105"/>
      <c r="AB434" s="105">
        <f>$F434*AA434</f>
        <v>0</v>
      </c>
      <c r="AC434" s="105"/>
      <c r="AD434" s="105">
        <f t="shared" si="125"/>
        <v>0</v>
      </c>
      <c r="AE434" s="105"/>
      <c r="AF434" s="105">
        <f t="shared" si="126"/>
        <v>0</v>
      </c>
      <c r="AG434" s="105"/>
      <c r="AH434" s="106"/>
      <c r="AK434" s="106">
        <f t="shared" si="122"/>
        <v>0</v>
      </c>
      <c r="AL434" s="106">
        <f t="shared" si="123"/>
        <v>0</v>
      </c>
      <c r="AQ434" s="107"/>
      <c r="AR434" s="112"/>
      <c r="AS434" s="108"/>
    </row>
    <row r="435" spans="1:45" x14ac:dyDescent="0.2">
      <c r="A435" s="85" t="s">
        <v>184</v>
      </c>
      <c r="B435" s="101" t="s">
        <v>67</v>
      </c>
      <c r="C435" s="86" t="s">
        <v>760</v>
      </c>
      <c r="F435" s="102">
        <f>E435</f>
        <v>0</v>
      </c>
      <c r="G435" s="102"/>
      <c r="H435" s="102"/>
      <c r="I435" s="102"/>
      <c r="J435" s="105"/>
      <c r="K435" s="105"/>
      <c r="L435" s="105"/>
      <c r="M435" s="105">
        <f t="shared" si="120"/>
        <v>0</v>
      </c>
      <c r="N435" s="105"/>
      <c r="O435" s="105"/>
      <c r="P435" s="105">
        <f t="shared" si="130"/>
        <v>0</v>
      </c>
      <c r="Q435" s="105"/>
      <c r="R435" s="105">
        <f t="shared" si="127"/>
        <v>0</v>
      </c>
      <c r="S435" s="105"/>
      <c r="T435" s="105">
        <f t="shared" si="131"/>
        <v>0</v>
      </c>
      <c r="U435" s="105"/>
      <c r="V435" s="91">
        <f t="shared" si="124"/>
        <v>0</v>
      </c>
      <c r="W435" s="105"/>
      <c r="X435" s="105">
        <f t="shared" si="128"/>
        <v>0</v>
      </c>
      <c r="Y435" s="105"/>
      <c r="Z435" s="105">
        <f t="shared" si="129"/>
        <v>0</v>
      </c>
      <c r="AA435" s="105"/>
      <c r="AB435" s="105">
        <f>$F433*AA435</f>
        <v>0</v>
      </c>
      <c r="AC435" s="105"/>
      <c r="AD435" s="105">
        <f t="shared" si="125"/>
        <v>0</v>
      </c>
      <c r="AE435" s="105"/>
      <c r="AF435" s="105">
        <f t="shared" si="126"/>
        <v>0</v>
      </c>
      <c r="AG435" s="105"/>
      <c r="AH435" s="106"/>
      <c r="AK435" s="106">
        <f t="shared" si="122"/>
        <v>0</v>
      </c>
      <c r="AL435" s="106">
        <f t="shared" si="123"/>
        <v>0</v>
      </c>
      <c r="AQ435" s="107"/>
      <c r="AS435" s="108"/>
    </row>
    <row r="436" spans="1:45" x14ac:dyDescent="0.2">
      <c r="A436" s="85" t="s">
        <v>184</v>
      </c>
      <c r="B436" s="101"/>
      <c r="C436" s="92" t="s">
        <v>761</v>
      </c>
      <c r="D436" s="92"/>
      <c r="F436" s="104">
        <f>SUM(F433:F435)</f>
        <v>0</v>
      </c>
      <c r="G436" s="104">
        <f>F436</f>
        <v>0</v>
      </c>
      <c r="H436" s="105">
        <f>VLOOKUP(A436,Data!$A$2:$Z$179,24,FALSE)</f>
        <v>27</v>
      </c>
      <c r="I436" s="105">
        <f>VLOOKUP(A436,Data!$A$2:$Z$179,25,FALSE)</f>
        <v>0</v>
      </c>
      <c r="J436" s="105">
        <f>VLOOKUP(A436,Data!$A$2:$Z$179,7,FALSE)</f>
        <v>27</v>
      </c>
      <c r="K436" s="105">
        <f>$F436*J436</f>
        <v>0</v>
      </c>
      <c r="L436" s="105">
        <f>VLOOKUP(A436,Data!$A$2:$Z$179,8,FALSE)</f>
        <v>0</v>
      </c>
      <c r="M436" s="105">
        <f>L436*F436</f>
        <v>0</v>
      </c>
      <c r="N436" s="105">
        <f>VLOOKUP(A436,Data!$A$2:$Z$179,9,FALSE)</f>
        <v>0</v>
      </c>
      <c r="O436" s="105">
        <f>VLOOKUP(A435,Data!$A$2:$Z$179,10,FALSE)</f>
        <v>0</v>
      </c>
      <c r="P436" s="105">
        <f>O436*F436</f>
        <v>0</v>
      </c>
      <c r="Q436" s="105">
        <f>VLOOKUP(A436,Data!$A$2:$Z$179,11,FALSE)</f>
        <v>0</v>
      </c>
      <c r="R436" s="105">
        <f t="shared" si="127"/>
        <v>0</v>
      </c>
      <c r="S436" s="105">
        <f>VLOOKUP(A436,Data!$A$2:$Z$179,12,FALSE)</f>
        <v>0</v>
      </c>
      <c r="T436" s="105">
        <f>S436*F436</f>
        <v>0</v>
      </c>
      <c r="U436" s="105">
        <f>VLOOKUP(A436,Data!$A$2:$Z$179,13,FALSE)</f>
        <v>0</v>
      </c>
      <c r="V436" s="91">
        <f t="shared" si="124"/>
        <v>0</v>
      </c>
      <c r="W436" s="105">
        <f>VLOOKUP(A436,Data!$A$2:$Z$179,22,FALSE)</f>
        <v>0</v>
      </c>
      <c r="X436" s="105">
        <f>W436*F436</f>
        <v>0</v>
      </c>
      <c r="Y436" s="105">
        <f>VLOOKUP(A436,Data!$A$2:$Z$179,19,FALSE)</f>
        <v>0</v>
      </c>
      <c r="Z436" s="105">
        <f t="shared" si="129"/>
        <v>0</v>
      </c>
      <c r="AA436" s="105">
        <f>VLOOKUP(A436,Data!$A$2:$Z$179,20,FALSE)</f>
        <v>0</v>
      </c>
      <c r="AB436" s="105">
        <f>$F436*AA436</f>
        <v>0</v>
      </c>
      <c r="AC436" s="105">
        <f>VLOOKUP(A436,Data!$A$2:$Z$179,21,FALSE)</f>
        <v>0</v>
      </c>
      <c r="AD436" s="105">
        <f t="shared" si="125"/>
        <v>0</v>
      </c>
      <c r="AE436" s="105">
        <f>J436+L436+N436+O436+Q436+S436+U436+W436+Y436+AA436+AC436</f>
        <v>27</v>
      </c>
      <c r="AF436" s="105">
        <f t="shared" si="126"/>
        <v>0</v>
      </c>
      <c r="AG436" s="105"/>
      <c r="AH436" s="106">
        <f>AE436-S436-W436</f>
        <v>27</v>
      </c>
      <c r="AI436" s="85">
        <f>AH436/AE436</f>
        <v>1</v>
      </c>
      <c r="AK436" s="106">
        <f t="shared" si="122"/>
        <v>0</v>
      </c>
      <c r="AL436" s="106">
        <f t="shared" si="123"/>
        <v>0</v>
      </c>
      <c r="AQ436" s="107"/>
      <c r="AS436" s="108"/>
    </row>
    <row r="437" spans="1:45" x14ac:dyDescent="0.2">
      <c r="B437" s="101"/>
      <c r="C437" s="92"/>
      <c r="D437" s="92"/>
      <c r="F437" s="109"/>
      <c r="G437" s="109"/>
      <c r="H437" s="109"/>
      <c r="I437" s="109"/>
      <c r="J437" s="105"/>
      <c r="K437" s="105"/>
      <c r="L437" s="105"/>
      <c r="M437" s="105">
        <f t="shared" si="120"/>
        <v>0</v>
      </c>
      <c r="N437" s="105"/>
      <c r="O437" s="105"/>
      <c r="P437" s="105">
        <f t="shared" si="130"/>
        <v>0</v>
      </c>
      <c r="Q437" s="105"/>
      <c r="R437" s="105">
        <f t="shared" si="127"/>
        <v>0</v>
      </c>
      <c r="S437" s="105"/>
      <c r="T437" s="105">
        <f t="shared" si="131"/>
        <v>0</v>
      </c>
      <c r="U437" s="105"/>
      <c r="V437" s="91">
        <f t="shared" si="124"/>
        <v>0</v>
      </c>
      <c r="W437" s="105"/>
      <c r="X437" s="105">
        <f t="shared" si="128"/>
        <v>0</v>
      </c>
      <c r="Y437" s="105"/>
      <c r="Z437" s="105">
        <f t="shared" si="129"/>
        <v>0</v>
      </c>
      <c r="AA437" s="105"/>
      <c r="AB437" s="105">
        <f>$F435*AA437</f>
        <v>0</v>
      </c>
      <c r="AC437" s="105"/>
      <c r="AD437" s="105">
        <f t="shared" si="125"/>
        <v>0</v>
      </c>
      <c r="AE437" s="105"/>
      <c r="AF437" s="105">
        <f t="shared" si="126"/>
        <v>0</v>
      </c>
      <c r="AG437" s="105"/>
      <c r="AH437" s="106"/>
      <c r="AK437" s="106">
        <f t="shared" si="122"/>
        <v>0</v>
      </c>
      <c r="AL437" s="106">
        <f t="shared" si="123"/>
        <v>0</v>
      </c>
      <c r="AQ437" s="107"/>
      <c r="AS437" s="108"/>
    </row>
    <row r="438" spans="1:45" x14ac:dyDescent="0.2">
      <c r="A438" s="85" t="s">
        <v>185</v>
      </c>
      <c r="B438" s="101" t="s">
        <v>181</v>
      </c>
      <c r="C438" s="86" t="s">
        <v>762</v>
      </c>
      <c r="F438" s="102">
        <f>E438</f>
        <v>0</v>
      </c>
      <c r="G438" s="103"/>
      <c r="H438" s="103"/>
      <c r="I438" s="103"/>
      <c r="J438" s="105"/>
      <c r="K438" s="105"/>
      <c r="L438" s="105"/>
      <c r="M438" s="105">
        <f t="shared" ref="M438:M501" si="133">L438*F438</f>
        <v>0</v>
      </c>
      <c r="N438" s="105"/>
      <c r="O438" s="105"/>
      <c r="P438" s="105">
        <f t="shared" si="130"/>
        <v>0</v>
      </c>
      <c r="Q438" s="105"/>
      <c r="R438" s="105">
        <f t="shared" si="127"/>
        <v>0</v>
      </c>
      <c r="S438" s="105"/>
      <c r="T438" s="105">
        <f t="shared" si="131"/>
        <v>0</v>
      </c>
      <c r="U438" s="105"/>
      <c r="V438" s="91">
        <f t="shared" si="124"/>
        <v>0</v>
      </c>
      <c r="W438" s="105"/>
      <c r="X438" s="105">
        <f t="shared" si="128"/>
        <v>0</v>
      </c>
      <c r="Y438" s="105"/>
      <c r="Z438" s="105">
        <f t="shared" si="129"/>
        <v>0</v>
      </c>
      <c r="AA438" s="105"/>
      <c r="AB438" s="105">
        <f>$F436*AA438</f>
        <v>0</v>
      </c>
      <c r="AC438" s="105"/>
      <c r="AD438" s="105">
        <f t="shared" si="125"/>
        <v>0</v>
      </c>
      <c r="AE438" s="105"/>
      <c r="AF438" s="105">
        <f t="shared" si="126"/>
        <v>0</v>
      </c>
      <c r="AG438" s="105"/>
      <c r="AH438" s="106"/>
      <c r="AK438" s="106">
        <f t="shared" si="122"/>
        <v>0</v>
      </c>
      <c r="AL438" s="106">
        <f t="shared" si="123"/>
        <v>0</v>
      </c>
      <c r="AQ438" s="107"/>
      <c r="AS438" s="108"/>
    </row>
    <row r="439" spans="1:45" x14ac:dyDescent="0.2">
      <c r="A439" s="85" t="s">
        <v>185</v>
      </c>
      <c r="B439" s="101"/>
      <c r="C439" s="92" t="s">
        <v>763</v>
      </c>
      <c r="D439" s="92"/>
      <c r="F439" s="104">
        <f>SUM(F438)</f>
        <v>0</v>
      </c>
      <c r="G439" s="104">
        <f>F439</f>
        <v>0</v>
      </c>
      <c r="H439" s="105">
        <f>VLOOKUP(A439,Data!$A$2:$Z$179,24,FALSE)</f>
        <v>27</v>
      </c>
      <c r="I439" s="105">
        <f>VLOOKUP(A439,Data!$A$2:$Z$179,25,FALSE)</f>
        <v>0</v>
      </c>
      <c r="J439" s="105">
        <f>VLOOKUP(A439,Data!$A$2:$Z$179,7,FALSE)</f>
        <v>27</v>
      </c>
      <c r="K439" s="105">
        <f>$F439*J439</f>
        <v>0</v>
      </c>
      <c r="L439" s="105">
        <f>VLOOKUP(A439,Data!$A$2:$Z$179,8,FALSE)</f>
        <v>0</v>
      </c>
      <c r="M439" s="105">
        <f>L439*F439</f>
        <v>0</v>
      </c>
      <c r="N439" s="105">
        <f>VLOOKUP(A439,Data!$A$2:$Z$179,9,FALSE)</f>
        <v>0</v>
      </c>
      <c r="O439" s="105">
        <f>VLOOKUP(A438,Data!$A$2:$Z$179,10,FALSE)</f>
        <v>0</v>
      </c>
      <c r="P439" s="105">
        <f>O439*F439</f>
        <v>0</v>
      </c>
      <c r="Q439" s="105">
        <f>VLOOKUP(A439,Data!$A$2:$Z$179,11,FALSE)</f>
        <v>0</v>
      </c>
      <c r="R439" s="105">
        <f t="shared" si="127"/>
        <v>0</v>
      </c>
      <c r="S439" s="105">
        <f>VLOOKUP(A439,Data!$A$2:$Z$179,12,FALSE)</f>
        <v>0</v>
      </c>
      <c r="T439" s="105">
        <f>S439*F439</f>
        <v>0</v>
      </c>
      <c r="U439" s="105">
        <f>VLOOKUP(A439,Data!$A$2:$Z$179,13,FALSE)</f>
        <v>2.2475531948095261E-4</v>
      </c>
      <c r="V439" s="91">
        <f t="shared" si="124"/>
        <v>0</v>
      </c>
      <c r="W439" s="105">
        <f>VLOOKUP(A439,Data!$A$2:$Z$179,22,FALSE)</f>
        <v>0</v>
      </c>
      <c r="X439" s="105">
        <f>W439*F439</f>
        <v>0</v>
      </c>
      <c r="Y439" s="105">
        <f>VLOOKUP(A439,Data!$A$2:$Z$179,19,FALSE)</f>
        <v>0</v>
      </c>
      <c r="Z439" s="105">
        <f t="shared" si="129"/>
        <v>0</v>
      </c>
      <c r="AA439" s="105">
        <f>VLOOKUP(A439,Data!$A$2:$Z$179,20,FALSE)</f>
        <v>0</v>
      </c>
      <c r="AB439" s="105">
        <f>$F439*AA439</f>
        <v>0</v>
      </c>
      <c r="AC439" s="105">
        <f>VLOOKUP(A439,Data!$A$2:$Z$179,21,FALSE)</f>
        <v>0</v>
      </c>
      <c r="AD439" s="105">
        <f t="shared" si="125"/>
        <v>0</v>
      </c>
      <c r="AE439" s="105">
        <f>J439+L439+N439+O439+Q439+S439+U439+W439+Y439+AA439+AC439</f>
        <v>27.000224755319479</v>
      </c>
      <c r="AF439" s="105">
        <f t="shared" si="126"/>
        <v>0</v>
      </c>
      <c r="AG439" s="105"/>
      <c r="AH439" s="106">
        <f>AE439-S439-W439</f>
        <v>27.000224755319479</v>
      </c>
      <c r="AI439" s="85">
        <f>AH439/AE439</f>
        <v>1</v>
      </c>
      <c r="AK439" s="106">
        <f t="shared" si="122"/>
        <v>0</v>
      </c>
      <c r="AL439" s="106">
        <f t="shared" si="123"/>
        <v>0</v>
      </c>
      <c r="AQ439" s="107"/>
      <c r="AS439" s="108"/>
    </row>
    <row r="440" spans="1:45" x14ac:dyDescent="0.2">
      <c r="B440" s="101"/>
      <c r="C440" s="92"/>
      <c r="D440" s="92"/>
      <c r="F440" s="109"/>
      <c r="G440" s="109"/>
      <c r="H440" s="109"/>
      <c r="I440" s="109"/>
      <c r="J440" s="105"/>
      <c r="K440" s="105"/>
      <c r="L440" s="105"/>
      <c r="M440" s="105">
        <f t="shared" si="133"/>
        <v>0</v>
      </c>
      <c r="N440" s="105"/>
      <c r="O440" s="105"/>
      <c r="P440" s="105">
        <f t="shared" si="130"/>
        <v>0</v>
      </c>
      <c r="Q440" s="105"/>
      <c r="R440" s="105">
        <f t="shared" si="127"/>
        <v>0</v>
      </c>
      <c r="S440" s="105"/>
      <c r="T440" s="105">
        <f t="shared" si="131"/>
        <v>0</v>
      </c>
      <c r="U440" s="105"/>
      <c r="V440" s="91">
        <f t="shared" si="124"/>
        <v>0</v>
      </c>
      <c r="W440" s="105"/>
      <c r="X440" s="105">
        <f t="shared" si="128"/>
        <v>0</v>
      </c>
      <c r="Y440" s="105"/>
      <c r="Z440" s="105">
        <f t="shared" si="129"/>
        <v>0</v>
      </c>
      <c r="AA440" s="105"/>
      <c r="AB440" s="105">
        <f t="shared" ref="AB440:AB457" si="134">$F440*AA440</f>
        <v>0</v>
      </c>
      <c r="AC440" s="105"/>
      <c r="AD440" s="105">
        <f t="shared" si="125"/>
        <v>0</v>
      </c>
      <c r="AE440" s="105"/>
      <c r="AF440" s="105">
        <f t="shared" si="126"/>
        <v>0</v>
      </c>
      <c r="AG440" s="105"/>
      <c r="AH440" s="106"/>
      <c r="AK440" s="106">
        <f t="shared" si="122"/>
        <v>0</v>
      </c>
      <c r="AL440" s="106">
        <f t="shared" si="123"/>
        <v>0</v>
      </c>
      <c r="AQ440" s="107"/>
      <c r="AS440" s="108"/>
    </row>
    <row r="441" spans="1:45" x14ac:dyDescent="0.2">
      <c r="A441" s="85" t="s">
        <v>186</v>
      </c>
      <c r="B441" s="101" t="s">
        <v>181</v>
      </c>
      <c r="C441" s="86" t="s">
        <v>764</v>
      </c>
      <c r="F441" s="102">
        <f>E441</f>
        <v>0</v>
      </c>
      <c r="G441" s="103"/>
      <c r="H441" s="103"/>
      <c r="I441" s="103"/>
      <c r="J441" s="105"/>
      <c r="K441" s="105"/>
      <c r="L441" s="105"/>
      <c r="M441" s="105">
        <f t="shared" si="133"/>
        <v>0</v>
      </c>
      <c r="N441" s="105"/>
      <c r="O441" s="105"/>
      <c r="P441" s="105">
        <f t="shared" si="130"/>
        <v>0</v>
      </c>
      <c r="Q441" s="105"/>
      <c r="R441" s="105">
        <f t="shared" si="127"/>
        <v>0</v>
      </c>
      <c r="S441" s="105"/>
      <c r="T441" s="105">
        <f t="shared" si="131"/>
        <v>0</v>
      </c>
      <c r="U441" s="105"/>
      <c r="V441" s="91">
        <f t="shared" si="124"/>
        <v>0</v>
      </c>
      <c r="W441" s="105"/>
      <c r="X441" s="105">
        <f t="shared" si="128"/>
        <v>0</v>
      </c>
      <c r="Y441" s="105"/>
      <c r="Z441" s="105">
        <f t="shared" si="129"/>
        <v>0</v>
      </c>
      <c r="AA441" s="105"/>
      <c r="AB441" s="105">
        <f t="shared" si="134"/>
        <v>0</v>
      </c>
      <c r="AC441" s="105"/>
      <c r="AD441" s="105">
        <f t="shared" si="125"/>
        <v>0</v>
      </c>
      <c r="AE441" s="105"/>
      <c r="AF441" s="105">
        <f t="shared" si="126"/>
        <v>0</v>
      </c>
      <c r="AG441" s="105"/>
      <c r="AH441" s="106"/>
      <c r="AK441" s="106">
        <f t="shared" si="122"/>
        <v>0</v>
      </c>
      <c r="AL441" s="106">
        <f t="shared" si="123"/>
        <v>0</v>
      </c>
      <c r="AQ441" s="107"/>
      <c r="AS441" s="108"/>
    </row>
    <row r="442" spans="1:45" x14ac:dyDescent="0.2">
      <c r="A442" s="85" t="s">
        <v>186</v>
      </c>
      <c r="B442" s="101"/>
      <c r="C442" s="92" t="s">
        <v>765</v>
      </c>
      <c r="D442" s="92"/>
      <c r="F442" s="104">
        <f>SUM(F441)</f>
        <v>0</v>
      </c>
      <c r="G442" s="104">
        <f>F442</f>
        <v>0</v>
      </c>
      <c r="H442" s="105">
        <f>VLOOKUP(A442,Data!$A$2:$Z$179,24,FALSE)</f>
        <v>27</v>
      </c>
      <c r="I442" s="105">
        <f>VLOOKUP(A442,Data!$A$2:$Z$179,25,FALSE)</f>
        <v>4.0030000000000001</v>
      </c>
      <c r="J442" s="105">
        <f>VLOOKUP(A442,Data!$A$2:$Z$179,7,FALSE)</f>
        <v>22.997</v>
      </c>
      <c r="K442" s="105">
        <f>$F442*J442</f>
        <v>0</v>
      </c>
      <c r="L442" s="105">
        <f>VLOOKUP(A442,Data!$A$2:$Z$179,8,FALSE)</f>
        <v>0</v>
      </c>
      <c r="M442" s="105">
        <f>L442*F442</f>
        <v>0</v>
      </c>
      <c r="N442" s="105">
        <f>VLOOKUP(A442,Data!$A$2:$Z$179,9,FALSE)</f>
        <v>0</v>
      </c>
      <c r="O442" s="105">
        <f>VLOOKUP(A441,Data!$A$2:$Z$179,10,FALSE)</f>
        <v>0</v>
      </c>
      <c r="P442" s="105">
        <f>O442*F442</f>
        <v>0</v>
      </c>
      <c r="Q442" s="105">
        <f>VLOOKUP(A442,Data!$A$2:$Z$179,11,FALSE)</f>
        <v>0</v>
      </c>
      <c r="R442" s="105">
        <f t="shared" si="127"/>
        <v>0</v>
      </c>
      <c r="S442" s="105">
        <f>VLOOKUP(A442,Data!$A$2:$Z$179,12,FALSE)</f>
        <v>0.81700000000000006</v>
      </c>
      <c r="T442" s="105">
        <f>S442*F442</f>
        <v>0</v>
      </c>
      <c r="U442" s="105">
        <f>VLOOKUP(A442,Data!$A$2:$Z$179,13,FALSE)</f>
        <v>0</v>
      </c>
      <c r="V442" s="91">
        <f t="shared" si="124"/>
        <v>0</v>
      </c>
      <c r="W442" s="105">
        <f>VLOOKUP(A442,Data!$A$2:$Z$179,22,FALSE)</f>
        <v>0</v>
      </c>
      <c r="X442" s="105">
        <f>W442*F442</f>
        <v>0</v>
      </c>
      <c r="Y442" s="105">
        <f>VLOOKUP(A442,Data!$A$2:$Z$179,19,FALSE)</f>
        <v>0</v>
      </c>
      <c r="Z442" s="105">
        <f t="shared" si="129"/>
        <v>0</v>
      </c>
      <c r="AA442" s="105">
        <f>VLOOKUP(A442,Data!$A$2:$Z$179,20,FALSE)</f>
        <v>0</v>
      </c>
      <c r="AB442" s="105">
        <f t="shared" si="134"/>
        <v>0</v>
      </c>
      <c r="AC442" s="105">
        <f>VLOOKUP(A442,Data!$A$2:$Z$179,21,FALSE)</f>
        <v>0</v>
      </c>
      <c r="AD442" s="105">
        <f t="shared" si="125"/>
        <v>0</v>
      </c>
      <c r="AE442" s="105">
        <f>J442+L442+N442+O442+Q442+S442+U442+W442+Y442+AA442+AC442</f>
        <v>23.814</v>
      </c>
      <c r="AF442" s="105">
        <f t="shared" si="126"/>
        <v>0</v>
      </c>
      <c r="AG442" s="105"/>
      <c r="AH442" s="106">
        <f>AE442-S442-W442</f>
        <v>22.997</v>
      </c>
      <c r="AI442" s="85">
        <f>AH442/AE442</f>
        <v>0.96569244981943392</v>
      </c>
      <c r="AK442" s="106">
        <f t="shared" si="122"/>
        <v>0.81700000000000006</v>
      </c>
      <c r="AL442" s="106">
        <f t="shared" si="123"/>
        <v>0.81700000000000006</v>
      </c>
      <c r="AQ442" s="107"/>
      <c r="AS442" s="108"/>
    </row>
    <row r="443" spans="1:45" x14ac:dyDescent="0.2">
      <c r="B443" s="101"/>
      <c r="C443" s="92"/>
      <c r="D443" s="92"/>
      <c r="F443" s="109"/>
      <c r="G443" s="109"/>
      <c r="H443" s="109"/>
      <c r="I443" s="109"/>
      <c r="J443" s="105"/>
      <c r="K443" s="105"/>
      <c r="L443" s="105"/>
      <c r="M443" s="105">
        <f t="shared" si="133"/>
        <v>0</v>
      </c>
      <c r="N443" s="105"/>
      <c r="O443" s="105"/>
      <c r="P443" s="105">
        <f t="shared" si="130"/>
        <v>0</v>
      </c>
      <c r="Q443" s="105"/>
      <c r="R443" s="105">
        <f t="shared" si="127"/>
        <v>0</v>
      </c>
      <c r="S443" s="105"/>
      <c r="T443" s="105">
        <f t="shared" si="131"/>
        <v>0</v>
      </c>
      <c r="U443" s="105"/>
      <c r="V443" s="91">
        <f t="shared" si="124"/>
        <v>0</v>
      </c>
      <c r="W443" s="105"/>
      <c r="X443" s="105">
        <f t="shared" si="128"/>
        <v>0</v>
      </c>
      <c r="Y443" s="105"/>
      <c r="Z443" s="105">
        <f t="shared" si="129"/>
        <v>0</v>
      </c>
      <c r="AA443" s="105"/>
      <c r="AB443" s="105">
        <f t="shared" si="134"/>
        <v>0</v>
      </c>
      <c r="AC443" s="105"/>
      <c r="AD443" s="105">
        <f t="shared" si="125"/>
        <v>0</v>
      </c>
      <c r="AE443" s="105"/>
      <c r="AF443" s="105">
        <f t="shared" si="126"/>
        <v>0</v>
      </c>
      <c r="AG443" s="105"/>
      <c r="AH443" s="106"/>
      <c r="AK443" s="106">
        <f t="shared" si="122"/>
        <v>0</v>
      </c>
      <c r="AL443" s="106">
        <f t="shared" si="123"/>
        <v>0</v>
      </c>
      <c r="AQ443" s="107"/>
      <c r="AR443" s="112"/>
      <c r="AS443" s="108"/>
    </row>
    <row r="444" spans="1:45" x14ac:dyDescent="0.2">
      <c r="A444" s="85" t="s">
        <v>187</v>
      </c>
      <c r="B444" s="101" t="s">
        <v>188</v>
      </c>
      <c r="C444" s="86" t="s">
        <v>766</v>
      </c>
      <c r="F444" s="102">
        <f>E444</f>
        <v>0</v>
      </c>
      <c r="G444" s="103"/>
      <c r="H444" s="103"/>
      <c r="I444" s="103"/>
      <c r="J444" s="105"/>
      <c r="K444" s="105"/>
      <c r="L444" s="105"/>
      <c r="M444" s="105">
        <f t="shared" si="133"/>
        <v>0</v>
      </c>
      <c r="N444" s="105"/>
      <c r="O444" s="105"/>
      <c r="P444" s="105">
        <f t="shared" si="130"/>
        <v>0</v>
      </c>
      <c r="Q444" s="105"/>
      <c r="R444" s="105">
        <f t="shared" si="127"/>
        <v>0</v>
      </c>
      <c r="S444" s="105"/>
      <c r="T444" s="105">
        <f t="shared" si="131"/>
        <v>0</v>
      </c>
      <c r="U444" s="105"/>
      <c r="V444" s="91">
        <f t="shared" si="124"/>
        <v>0</v>
      </c>
      <c r="W444" s="105"/>
      <c r="X444" s="105">
        <f t="shared" si="128"/>
        <v>0</v>
      </c>
      <c r="Y444" s="105"/>
      <c r="Z444" s="105">
        <f t="shared" si="129"/>
        <v>0</v>
      </c>
      <c r="AA444" s="105"/>
      <c r="AB444" s="105">
        <f t="shared" si="134"/>
        <v>0</v>
      </c>
      <c r="AC444" s="105"/>
      <c r="AD444" s="105">
        <f t="shared" si="125"/>
        <v>0</v>
      </c>
      <c r="AE444" s="105"/>
      <c r="AF444" s="105">
        <f t="shared" si="126"/>
        <v>0</v>
      </c>
      <c r="AG444" s="105"/>
      <c r="AH444" s="106"/>
      <c r="AK444" s="106">
        <f t="shared" si="122"/>
        <v>0</v>
      </c>
      <c r="AL444" s="106">
        <f t="shared" si="123"/>
        <v>0</v>
      </c>
      <c r="AQ444" s="107"/>
      <c r="AR444" s="112"/>
      <c r="AS444" s="108"/>
    </row>
    <row r="445" spans="1:45" x14ac:dyDescent="0.2">
      <c r="A445" s="85" t="s">
        <v>187</v>
      </c>
      <c r="B445" s="101"/>
      <c r="C445" s="92" t="s">
        <v>767</v>
      </c>
      <c r="D445" s="92"/>
      <c r="F445" s="104">
        <f>SUM(F444)</f>
        <v>0</v>
      </c>
      <c r="G445" s="104">
        <f>F445</f>
        <v>0</v>
      </c>
      <c r="H445" s="105">
        <f>VLOOKUP(A445,Data!$A$2:$Z$179,24,FALSE)</f>
        <v>27</v>
      </c>
      <c r="I445" s="105">
        <f>VLOOKUP(A445,Data!$A$2:$Z$179,25,FALSE)</f>
        <v>7.0690000000000008</v>
      </c>
      <c r="J445" s="105">
        <f>VLOOKUP(A445,Data!$A$2:$Z$179,7,FALSE)</f>
        <v>19.931000000000001</v>
      </c>
      <c r="K445" s="105">
        <f>$F445*J445</f>
        <v>0</v>
      </c>
      <c r="L445" s="105">
        <f>VLOOKUP(A445,Data!$A$2:$Z$179,8,FALSE)</f>
        <v>0</v>
      </c>
      <c r="M445" s="105">
        <f>L445*F445</f>
        <v>0</v>
      </c>
      <c r="N445" s="105">
        <f>VLOOKUP(A445,Data!$A$2:$Z$179,9,FALSE)</f>
        <v>0</v>
      </c>
      <c r="O445" s="105">
        <f>VLOOKUP(A444,Data!$A$2:$Z$179,10,FALSE)</f>
        <v>0</v>
      </c>
      <c r="P445" s="105">
        <f>O445*F445</f>
        <v>0</v>
      </c>
      <c r="Q445" s="105">
        <f>VLOOKUP(A445,Data!$A$2:$Z$179,11,FALSE)</f>
        <v>0</v>
      </c>
      <c r="R445" s="105">
        <f t="shared" si="127"/>
        <v>0</v>
      </c>
      <c r="S445" s="105">
        <f>VLOOKUP(A445,Data!$A$2:$Z$179,12,FALSE)</f>
        <v>18.073</v>
      </c>
      <c r="T445" s="105">
        <f>S445*F445</f>
        <v>0</v>
      </c>
      <c r="U445" s="105">
        <f>VLOOKUP(A445,Data!$A$2:$Z$179,13,FALSE)</f>
        <v>0.50052471158353284</v>
      </c>
      <c r="V445" s="91">
        <f t="shared" si="124"/>
        <v>0</v>
      </c>
      <c r="W445" s="105">
        <f>VLOOKUP(A445,Data!$A$2:$Z$179,22,FALSE)</f>
        <v>0</v>
      </c>
      <c r="X445" s="105">
        <f>W445*F445</f>
        <v>0</v>
      </c>
      <c r="Y445" s="105">
        <f>VLOOKUP(A445,Data!$A$2:$Z$179,19,FALSE)</f>
        <v>0</v>
      </c>
      <c r="Z445" s="105">
        <f t="shared" si="129"/>
        <v>0</v>
      </c>
      <c r="AA445" s="105">
        <f>VLOOKUP(A445,Data!$A$2:$Z$179,20,FALSE)</f>
        <v>0</v>
      </c>
      <c r="AB445" s="105">
        <f t="shared" si="134"/>
        <v>0</v>
      </c>
      <c r="AC445" s="105">
        <f>VLOOKUP(A445,Data!$A$2:$Z$179,21,FALSE)</f>
        <v>0</v>
      </c>
      <c r="AD445" s="105">
        <f t="shared" si="125"/>
        <v>0</v>
      </c>
      <c r="AE445" s="105">
        <f>J445+L445+N445+O445+Q445+S445+U445+W445+Y445+AA445+AC445</f>
        <v>38.504524711583535</v>
      </c>
      <c r="AF445" s="105">
        <f t="shared" si="126"/>
        <v>0</v>
      </c>
      <c r="AG445" s="105"/>
      <c r="AH445" s="106">
        <f>AE445-S445-W445</f>
        <v>20.431524711583535</v>
      </c>
      <c r="AI445" s="85">
        <f>AH445/AE445</f>
        <v>0.53062659167006943</v>
      </c>
      <c r="AK445" s="106">
        <f t="shared" si="122"/>
        <v>18.073</v>
      </c>
      <c r="AL445" s="106">
        <f t="shared" si="123"/>
        <v>18.073</v>
      </c>
      <c r="AQ445" s="107"/>
      <c r="AR445" s="112"/>
      <c r="AS445" s="108"/>
    </row>
    <row r="446" spans="1:45" x14ac:dyDescent="0.2">
      <c r="B446" s="101"/>
      <c r="C446" s="92"/>
      <c r="D446" s="92"/>
      <c r="F446" s="109"/>
      <c r="G446" s="109"/>
      <c r="H446" s="109"/>
      <c r="I446" s="109"/>
      <c r="J446" s="105"/>
      <c r="K446" s="105"/>
      <c r="L446" s="105"/>
      <c r="M446" s="105">
        <f t="shared" si="133"/>
        <v>0</v>
      </c>
      <c r="N446" s="105"/>
      <c r="O446" s="105"/>
      <c r="P446" s="105">
        <f t="shared" si="130"/>
        <v>0</v>
      </c>
      <c r="Q446" s="105"/>
      <c r="R446" s="105">
        <f t="shared" si="127"/>
        <v>0</v>
      </c>
      <c r="S446" s="105"/>
      <c r="T446" s="105">
        <f t="shared" si="131"/>
        <v>0</v>
      </c>
      <c r="U446" s="105"/>
      <c r="V446" s="91">
        <f t="shared" si="124"/>
        <v>0</v>
      </c>
      <c r="W446" s="105"/>
      <c r="X446" s="105">
        <f t="shared" si="128"/>
        <v>0</v>
      </c>
      <c r="Y446" s="105"/>
      <c r="Z446" s="105">
        <f t="shared" si="129"/>
        <v>0</v>
      </c>
      <c r="AA446" s="105"/>
      <c r="AB446" s="105">
        <f t="shared" si="134"/>
        <v>0</v>
      </c>
      <c r="AC446" s="105"/>
      <c r="AD446" s="105">
        <f t="shared" si="125"/>
        <v>0</v>
      </c>
      <c r="AE446" s="105"/>
      <c r="AF446" s="105">
        <f t="shared" si="126"/>
        <v>0</v>
      </c>
      <c r="AG446" s="105"/>
      <c r="AH446" s="106"/>
      <c r="AK446" s="106">
        <f t="shared" si="122"/>
        <v>0</v>
      </c>
      <c r="AL446" s="106">
        <f t="shared" si="123"/>
        <v>0</v>
      </c>
      <c r="AQ446" s="107"/>
      <c r="AR446" s="112"/>
      <c r="AS446" s="108"/>
    </row>
    <row r="447" spans="1:45" x14ac:dyDescent="0.2">
      <c r="A447" s="85" t="s">
        <v>189</v>
      </c>
      <c r="B447" s="101" t="s">
        <v>188</v>
      </c>
      <c r="C447" s="86" t="s">
        <v>768</v>
      </c>
      <c r="F447" s="102">
        <f>E447</f>
        <v>0</v>
      </c>
      <c r="G447" s="103"/>
      <c r="H447" s="103"/>
      <c r="I447" s="103"/>
      <c r="J447" s="105"/>
      <c r="K447" s="105"/>
      <c r="L447" s="105"/>
      <c r="M447" s="105">
        <f t="shared" si="133"/>
        <v>0</v>
      </c>
      <c r="N447" s="105"/>
      <c r="O447" s="105"/>
      <c r="P447" s="105">
        <f t="shared" si="130"/>
        <v>0</v>
      </c>
      <c r="Q447" s="105"/>
      <c r="R447" s="105">
        <f t="shared" si="127"/>
        <v>0</v>
      </c>
      <c r="S447" s="105"/>
      <c r="T447" s="105">
        <f t="shared" si="131"/>
        <v>0</v>
      </c>
      <c r="U447" s="105"/>
      <c r="V447" s="91">
        <f t="shared" si="124"/>
        <v>0</v>
      </c>
      <c r="W447" s="105"/>
      <c r="X447" s="105">
        <f t="shared" si="128"/>
        <v>0</v>
      </c>
      <c r="Y447" s="105"/>
      <c r="Z447" s="105">
        <f t="shared" si="129"/>
        <v>0</v>
      </c>
      <c r="AA447" s="105"/>
      <c r="AB447" s="105">
        <f t="shared" si="134"/>
        <v>0</v>
      </c>
      <c r="AC447" s="105"/>
      <c r="AD447" s="105">
        <f t="shared" si="125"/>
        <v>0</v>
      </c>
      <c r="AE447" s="105"/>
      <c r="AF447" s="105">
        <f t="shared" si="126"/>
        <v>0</v>
      </c>
      <c r="AG447" s="105"/>
      <c r="AH447" s="106"/>
      <c r="AK447" s="106">
        <f t="shared" si="122"/>
        <v>0</v>
      </c>
      <c r="AL447" s="106">
        <f t="shared" si="123"/>
        <v>0</v>
      </c>
      <c r="AQ447" s="107"/>
      <c r="AS447" s="108"/>
    </row>
    <row r="448" spans="1:45" x14ac:dyDescent="0.2">
      <c r="A448" s="85" t="s">
        <v>189</v>
      </c>
      <c r="B448" s="101"/>
      <c r="C448" s="92" t="s">
        <v>769</v>
      </c>
      <c r="D448" s="92"/>
      <c r="F448" s="104">
        <f>SUM(F447)</f>
        <v>0</v>
      </c>
      <c r="G448" s="104">
        <f>F448</f>
        <v>0</v>
      </c>
      <c r="H448" s="105">
        <f>VLOOKUP(A448,Data!$A$2:$Z$179,24,FALSE)</f>
        <v>21.643000000000001</v>
      </c>
      <c r="I448" s="105">
        <f>VLOOKUP(A448,Data!$A$2:$Z$179,25,FALSE)</f>
        <v>7.7149999999999999</v>
      </c>
      <c r="J448" s="105">
        <f>VLOOKUP(A448,Data!$A$2:$Z$179,7,FALSE)</f>
        <v>13.928000000000001</v>
      </c>
      <c r="K448" s="105">
        <f>$F448*J448</f>
        <v>0</v>
      </c>
      <c r="L448" s="105">
        <f>VLOOKUP(A448,Data!$A$2:$Z$179,8,FALSE)</f>
        <v>0</v>
      </c>
      <c r="M448" s="105">
        <f>L448*F448</f>
        <v>0</v>
      </c>
      <c r="N448" s="105">
        <f>VLOOKUP(A448,Data!$A$2:$Z$179,9,FALSE)</f>
        <v>0</v>
      </c>
      <c r="O448" s="105">
        <f>VLOOKUP(A447,Data!$A$2:$Z$179,10,FALSE)</f>
        <v>0</v>
      </c>
      <c r="P448" s="105">
        <f>O448*F448</f>
        <v>0</v>
      </c>
      <c r="Q448" s="105">
        <f>VLOOKUP(A448,Data!$A$2:$Z$179,11,FALSE)</f>
        <v>0</v>
      </c>
      <c r="R448" s="105">
        <f t="shared" si="127"/>
        <v>0</v>
      </c>
      <c r="S448" s="105">
        <f>VLOOKUP(A448,Data!$A$2:$Z$179,12,FALSE)</f>
        <v>4.0609999999999999</v>
      </c>
      <c r="T448" s="105">
        <f>S448*F448</f>
        <v>0</v>
      </c>
      <c r="U448" s="105">
        <f>VLOOKUP(A448,Data!$A$2:$Z$179,13,FALSE)</f>
        <v>3.4057072935965951E-2</v>
      </c>
      <c r="V448" s="91">
        <f t="shared" si="124"/>
        <v>0</v>
      </c>
      <c r="W448" s="105">
        <f>VLOOKUP(A448,Data!$A$2:$Z$179,22,FALSE)</f>
        <v>0</v>
      </c>
      <c r="X448" s="105">
        <f>W448*F448</f>
        <v>0</v>
      </c>
      <c r="Y448" s="105">
        <f>VLOOKUP(A448,Data!$A$2:$Z$179,19,FALSE)</f>
        <v>0</v>
      </c>
      <c r="Z448" s="105">
        <f t="shared" si="129"/>
        <v>0</v>
      </c>
      <c r="AA448" s="105">
        <f>VLOOKUP(A448,Data!$A$2:$Z$179,20,FALSE)</f>
        <v>0</v>
      </c>
      <c r="AB448" s="105">
        <f t="shared" si="134"/>
        <v>0</v>
      </c>
      <c r="AC448" s="105">
        <f>VLOOKUP(A448,Data!$A$2:$Z$179,21,FALSE)</f>
        <v>0</v>
      </c>
      <c r="AD448" s="105">
        <f t="shared" si="125"/>
        <v>0</v>
      </c>
      <c r="AE448" s="105">
        <f>J448+L448+N448+O448+Q448+S448+U448+W448+Y448+AA448+AC448</f>
        <v>18.023057072935966</v>
      </c>
      <c r="AF448" s="105">
        <f t="shared" si="126"/>
        <v>0</v>
      </c>
      <c r="AG448" s="105"/>
      <c r="AH448" s="106">
        <f>AE448-S448-W448</f>
        <v>13.962057072935966</v>
      </c>
      <c r="AI448" s="85">
        <f>AH448/AE448</f>
        <v>0.77467751538676888</v>
      </c>
      <c r="AK448" s="106">
        <f t="shared" si="122"/>
        <v>4.0609999999999999</v>
      </c>
      <c r="AL448" s="106">
        <f t="shared" si="123"/>
        <v>4.0609999999999999</v>
      </c>
      <c r="AQ448" s="107"/>
      <c r="AS448" s="108"/>
    </row>
    <row r="449" spans="1:45" x14ac:dyDescent="0.2">
      <c r="B449" s="101"/>
      <c r="C449" s="92"/>
      <c r="D449" s="92"/>
      <c r="F449" s="109"/>
      <c r="G449" s="109"/>
      <c r="H449" s="109"/>
      <c r="I449" s="109"/>
      <c r="J449" s="105"/>
      <c r="K449" s="105"/>
      <c r="L449" s="105"/>
      <c r="M449" s="105">
        <f t="shared" si="133"/>
        <v>0</v>
      </c>
      <c r="N449" s="105"/>
      <c r="O449" s="105"/>
      <c r="P449" s="105">
        <f t="shared" si="130"/>
        <v>0</v>
      </c>
      <c r="Q449" s="105"/>
      <c r="R449" s="105">
        <f t="shared" si="127"/>
        <v>0</v>
      </c>
      <c r="S449" s="105"/>
      <c r="T449" s="105">
        <f t="shared" si="131"/>
        <v>0</v>
      </c>
      <c r="U449" s="105"/>
      <c r="V449" s="91">
        <f t="shared" si="124"/>
        <v>0</v>
      </c>
      <c r="W449" s="105"/>
      <c r="X449" s="105">
        <f t="shared" si="128"/>
        <v>0</v>
      </c>
      <c r="Y449" s="105"/>
      <c r="Z449" s="105">
        <f t="shared" si="129"/>
        <v>0</v>
      </c>
      <c r="AA449" s="105"/>
      <c r="AB449" s="105">
        <f t="shared" si="134"/>
        <v>0</v>
      </c>
      <c r="AC449" s="105"/>
      <c r="AD449" s="105">
        <f t="shared" si="125"/>
        <v>0</v>
      </c>
      <c r="AE449" s="105"/>
      <c r="AF449" s="105">
        <f t="shared" si="126"/>
        <v>0</v>
      </c>
      <c r="AG449" s="105"/>
      <c r="AH449" s="106"/>
      <c r="AK449" s="106">
        <f t="shared" si="122"/>
        <v>0</v>
      </c>
      <c r="AL449" s="106">
        <f t="shared" si="123"/>
        <v>0</v>
      </c>
      <c r="AQ449" s="107"/>
      <c r="AS449" s="108"/>
    </row>
    <row r="450" spans="1:45" x14ac:dyDescent="0.2">
      <c r="A450" s="112" t="s">
        <v>190</v>
      </c>
      <c r="B450" s="101" t="s">
        <v>191</v>
      </c>
      <c r="C450" s="113" t="s">
        <v>770</v>
      </c>
      <c r="F450" s="102">
        <f>E450</f>
        <v>0</v>
      </c>
      <c r="G450" s="103"/>
      <c r="H450" s="103"/>
      <c r="I450" s="103"/>
      <c r="J450" s="105"/>
      <c r="K450" s="105"/>
      <c r="L450" s="105"/>
      <c r="M450" s="105">
        <f t="shared" si="133"/>
        <v>0</v>
      </c>
      <c r="N450" s="105"/>
      <c r="O450" s="105"/>
      <c r="P450" s="105">
        <f t="shared" si="130"/>
        <v>0</v>
      </c>
      <c r="Q450" s="105"/>
      <c r="R450" s="105">
        <f t="shared" si="127"/>
        <v>0</v>
      </c>
      <c r="S450" s="105"/>
      <c r="T450" s="105">
        <f t="shared" si="131"/>
        <v>0</v>
      </c>
      <c r="U450" s="105"/>
      <c r="V450" s="91">
        <f t="shared" si="124"/>
        <v>0</v>
      </c>
      <c r="W450" s="105"/>
      <c r="X450" s="105">
        <f t="shared" si="128"/>
        <v>0</v>
      </c>
      <c r="Y450" s="105"/>
      <c r="Z450" s="105">
        <f t="shared" si="129"/>
        <v>0</v>
      </c>
      <c r="AA450" s="105"/>
      <c r="AB450" s="105">
        <f t="shared" si="134"/>
        <v>0</v>
      </c>
      <c r="AC450" s="105"/>
      <c r="AD450" s="105">
        <f t="shared" si="125"/>
        <v>0</v>
      </c>
      <c r="AE450" s="105"/>
      <c r="AF450" s="105">
        <f t="shared" si="126"/>
        <v>0</v>
      </c>
      <c r="AG450" s="105"/>
      <c r="AH450" s="106"/>
      <c r="AK450" s="106">
        <f t="shared" si="122"/>
        <v>0</v>
      </c>
      <c r="AL450" s="106">
        <f t="shared" si="123"/>
        <v>0</v>
      </c>
      <c r="AQ450" s="107"/>
      <c r="AS450" s="108"/>
    </row>
    <row r="451" spans="1:45" x14ac:dyDescent="0.2">
      <c r="A451" s="112" t="s">
        <v>190</v>
      </c>
      <c r="B451" s="101"/>
      <c r="C451" s="92" t="s">
        <v>771</v>
      </c>
      <c r="D451" s="92"/>
      <c r="F451" s="104">
        <f>SUM(F450)</f>
        <v>0</v>
      </c>
      <c r="G451" s="104">
        <f>F451</f>
        <v>0</v>
      </c>
      <c r="H451" s="105">
        <f>VLOOKUP(A451,Data!$A$2:$Z$179,24,FALSE)</f>
        <v>27</v>
      </c>
      <c r="I451" s="105">
        <f>VLOOKUP(A451,Data!$A$2:$Z$179,25,FALSE)</f>
        <v>8.3379999999999992</v>
      </c>
      <c r="J451" s="105">
        <f>VLOOKUP(A451,Data!$A$2:$Z$179,7,FALSE)</f>
        <v>18.661999999999999</v>
      </c>
      <c r="K451" s="105">
        <f>$F451*J451</f>
        <v>0</v>
      </c>
      <c r="L451" s="105">
        <f>VLOOKUP(A451,Data!$A$2:$Z$179,8,FALSE)</f>
        <v>0</v>
      </c>
      <c r="M451" s="105">
        <f>L451*F451</f>
        <v>0</v>
      </c>
      <c r="N451" s="105">
        <f>VLOOKUP(A451,Data!$A$2:$Z$179,9,FALSE)</f>
        <v>0</v>
      </c>
      <c r="O451" s="105">
        <f>VLOOKUP(A450,Data!$A$2:$Z$179,10,FALSE)</f>
        <v>0</v>
      </c>
      <c r="P451" s="105">
        <f>O451*F451</f>
        <v>0</v>
      </c>
      <c r="Q451" s="105">
        <f>VLOOKUP(A451,Data!$A$2:$Z$179,11,FALSE)</f>
        <v>0</v>
      </c>
      <c r="R451" s="105">
        <f t="shared" si="127"/>
        <v>0</v>
      </c>
      <c r="S451" s="105">
        <f>VLOOKUP(A451,Data!$A$2:$Z$179,12,FALSE)</f>
        <v>3.0309999999999997</v>
      </c>
      <c r="T451" s="105">
        <f>S451*F451</f>
        <v>0</v>
      </c>
      <c r="U451" s="105">
        <f>VLOOKUP(A451,Data!$A$2:$Z$179,13,FALSE)</f>
        <v>5.7154237852714812E-2</v>
      </c>
      <c r="V451" s="91">
        <f t="shared" si="124"/>
        <v>0</v>
      </c>
      <c r="W451" s="105">
        <f>VLOOKUP(A451,Data!$A$2:$Z$179,22,FALSE)</f>
        <v>0</v>
      </c>
      <c r="X451" s="105">
        <f>W451*F451</f>
        <v>0</v>
      </c>
      <c r="Y451" s="105">
        <f>VLOOKUP(A451,Data!$A$2:$Z$179,19,FALSE)</f>
        <v>0</v>
      </c>
      <c r="Z451" s="105">
        <f t="shared" si="129"/>
        <v>0</v>
      </c>
      <c r="AA451" s="105">
        <f>VLOOKUP(A451,Data!$A$2:$Z$179,20,FALSE)</f>
        <v>0</v>
      </c>
      <c r="AB451" s="105">
        <f t="shared" si="134"/>
        <v>0</v>
      </c>
      <c r="AC451" s="105">
        <f>VLOOKUP(A451,Data!$A$2:$Z$179,21,FALSE)</f>
        <v>0</v>
      </c>
      <c r="AD451" s="105">
        <f t="shared" si="125"/>
        <v>0</v>
      </c>
      <c r="AE451" s="105">
        <f>J451+L451+N451+O451+Q451+S451+U451+W451+Y451+AA451+AC451</f>
        <v>21.750154237852712</v>
      </c>
      <c r="AF451" s="105">
        <f t="shared" si="126"/>
        <v>0</v>
      </c>
      <c r="AG451" s="105"/>
      <c r="AH451" s="106">
        <f>AE451-S451-W451</f>
        <v>18.719154237852713</v>
      </c>
      <c r="AI451" s="85">
        <f>AH451/AE451</f>
        <v>0.86064466638470905</v>
      </c>
      <c r="AK451" s="106">
        <f t="shared" si="122"/>
        <v>3.0309999999999997</v>
      </c>
      <c r="AL451" s="106">
        <f t="shared" si="123"/>
        <v>3.0309999999999997</v>
      </c>
      <c r="AQ451" s="107"/>
      <c r="AS451" s="108"/>
    </row>
    <row r="452" spans="1:45" x14ac:dyDescent="0.2">
      <c r="B452" s="101"/>
      <c r="C452" s="92"/>
      <c r="D452" s="92"/>
      <c r="F452" s="109"/>
      <c r="G452" s="109"/>
      <c r="H452" s="109"/>
      <c r="I452" s="109"/>
      <c r="J452" s="105"/>
      <c r="K452" s="105"/>
      <c r="L452" s="105"/>
      <c r="M452" s="105">
        <f t="shared" si="133"/>
        <v>0</v>
      </c>
      <c r="N452" s="105"/>
      <c r="O452" s="105"/>
      <c r="P452" s="105">
        <f t="shared" si="130"/>
        <v>0</v>
      </c>
      <c r="Q452" s="105"/>
      <c r="R452" s="105">
        <f t="shared" si="127"/>
        <v>0</v>
      </c>
      <c r="S452" s="105"/>
      <c r="T452" s="105">
        <f t="shared" si="131"/>
        <v>0</v>
      </c>
      <c r="U452" s="105"/>
      <c r="V452" s="91">
        <f t="shared" si="124"/>
        <v>0</v>
      </c>
      <c r="W452" s="105"/>
      <c r="X452" s="105">
        <f t="shared" si="128"/>
        <v>0</v>
      </c>
      <c r="Y452" s="105"/>
      <c r="Z452" s="105">
        <f t="shared" si="129"/>
        <v>0</v>
      </c>
      <c r="AA452" s="105"/>
      <c r="AB452" s="105">
        <f t="shared" si="134"/>
        <v>0</v>
      </c>
      <c r="AC452" s="105"/>
      <c r="AD452" s="105">
        <f t="shared" si="125"/>
        <v>0</v>
      </c>
      <c r="AE452" s="105"/>
      <c r="AF452" s="105">
        <f t="shared" si="126"/>
        <v>0</v>
      </c>
      <c r="AG452" s="105"/>
      <c r="AH452" s="106"/>
      <c r="AK452" s="106">
        <f t="shared" si="122"/>
        <v>0</v>
      </c>
      <c r="AL452" s="106">
        <f t="shared" si="123"/>
        <v>0</v>
      </c>
      <c r="AQ452" s="107"/>
      <c r="AS452" s="108"/>
    </row>
    <row r="453" spans="1:45" x14ac:dyDescent="0.2">
      <c r="A453" s="110" t="s">
        <v>192</v>
      </c>
      <c r="B453" s="101" t="s">
        <v>191</v>
      </c>
      <c r="C453" s="113" t="s">
        <v>772</v>
      </c>
      <c r="F453" s="102">
        <f>E453</f>
        <v>0</v>
      </c>
      <c r="G453" s="103"/>
      <c r="H453" s="103"/>
      <c r="I453" s="103"/>
      <c r="J453" s="105"/>
      <c r="K453" s="105"/>
      <c r="L453" s="105"/>
      <c r="M453" s="105">
        <f t="shared" si="133"/>
        <v>0</v>
      </c>
      <c r="N453" s="105"/>
      <c r="O453" s="105"/>
      <c r="P453" s="105">
        <f t="shared" si="130"/>
        <v>0</v>
      </c>
      <c r="Q453" s="105"/>
      <c r="R453" s="105">
        <f t="shared" si="127"/>
        <v>0</v>
      </c>
      <c r="S453" s="105"/>
      <c r="T453" s="105">
        <f t="shared" si="131"/>
        <v>0</v>
      </c>
      <c r="U453" s="105"/>
      <c r="V453" s="91">
        <f t="shared" si="124"/>
        <v>0</v>
      </c>
      <c r="W453" s="105"/>
      <c r="X453" s="105">
        <f t="shared" si="128"/>
        <v>0</v>
      </c>
      <c r="Y453" s="105"/>
      <c r="Z453" s="105">
        <f t="shared" si="129"/>
        <v>0</v>
      </c>
      <c r="AA453" s="105"/>
      <c r="AB453" s="105">
        <f t="shared" si="134"/>
        <v>0</v>
      </c>
      <c r="AC453" s="105"/>
      <c r="AD453" s="105">
        <f t="shared" si="125"/>
        <v>0</v>
      </c>
      <c r="AE453" s="105"/>
      <c r="AF453" s="105">
        <f t="shared" si="126"/>
        <v>0</v>
      </c>
      <c r="AG453" s="105"/>
      <c r="AH453" s="106"/>
      <c r="AK453" s="106">
        <f t="shared" si="122"/>
        <v>0</v>
      </c>
      <c r="AL453" s="106">
        <f t="shared" si="123"/>
        <v>0</v>
      </c>
      <c r="AQ453" s="107"/>
      <c r="AR453" s="112"/>
      <c r="AS453" s="108"/>
    </row>
    <row r="454" spans="1:45" x14ac:dyDescent="0.2">
      <c r="A454" s="110" t="s">
        <v>192</v>
      </c>
      <c r="B454" s="101"/>
      <c r="C454" s="92" t="s">
        <v>773</v>
      </c>
      <c r="D454" s="92"/>
      <c r="F454" s="104">
        <f>SUM(F453)</f>
        <v>0</v>
      </c>
      <c r="G454" s="104">
        <f>F454</f>
        <v>0</v>
      </c>
      <c r="H454" s="105">
        <f>VLOOKUP(A454,Data!$A$2:$Z$179,24,FALSE)</f>
        <v>12.173</v>
      </c>
      <c r="I454" s="105">
        <f>VLOOKUP(A454,Data!$A$2:$Z$179,25,FALSE)</f>
        <v>0</v>
      </c>
      <c r="J454" s="105">
        <f>VLOOKUP(A454,Data!$A$2:$Z$179,7,FALSE)</f>
        <v>12.173</v>
      </c>
      <c r="K454" s="105">
        <f>$F454*J454</f>
        <v>0</v>
      </c>
      <c r="L454" s="105">
        <f>VLOOKUP(A454,Data!$A$2:$Z$179,8,FALSE)</f>
        <v>0</v>
      </c>
      <c r="M454" s="105">
        <f>L454*F454</f>
        <v>0</v>
      </c>
      <c r="N454" s="105">
        <f>VLOOKUP(A454,Data!$A$2:$Z$179,9,FALSE)</f>
        <v>0</v>
      </c>
      <c r="O454" s="105">
        <f>VLOOKUP(A453,Data!$A$2:$Z$179,10,FALSE)</f>
        <v>1.4179999999999999</v>
      </c>
      <c r="P454" s="105">
        <f>O454*F454</f>
        <v>0</v>
      </c>
      <c r="Q454" s="105">
        <f>VLOOKUP(A454,Data!$A$2:$Z$179,11,FALSE)</f>
        <v>0</v>
      </c>
      <c r="R454" s="105">
        <f t="shared" si="127"/>
        <v>0</v>
      </c>
      <c r="S454" s="105">
        <f>VLOOKUP(A454,Data!$A$2:$Z$179,12,FALSE)</f>
        <v>0.53300000000000003</v>
      </c>
      <c r="T454" s="105">
        <f>S454*F454</f>
        <v>0</v>
      </c>
      <c r="U454" s="105">
        <f>VLOOKUP(A454,Data!$A$2:$Z$179,13,FALSE)</f>
        <v>0.11602795964294606</v>
      </c>
      <c r="V454" s="91">
        <f t="shared" si="124"/>
        <v>0</v>
      </c>
      <c r="W454" s="105">
        <f>VLOOKUP(A454,Data!$A$2:$Z$179,22,FALSE)</f>
        <v>0</v>
      </c>
      <c r="X454" s="105">
        <f>W454*F454</f>
        <v>0</v>
      </c>
      <c r="Y454" s="105">
        <f>VLOOKUP(A454,Data!$A$2:$Z$179,19,FALSE)</f>
        <v>0</v>
      </c>
      <c r="Z454" s="105">
        <f t="shared" si="129"/>
        <v>0</v>
      </c>
      <c r="AA454" s="105">
        <f>VLOOKUP(A454,Data!$A$2:$Z$179,20,FALSE)</f>
        <v>0</v>
      </c>
      <c r="AB454" s="105">
        <f t="shared" si="134"/>
        <v>0</v>
      </c>
      <c r="AC454" s="105">
        <f>VLOOKUP(A454,Data!$A$2:$Z$179,21,FALSE)</f>
        <v>0</v>
      </c>
      <c r="AD454" s="105">
        <f t="shared" si="125"/>
        <v>0</v>
      </c>
      <c r="AE454" s="105">
        <f>J454+L454+N454+O454+Q454+S454+U454+W454+Y454+AA454+AC454</f>
        <v>14.240027959642944</v>
      </c>
      <c r="AF454" s="105">
        <f t="shared" si="126"/>
        <v>0</v>
      </c>
      <c r="AG454" s="105"/>
      <c r="AH454" s="106">
        <f>AE454-S454-W454</f>
        <v>13.707027959642945</v>
      </c>
      <c r="AI454" s="85">
        <f>AH454/AE454</f>
        <v>0.96257029821075124</v>
      </c>
      <c r="AK454" s="106">
        <f t="shared" si="122"/>
        <v>1.9510000000000001</v>
      </c>
      <c r="AL454" s="106">
        <f t="shared" si="123"/>
        <v>1.9510000000000001</v>
      </c>
      <c r="AQ454" s="107"/>
      <c r="AS454" s="108"/>
    </row>
    <row r="455" spans="1:45" x14ac:dyDescent="0.2">
      <c r="B455" s="101"/>
      <c r="C455" s="92"/>
      <c r="D455" s="92"/>
      <c r="F455" s="109"/>
      <c r="G455" s="109"/>
      <c r="H455" s="109"/>
      <c r="I455" s="109"/>
      <c r="J455" s="105"/>
      <c r="K455" s="105"/>
      <c r="L455" s="105"/>
      <c r="M455" s="105">
        <f t="shared" si="133"/>
        <v>0</v>
      </c>
      <c r="N455" s="105"/>
      <c r="O455" s="105"/>
      <c r="P455" s="105">
        <f t="shared" si="130"/>
        <v>0</v>
      </c>
      <c r="Q455" s="105"/>
      <c r="R455" s="105">
        <f t="shared" si="127"/>
        <v>0</v>
      </c>
      <c r="S455" s="105"/>
      <c r="T455" s="105">
        <f t="shared" si="131"/>
        <v>0</v>
      </c>
      <c r="U455" s="105"/>
      <c r="V455" s="91">
        <f t="shared" si="124"/>
        <v>0</v>
      </c>
      <c r="W455" s="105"/>
      <c r="X455" s="105">
        <f t="shared" si="128"/>
        <v>0</v>
      </c>
      <c r="Y455" s="105"/>
      <c r="Z455" s="105">
        <f t="shared" si="129"/>
        <v>0</v>
      </c>
      <c r="AA455" s="105"/>
      <c r="AB455" s="105">
        <f t="shared" si="134"/>
        <v>0</v>
      </c>
      <c r="AC455" s="105"/>
      <c r="AD455" s="105">
        <f t="shared" si="125"/>
        <v>0</v>
      </c>
      <c r="AE455" s="105"/>
      <c r="AF455" s="105">
        <f t="shared" si="126"/>
        <v>0</v>
      </c>
      <c r="AG455" s="105"/>
      <c r="AH455" s="106"/>
      <c r="AK455" s="106">
        <f t="shared" si="122"/>
        <v>0</v>
      </c>
      <c r="AL455" s="106">
        <f t="shared" si="123"/>
        <v>0</v>
      </c>
      <c r="AQ455" s="107"/>
      <c r="AS455" s="108"/>
    </row>
    <row r="456" spans="1:45" x14ac:dyDescent="0.2">
      <c r="A456" s="85" t="s">
        <v>193</v>
      </c>
      <c r="B456" s="101" t="s">
        <v>194</v>
      </c>
      <c r="C456" s="86" t="s">
        <v>774</v>
      </c>
      <c r="F456" s="102">
        <f>E456</f>
        <v>0</v>
      </c>
      <c r="G456" s="102"/>
      <c r="H456" s="102"/>
      <c r="I456" s="102"/>
      <c r="J456" s="105"/>
      <c r="K456" s="105"/>
      <c r="L456" s="105"/>
      <c r="M456" s="105">
        <f t="shared" si="133"/>
        <v>0</v>
      </c>
      <c r="N456" s="105"/>
      <c r="O456" s="105"/>
      <c r="P456" s="105">
        <f t="shared" si="130"/>
        <v>0</v>
      </c>
      <c r="Q456" s="105"/>
      <c r="R456" s="105">
        <f t="shared" si="127"/>
        <v>0</v>
      </c>
      <c r="S456" s="105"/>
      <c r="T456" s="105">
        <f t="shared" si="131"/>
        <v>0</v>
      </c>
      <c r="U456" s="105"/>
      <c r="V456" s="91">
        <f t="shared" si="124"/>
        <v>0</v>
      </c>
      <c r="W456" s="105"/>
      <c r="X456" s="105">
        <f t="shared" si="128"/>
        <v>0</v>
      </c>
      <c r="Y456" s="105"/>
      <c r="Z456" s="105">
        <f t="shared" si="129"/>
        <v>0</v>
      </c>
      <c r="AA456" s="105"/>
      <c r="AB456" s="105">
        <f t="shared" si="134"/>
        <v>0</v>
      </c>
      <c r="AC456" s="105"/>
      <c r="AD456" s="105">
        <f t="shared" si="125"/>
        <v>0</v>
      </c>
      <c r="AE456" s="105"/>
      <c r="AF456" s="105">
        <f t="shared" si="126"/>
        <v>0</v>
      </c>
      <c r="AG456" s="105"/>
      <c r="AH456" s="106"/>
      <c r="AK456" s="106">
        <f t="shared" ref="AK456:AK519" si="135">O456+Q456+S456</f>
        <v>0</v>
      </c>
      <c r="AL456" s="106">
        <f t="shared" ref="AL456:AL519" si="136">O456+Q456+S456</f>
        <v>0</v>
      </c>
      <c r="AQ456" s="107"/>
      <c r="AS456" s="108"/>
    </row>
    <row r="457" spans="1:45" x14ac:dyDescent="0.2">
      <c r="A457" s="85" t="s">
        <v>193</v>
      </c>
      <c r="B457" s="101" t="s">
        <v>254</v>
      </c>
      <c r="C457" s="86" t="s">
        <v>774</v>
      </c>
      <c r="F457" s="102">
        <f>E457</f>
        <v>0</v>
      </c>
      <c r="G457" s="102"/>
      <c r="H457" s="102"/>
      <c r="I457" s="102"/>
      <c r="J457" s="105"/>
      <c r="K457" s="105"/>
      <c r="L457" s="105"/>
      <c r="M457" s="105">
        <f t="shared" si="133"/>
        <v>0</v>
      </c>
      <c r="N457" s="105"/>
      <c r="O457" s="105"/>
      <c r="P457" s="105">
        <f t="shared" si="130"/>
        <v>0</v>
      </c>
      <c r="Q457" s="105"/>
      <c r="R457" s="105">
        <f t="shared" si="127"/>
        <v>0</v>
      </c>
      <c r="S457" s="105"/>
      <c r="T457" s="105">
        <f t="shared" si="131"/>
        <v>0</v>
      </c>
      <c r="U457" s="105"/>
      <c r="V457" s="91">
        <f t="shared" si="124"/>
        <v>0</v>
      </c>
      <c r="W457" s="105"/>
      <c r="X457" s="105">
        <f t="shared" si="128"/>
        <v>0</v>
      </c>
      <c r="Y457" s="105"/>
      <c r="Z457" s="105">
        <f t="shared" si="129"/>
        <v>0</v>
      </c>
      <c r="AA457" s="105"/>
      <c r="AB457" s="105">
        <f t="shared" si="134"/>
        <v>0</v>
      </c>
      <c r="AC457" s="105"/>
      <c r="AD457" s="105">
        <f t="shared" si="125"/>
        <v>0</v>
      </c>
      <c r="AE457" s="105"/>
      <c r="AF457" s="105">
        <f t="shared" si="126"/>
        <v>0</v>
      </c>
      <c r="AG457" s="105"/>
      <c r="AH457" s="106"/>
      <c r="AK457" s="106">
        <f t="shared" si="135"/>
        <v>0</v>
      </c>
      <c r="AL457" s="106">
        <f t="shared" si="136"/>
        <v>0</v>
      </c>
      <c r="AQ457" s="107"/>
      <c r="AS457" s="108"/>
    </row>
    <row r="458" spans="1:45" x14ac:dyDescent="0.2">
      <c r="A458" s="85" t="s">
        <v>193</v>
      </c>
      <c r="B458" s="101" t="s">
        <v>227</v>
      </c>
      <c r="C458" s="86" t="s">
        <v>774</v>
      </c>
      <c r="F458" s="102">
        <f>E458</f>
        <v>0</v>
      </c>
      <c r="G458" s="102"/>
      <c r="H458" s="102"/>
      <c r="I458" s="102"/>
      <c r="J458" s="105"/>
      <c r="K458" s="105"/>
      <c r="L458" s="105"/>
      <c r="M458" s="105">
        <f t="shared" si="133"/>
        <v>0</v>
      </c>
      <c r="N458" s="105"/>
      <c r="O458" s="105"/>
      <c r="P458" s="105">
        <f t="shared" si="130"/>
        <v>0</v>
      </c>
      <c r="Q458" s="105"/>
      <c r="R458" s="105">
        <f t="shared" si="127"/>
        <v>0</v>
      </c>
      <c r="S458" s="105"/>
      <c r="T458" s="105">
        <f t="shared" si="131"/>
        <v>0</v>
      </c>
      <c r="U458" s="105"/>
      <c r="V458" s="91">
        <f t="shared" si="124"/>
        <v>0</v>
      </c>
      <c r="W458" s="105"/>
      <c r="X458" s="105">
        <f t="shared" si="128"/>
        <v>0</v>
      </c>
      <c r="Y458" s="105"/>
      <c r="Z458" s="105">
        <f t="shared" si="129"/>
        <v>0</v>
      </c>
      <c r="AA458" s="105"/>
      <c r="AB458" s="105">
        <f>$F456*AA458</f>
        <v>0</v>
      </c>
      <c r="AC458" s="105"/>
      <c r="AD458" s="105">
        <f t="shared" si="125"/>
        <v>0</v>
      </c>
      <c r="AE458" s="105"/>
      <c r="AF458" s="105">
        <f t="shared" si="126"/>
        <v>0</v>
      </c>
      <c r="AG458" s="105"/>
      <c r="AH458" s="106"/>
      <c r="AK458" s="106">
        <f t="shared" si="135"/>
        <v>0</v>
      </c>
      <c r="AL458" s="106">
        <f t="shared" si="136"/>
        <v>0</v>
      </c>
      <c r="AQ458" s="107"/>
      <c r="AS458" s="108"/>
    </row>
    <row r="459" spans="1:45" x14ac:dyDescent="0.2">
      <c r="A459" s="85" t="s">
        <v>193</v>
      </c>
      <c r="B459" s="101"/>
      <c r="C459" s="92" t="s">
        <v>775</v>
      </c>
      <c r="D459" s="92"/>
      <c r="F459" s="104">
        <f>SUM(F456:F458)</f>
        <v>0</v>
      </c>
      <c r="G459" s="104">
        <f>F459</f>
        <v>0</v>
      </c>
      <c r="H459" s="105">
        <f>VLOOKUP(A459,Data!$A$2:$Z$179,24,FALSE)</f>
        <v>27</v>
      </c>
      <c r="I459" s="105">
        <f>VLOOKUP(A459,Data!$A$2:$Z$179,25,FALSE)</f>
        <v>0</v>
      </c>
      <c r="J459" s="105">
        <f>VLOOKUP(A459,Data!$A$2:$Z$179,7,FALSE)</f>
        <v>27</v>
      </c>
      <c r="K459" s="105">
        <f>$F459*J459</f>
        <v>0</v>
      </c>
      <c r="L459" s="105">
        <f>VLOOKUP(A459,Data!$A$2:$Z$179,8,FALSE)</f>
        <v>0</v>
      </c>
      <c r="M459" s="105">
        <f>L459*F459</f>
        <v>0</v>
      </c>
      <c r="N459" s="105">
        <f>VLOOKUP(A459,Data!$A$2:$Z$179,9,FALSE)</f>
        <v>0</v>
      </c>
      <c r="O459" s="105">
        <f>VLOOKUP(A458,Data!$A$2:$Z$179,10,FALSE)</f>
        <v>0</v>
      </c>
      <c r="P459" s="105">
        <f>O459*F459</f>
        <v>0</v>
      </c>
      <c r="Q459" s="105">
        <f>VLOOKUP(A459,Data!$A$2:$Z$179,11,FALSE)</f>
        <v>0</v>
      </c>
      <c r="R459" s="105">
        <f t="shared" si="127"/>
        <v>0</v>
      </c>
      <c r="S459" s="105">
        <f>VLOOKUP(A459,Data!$A$2:$Z$179,12,FALSE)</f>
        <v>5.5830000000000002</v>
      </c>
      <c r="T459" s="105">
        <f>S459*F459</f>
        <v>0</v>
      </c>
      <c r="U459" s="105">
        <f>VLOOKUP(A459,Data!$A$2:$Z$179,13,FALSE)</f>
        <v>5.0697897003364114E-4</v>
      </c>
      <c r="V459" s="91">
        <f t="shared" si="124"/>
        <v>0</v>
      </c>
      <c r="W459" s="105">
        <f>VLOOKUP(A459,Data!$A$2:$Z$179,22,FALSE)</f>
        <v>0</v>
      </c>
      <c r="X459" s="105">
        <f>W459*F459</f>
        <v>0</v>
      </c>
      <c r="Y459" s="105">
        <f>VLOOKUP(A459,Data!$A$2:$Z$179,19,FALSE)</f>
        <v>0</v>
      </c>
      <c r="Z459" s="105">
        <f t="shared" si="129"/>
        <v>0</v>
      </c>
      <c r="AA459" s="105">
        <f>VLOOKUP(A459,Data!$A$2:$Z$179,20,FALSE)</f>
        <v>0</v>
      </c>
      <c r="AB459" s="105">
        <f>$F459*AA459</f>
        <v>0</v>
      </c>
      <c r="AC459" s="105">
        <f>VLOOKUP(A459,Data!$A$2:$Z$179,21,FALSE)</f>
        <v>0</v>
      </c>
      <c r="AD459" s="105">
        <f t="shared" si="125"/>
        <v>0</v>
      </c>
      <c r="AE459" s="105">
        <f>J459+L459+N459+O459+Q459+S459+U459+W459+Y459+AA459+AC459</f>
        <v>32.583506978970036</v>
      </c>
      <c r="AF459" s="105">
        <f t="shared" si="126"/>
        <v>0</v>
      </c>
      <c r="AG459" s="105"/>
      <c r="AH459" s="106">
        <f>AE459-S459-W459</f>
        <v>27.000506978970037</v>
      </c>
      <c r="AI459" s="85">
        <f>AH459/AE459</f>
        <v>0.82865564459947894</v>
      </c>
      <c r="AK459" s="106">
        <f t="shared" si="135"/>
        <v>5.5830000000000002</v>
      </c>
      <c r="AL459" s="106">
        <f t="shared" si="136"/>
        <v>5.5830000000000002</v>
      </c>
      <c r="AQ459" s="107"/>
      <c r="AS459" s="108"/>
    </row>
    <row r="460" spans="1:45" x14ac:dyDescent="0.2">
      <c r="B460" s="101"/>
      <c r="C460" s="92"/>
      <c r="D460" s="92"/>
      <c r="F460" s="109"/>
      <c r="G460" s="109"/>
      <c r="H460" s="109"/>
      <c r="I460" s="109"/>
      <c r="J460" s="105"/>
      <c r="K460" s="105"/>
      <c r="L460" s="105"/>
      <c r="M460" s="105">
        <f t="shared" si="133"/>
        <v>0</v>
      </c>
      <c r="N460" s="105"/>
      <c r="O460" s="105"/>
      <c r="P460" s="105">
        <f t="shared" si="130"/>
        <v>0</v>
      </c>
      <c r="Q460" s="105"/>
      <c r="R460" s="105">
        <f t="shared" si="127"/>
        <v>0</v>
      </c>
      <c r="S460" s="105"/>
      <c r="T460" s="105">
        <f t="shared" si="131"/>
        <v>0</v>
      </c>
      <c r="U460" s="105"/>
      <c r="V460" s="91">
        <f t="shared" si="124"/>
        <v>0</v>
      </c>
      <c r="W460" s="105"/>
      <c r="X460" s="105">
        <f t="shared" si="128"/>
        <v>0</v>
      </c>
      <c r="Y460" s="105"/>
      <c r="Z460" s="105">
        <f t="shared" si="129"/>
        <v>0</v>
      </c>
      <c r="AA460" s="105"/>
      <c r="AB460" s="105">
        <f>$F458*AA460</f>
        <v>0</v>
      </c>
      <c r="AC460" s="105"/>
      <c r="AD460" s="105">
        <f t="shared" si="125"/>
        <v>0</v>
      </c>
      <c r="AE460" s="105"/>
      <c r="AF460" s="105">
        <f t="shared" si="126"/>
        <v>0</v>
      </c>
      <c r="AG460" s="105"/>
      <c r="AH460" s="106"/>
      <c r="AK460" s="106">
        <f t="shared" si="135"/>
        <v>0</v>
      </c>
      <c r="AL460" s="106">
        <f t="shared" si="136"/>
        <v>0</v>
      </c>
      <c r="AQ460" s="107"/>
      <c r="AS460" s="108"/>
    </row>
    <row r="461" spans="1:45" x14ac:dyDescent="0.2">
      <c r="A461" s="85" t="s">
        <v>195</v>
      </c>
      <c r="B461" s="101" t="s">
        <v>194</v>
      </c>
      <c r="C461" s="86" t="s">
        <v>776</v>
      </c>
      <c r="F461" s="102">
        <f>E461</f>
        <v>0</v>
      </c>
      <c r="G461" s="102"/>
      <c r="H461" s="102"/>
      <c r="I461" s="102"/>
      <c r="J461" s="105"/>
      <c r="K461" s="105"/>
      <c r="L461" s="105"/>
      <c r="M461" s="105">
        <f t="shared" si="133"/>
        <v>0</v>
      </c>
      <c r="N461" s="105"/>
      <c r="O461" s="105"/>
      <c r="P461" s="105">
        <f t="shared" si="130"/>
        <v>0</v>
      </c>
      <c r="Q461" s="105"/>
      <c r="R461" s="105">
        <f t="shared" si="127"/>
        <v>0</v>
      </c>
      <c r="S461" s="105"/>
      <c r="T461" s="105">
        <f t="shared" si="131"/>
        <v>0</v>
      </c>
      <c r="U461" s="105"/>
      <c r="V461" s="91">
        <f t="shared" si="124"/>
        <v>0</v>
      </c>
      <c r="W461" s="105"/>
      <c r="X461" s="105">
        <f t="shared" si="128"/>
        <v>0</v>
      </c>
      <c r="Y461" s="105"/>
      <c r="Z461" s="105">
        <f t="shared" si="129"/>
        <v>0</v>
      </c>
      <c r="AA461" s="105"/>
      <c r="AB461" s="105">
        <f>$F459*AA461</f>
        <v>0</v>
      </c>
      <c r="AC461" s="105"/>
      <c r="AD461" s="105">
        <f t="shared" si="125"/>
        <v>0</v>
      </c>
      <c r="AE461" s="105"/>
      <c r="AF461" s="105">
        <f t="shared" si="126"/>
        <v>0</v>
      </c>
      <c r="AG461" s="105"/>
      <c r="AH461" s="106"/>
      <c r="AK461" s="106">
        <f t="shared" si="135"/>
        <v>0</v>
      </c>
      <c r="AL461" s="106">
        <f t="shared" si="136"/>
        <v>0</v>
      </c>
      <c r="AQ461" s="107"/>
      <c r="AS461" s="108"/>
    </row>
    <row r="462" spans="1:45" x14ac:dyDescent="0.2">
      <c r="A462" s="85" t="s">
        <v>195</v>
      </c>
      <c r="B462" s="101" t="s">
        <v>156</v>
      </c>
      <c r="C462" s="86" t="s">
        <v>776</v>
      </c>
      <c r="F462" s="102">
        <f>E462</f>
        <v>0</v>
      </c>
      <c r="G462" s="102"/>
      <c r="H462" s="102"/>
      <c r="I462" s="102"/>
      <c r="J462" s="105"/>
      <c r="K462" s="105"/>
      <c r="L462" s="105"/>
      <c r="M462" s="105">
        <f t="shared" si="133"/>
        <v>0</v>
      </c>
      <c r="N462" s="105"/>
      <c r="O462" s="105"/>
      <c r="P462" s="105">
        <f t="shared" si="130"/>
        <v>0</v>
      </c>
      <c r="Q462" s="105"/>
      <c r="R462" s="105">
        <f t="shared" si="127"/>
        <v>0</v>
      </c>
      <c r="S462" s="105"/>
      <c r="T462" s="105">
        <f t="shared" si="131"/>
        <v>0</v>
      </c>
      <c r="U462" s="105"/>
      <c r="V462" s="91">
        <f t="shared" si="124"/>
        <v>0</v>
      </c>
      <c r="W462" s="105"/>
      <c r="X462" s="105">
        <f t="shared" si="128"/>
        <v>0</v>
      </c>
      <c r="Y462" s="105"/>
      <c r="Z462" s="105">
        <f t="shared" si="129"/>
        <v>0</v>
      </c>
      <c r="AA462" s="105"/>
      <c r="AB462" s="105">
        <f>$F460*AA462</f>
        <v>0</v>
      </c>
      <c r="AC462" s="105"/>
      <c r="AD462" s="105">
        <f t="shared" si="125"/>
        <v>0</v>
      </c>
      <c r="AE462" s="105"/>
      <c r="AF462" s="105">
        <f t="shared" si="126"/>
        <v>0</v>
      </c>
      <c r="AG462" s="105"/>
      <c r="AH462" s="106"/>
      <c r="AK462" s="106">
        <f t="shared" si="135"/>
        <v>0</v>
      </c>
      <c r="AL462" s="106">
        <f t="shared" si="136"/>
        <v>0</v>
      </c>
      <c r="AQ462" s="107"/>
      <c r="AS462" s="108"/>
    </row>
    <row r="463" spans="1:45" x14ac:dyDescent="0.2">
      <c r="A463" s="85" t="s">
        <v>195</v>
      </c>
      <c r="B463" s="101" t="s">
        <v>254</v>
      </c>
      <c r="C463" s="86" t="s">
        <v>776</v>
      </c>
      <c r="F463" s="102">
        <f>E463</f>
        <v>0</v>
      </c>
      <c r="G463" s="102"/>
      <c r="H463" s="102"/>
      <c r="I463" s="102"/>
      <c r="J463" s="105"/>
      <c r="K463" s="105"/>
      <c r="L463" s="105"/>
      <c r="M463" s="105">
        <f t="shared" si="133"/>
        <v>0</v>
      </c>
      <c r="N463" s="105"/>
      <c r="O463" s="105"/>
      <c r="P463" s="105">
        <f t="shared" si="130"/>
        <v>0</v>
      </c>
      <c r="Q463" s="105"/>
      <c r="R463" s="105">
        <f t="shared" si="127"/>
        <v>0</v>
      </c>
      <c r="S463" s="105"/>
      <c r="T463" s="105">
        <f t="shared" si="131"/>
        <v>0</v>
      </c>
      <c r="U463" s="105"/>
      <c r="V463" s="91">
        <f t="shared" si="124"/>
        <v>0</v>
      </c>
      <c r="W463" s="105"/>
      <c r="X463" s="105">
        <f t="shared" si="128"/>
        <v>0</v>
      </c>
      <c r="Y463" s="105"/>
      <c r="Z463" s="105">
        <f t="shared" si="129"/>
        <v>0</v>
      </c>
      <c r="AA463" s="105"/>
      <c r="AB463" s="105">
        <f>$F463*AA463</f>
        <v>0</v>
      </c>
      <c r="AC463" s="105"/>
      <c r="AD463" s="105">
        <f t="shared" si="125"/>
        <v>0</v>
      </c>
      <c r="AE463" s="105"/>
      <c r="AF463" s="105">
        <f t="shared" si="126"/>
        <v>0</v>
      </c>
      <c r="AG463" s="105"/>
      <c r="AH463" s="106"/>
      <c r="AK463" s="106">
        <f t="shared" si="135"/>
        <v>0</v>
      </c>
      <c r="AL463" s="106">
        <f t="shared" si="136"/>
        <v>0</v>
      </c>
      <c r="AQ463" s="107"/>
      <c r="AS463" s="108"/>
    </row>
    <row r="464" spans="1:45" x14ac:dyDescent="0.2">
      <c r="A464" s="85" t="s">
        <v>195</v>
      </c>
      <c r="B464" s="101" t="s">
        <v>227</v>
      </c>
      <c r="C464" s="86" t="s">
        <v>776</v>
      </c>
      <c r="F464" s="102">
        <f>E464</f>
        <v>0</v>
      </c>
      <c r="G464" s="102"/>
      <c r="H464" s="102"/>
      <c r="I464" s="102"/>
      <c r="J464" s="105"/>
      <c r="K464" s="105"/>
      <c r="L464" s="105"/>
      <c r="M464" s="105">
        <f t="shared" si="133"/>
        <v>0</v>
      </c>
      <c r="N464" s="105"/>
      <c r="O464" s="105"/>
      <c r="P464" s="105">
        <f t="shared" si="130"/>
        <v>0</v>
      </c>
      <c r="Q464" s="105"/>
      <c r="R464" s="105">
        <f t="shared" si="127"/>
        <v>0</v>
      </c>
      <c r="S464" s="105"/>
      <c r="T464" s="105">
        <f t="shared" si="131"/>
        <v>0</v>
      </c>
      <c r="U464" s="105"/>
      <c r="V464" s="91">
        <f t="shared" si="124"/>
        <v>0</v>
      </c>
      <c r="W464" s="105"/>
      <c r="X464" s="105">
        <f t="shared" si="128"/>
        <v>0</v>
      </c>
      <c r="Y464" s="105"/>
      <c r="Z464" s="105">
        <f t="shared" si="129"/>
        <v>0</v>
      </c>
      <c r="AA464" s="105"/>
      <c r="AB464" s="105">
        <f>$F461*AA464</f>
        <v>0</v>
      </c>
      <c r="AC464" s="105"/>
      <c r="AD464" s="105">
        <f t="shared" si="125"/>
        <v>0</v>
      </c>
      <c r="AE464" s="105"/>
      <c r="AF464" s="105">
        <f t="shared" si="126"/>
        <v>0</v>
      </c>
      <c r="AG464" s="105"/>
      <c r="AH464" s="106"/>
      <c r="AK464" s="106">
        <f t="shared" si="135"/>
        <v>0</v>
      </c>
      <c r="AL464" s="106">
        <f t="shared" si="136"/>
        <v>0</v>
      </c>
      <c r="AQ464" s="107"/>
      <c r="AS464" s="108"/>
    </row>
    <row r="465" spans="1:45" x14ac:dyDescent="0.2">
      <c r="A465" s="85" t="s">
        <v>195</v>
      </c>
      <c r="B465" s="101"/>
      <c r="C465" s="92" t="s">
        <v>777</v>
      </c>
      <c r="D465" s="92"/>
      <c r="F465" s="104">
        <f>SUM(F461:F464)</f>
        <v>0</v>
      </c>
      <c r="G465" s="104">
        <f>F465</f>
        <v>0</v>
      </c>
      <c r="H465" s="105">
        <f>VLOOKUP(A465,Data!$A$2:$Z$179,24,FALSE)</f>
        <v>27</v>
      </c>
      <c r="I465" s="105">
        <f>VLOOKUP(A465,Data!$A$2:$Z$179,25,FALSE)</f>
        <v>0</v>
      </c>
      <c r="J465" s="105">
        <f>VLOOKUP(A465,Data!$A$2:$Z$179,7,FALSE)</f>
        <v>27</v>
      </c>
      <c r="K465" s="105">
        <f>$F465*J465</f>
        <v>0</v>
      </c>
      <c r="L465" s="105">
        <f>VLOOKUP(A465,Data!$A$2:$Z$179,8,FALSE)</f>
        <v>0</v>
      </c>
      <c r="M465" s="105">
        <f>L465*F465</f>
        <v>0</v>
      </c>
      <c r="N465" s="105">
        <f>VLOOKUP(A465,Data!$A$2:$Z$179,9,FALSE)</f>
        <v>0</v>
      </c>
      <c r="O465" s="105">
        <f>VLOOKUP(A464,Data!$A$2:$Z$179,10,FALSE)</f>
        <v>0</v>
      </c>
      <c r="P465" s="105">
        <f>O465*F465</f>
        <v>0</v>
      </c>
      <c r="Q465" s="105">
        <f>VLOOKUP(A465,Data!$A$2:$Z$179,11,FALSE)</f>
        <v>0</v>
      </c>
      <c r="R465" s="105">
        <f t="shared" si="127"/>
        <v>0</v>
      </c>
      <c r="S465" s="105">
        <f>VLOOKUP(A465,Data!$A$2:$Z$179,12,FALSE)</f>
        <v>0</v>
      </c>
      <c r="T465" s="105">
        <f>S465*F465</f>
        <v>0</v>
      </c>
      <c r="U465" s="105">
        <f>VLOOKUP(A465,Data!$A$2:$Z$179,13,FALSE)</f>
        <v>4.483762741807399E-2</v>
      </c>
      <c r="V465" s="91">
        <f>U465*F465/1000</f>
        <v>0</v>
      </c>
      <c r="W465" s="105">
        <f>VLOOKUP(A465,Data!$A$2:$Z$179,22,FALSE)</f>
        <v>0</v>
      </c>
      <c r="X465" s="105">
        <f>W465*F465</f>
        <v>0</v>
      </c>
      <c r="Y465" s="105">
        <f>VLOOKUP(A465,Data!$A$2:$Z$179,19,FALSE)</f>
        <v>0</v>
      </c>
      <c r="Z465" s="105">
        <f t="shared" si="129"/>
        <v>0</v>
      </c>
      <c r="AA465" s="105">
        <f>VLOOKUP(A465,Data!$A$2:$Z$179,20,FALSE)</f>
        <v>0</v>
      </c>
      <c r="AB465" s="105">
        <f>$F465*AA465</f>
        <v>0</v>
      </c>
      <c r="AC465" s="105">
        <f>VLOOKUP(A465,Data!$A$2:$Z$179,21,FALSE)</f>
        <v>0</v>
      </c>
      <c r="AD465" s="105">
        <f t="shared" si="125"/>
        <v>0</v>
      </c>
      <c r="AE465" s="105">
        <f>J465+L465+N465+O465+Q465+S465+U465+W465+Y465+AA465+AC465</f>
        <v>27.044837627418072</v>
      </c>
      <c r="AF465" s="105">
        <f t="shared" si="126"/>
        <v>0</v>
      </c>
      <c r="AG465" s="105"/>
      <c r="AH465" s="106">
        <f>AE465-S465-W465</f>
        <v>27.044837627418072</v>
      </c>
      <c r="AI465" s="85">
        <f>AH465/AE465</f>
        <v>1</v>
      </c>
      <c r="AK465" s="106">
        <f t="shared" si="135"/>
        <v>0</v>
      </c>
      <c r="AL465" s="106">
        <f t="shared" si="136"/>
        <v>0</v>
      </c>
      <c r="AQ465" s="107"/>
      <c r="AS465" s="108"/>
    </row>
    <row r="466" spans="1:45" x14ac:dyDescent="0.2">
      <c r="B466" s="101"/>
      <c r="C466" s="92"/>
      <c r="D466" s="92"/>
      <c r="F466" s="109"/>
      <c r="G466" s="109"/>
      <c r="H466" s="109"/>
      <c r="I466" s="109"/>
      <c r="J466" s="105"/>
      <c r="K466" s="105"/>
      <c r="L466" s="105"/>
      <c r="M466" s="105">
        <f t="shared" si="133"/>
        <v>0</v>
      </c>
      <c r="N466" s="105"/>
      <c r="O466" s="105"/>
      <c r="P466" s="105">
        <f t="shared" si="130"/>
        <v>0</v>
      </c>
      <c r="Q466" s="105"/>
      <c r="R466" s="105">
        <f t="shared" si="127"/>
        <v>0</v>
      </c>
      <c r="S466" s="105"/>
      <c r="T466" s="105">
        <f t="shared" si="131"/>
        <v>0</v>
      </c>
      <c r="U466" s="105"/>
      <c r="V466" s="91">
        <f t="shared" ref="V466:V529" si="137">U466*F466/1000</f>
        <v>0</v>
      </c>
      <c r="W466" s="105"/>
      <c r="X466" s="105">
        <f t="shared" si="128"/>
        <v>0</v>
      </c>
      <c r="Y466" s="105"/>
      <c r="Z466" s="105">
        <f t="shared" si="129"/>
        <v>0</v>
      </c>
      <c r="AA466" s="105"/>
      <c r="AB466" s="105">
        <f>$F463*AA466</f>
        <v>0</v>
      </c>
      <c r="AC466" s="105"/>
      <c r="AD466" s="105">
        <f t="shared" si="125"/>
        <v>0</v>
      </c>
      <c r="AE466" s="105"/>
      <c r="AF466" s="105">
        <f t="shared" si="126"/>
        <v>0</v>
      </c>
      <c r="AG466" s="105"/>
      <c r="AH466" s="106"/>
      <c r="AK466" s="106">
        <f t="shared" si="135"/>
        <v>0</v>
      </c>
      <c r="AL466" s="106">
        <f t="shared" si="136"/>
        <v>0</v>
      </c>
      <c r="AQ466" s="107"/>
      <c r="AS466" s="108"/>
    </row>
    <row r="467" spans="1:45" x14ac:dyDescent="0.2">
      <c r="A467" s="85" t="s">
        <v>196</v>
      </c>
      <c r="B467" s="101" t="s">
        <v>197</v>
      </c>
      <c r="C467" s="86" t="s">
        <v>778</v>
      </c>
      <c r="F467" s="102">
        <f>E467</f>
        <v>0</v>
      </c>
      <c r="G467" s="103"/>
      <c r="H467" s="103"/>
      <c r="I467" s="103"/>
      <c r="J467" s="105"/>
      <c r="K467" s="105"/>
      <c r="L467" s="105"/>
      <c r="M467" s="105">
        <f t="shared" si="133"/>
        <v>0</v>
      </c>
      <c r="N467" s="105"/>
      <c r="O467" s="105"/>
      <c r="P467" s="105">
        <f t="shared" si="130"/>
        <v>0</v>
      </c>
      <c r="Q467" s="105"/>
      <c r="R467" s="105">
        <f t="shared" si="127"/>
        <v>0</v>
      </c>
      <c r="S467" s="105"/>
      <c r="T467" s="105">
        <f t="shared" si="131"/>
        <v>0</v>
      </c>
      <c r="U467" s="105"/>
      <c r="V467" s="91">
        <f t="shared" si="137"/>
        <v>0</v>
      </c>
      <c r="W467" s="105"/>
      <c r="X467" s="105">
        <f t="shared" si="128"/>
        <v>0</v>
      </c>
      <c r="Y467" s="105"/>
      <c r="Z467" s="105">
        <f t="shared" si="129"/>
        <v>0</v>
      </c>
      <c r="AA467" s="105"/>
      <c r="AB467" s="105">
        <f>$F464*AA467</f>
        <v>0</v>
      </c>
      <c r="AC467" s="105"/>
      <c r="AD467" s="105">
        <f t="shared" si="125"/>
        <v>0</v>
      </c>
      <c r="AE467" s="105"/>
      <c r="AF467" s="105">
        <f t="shared" si="126"/>
        <v>0</v>
      </c>
      <c r="AG467" s="105"/>
      <c r="AH467" s="106"/>
      <c r="AK467" s="106">
        <f t="shared" si="135"/>
        <v>0</v>
      </c>
      <c r="AL467" s="106">
        <f t="shared" si="136"/>
        <v>0</v>
      </c>
      <c r="AQ467" s="107"/>
      <c r="AS467" s="108"/>
    </row>
    <row r="468" spans="1:45" x14ac:dyDescent="0.2">
      <c r="A468" s="85" t="s">
        <v>196</v>
      </c>
      <c r="B468" s="101"/>
      <c r="C468" s="92" t="s">
        <v>779</v>
      </c>
      <c r="D468" s="92"/>
      <c r="F468" s="104">
        <f>SUM(F467)</f>
        <v>0</v>
      </c>
      <c r="G468" s="104">
        <f>F468</f>
        <v>0</v>
      </c>
      <c r="H468" s="105">
        <f>VLOOKUP(A468,Data!$A$2:$Z$179,24,FALSE)</f>
        <v>4.4119999999999999</v>
      </c>
      <c r="I468" s="105">
        <f>VLOOKUP(A468,Data!$A$2:$Z$179,25,FALSE)</f>
        <v>0</v>
      </c>
      <c r="J468" s="105">
        <f>VLOOKUP(A468,Data!$A$2:$Z$179,7,FALSE)</f>
        <v>4.4119999999999999</v>
      </c>
      <c r="K468" s="105">
        <f>$F468*J468</f>
        <v>0</v>
      </c>
      <c r="L468" s="105">
        <f>VLOOKUP(A468,Data!$A$2:$Z$179,8,FALSE)</f>
        <v>0</v>
      </c>
      <c r="M468" s="105">
        <f>L468*F468</f>
        <v>0</v>
      </c>
      <c r="N468" s="105">
        <f>VLOOKUP(A468,Data!$A$2:$Z$179,9,FALSE)</f>
        <v>0</v>
      </c>
      <c r="O468" s="105">
        <f>VLOOKUP(A467,Data!$A$2:$Z$179,10,FALSE)</f>
        <v>0.20399999999999999</v>
      </c>
      <c r="P468" s="105">
        <f>O468*F468</f>
        <v>0</v>
      </c>
      <c r="Q468" s="105">
        <f>VLOOKUP(A468,Data!$A$2:$Z$179,11,FALSE)</f>
        <v>0</v>
      </c>
      <c r="R468" s="105">
        <f t="shared" si="127"/>
        <v>0</v>
      </c>
      <c r="S468" s="105">
        <f>VLOOKUP(A468,Data!$A$2:$Z$179,12,FALSE)</f>
        <v>1.1219999999999999</v>
      </c>
      <c r="T468" s="105">
        <f>S468*F468</f>
        <v>0</v>
      </c>
      <c r="U468" s="105">
        <f>VLOOKUP(A468,Data!$A$2:$Z$179,13,FALSE)</f>
        <v>9.6926691001128999E-3</v>
      </c>
      <c r="V468" s="91">
        <f t="shared" si="137"/>
        <v>0</v>
      </c>
      <c r="W468" s="105">
        <f>VLOOKUP(A468,Data!$A$2:$Z$179,22,FALSE)</f>
        <v>0</v>
      </c>
      <c r="X468" s="105">
        <f>W468*F468</f>
        <v>0</v>
      </c>
      <c r="Y468" s="105">
        <f>VLOOKUP(A468,Data!$A$2:$Z$179,19,FALSE)</f>
        <v>0</v>
      </c>
      <c r="Z468" s="105">
        <f t="shared" si="129"/>
        <v>0</v>
      </c>
      <c r="AA468" s="105">
        <f>VLOOKUP(A468,Data!$A$2:$Z$179,20,FALSE)</f>
        <v>0</v>
      </c>
      <c r="AB468" s="105">
        <f>$F468*AA468</f>
        <v>0</v>
      </c>
      <c r="AC468" s="105">
        <f>VLOOKUP(A468,Data!$A$2:$Z$179,21,FALSE)</f>
        <v>0</v>
      </c>
      <c r="AD468" s="105">
        <f t="shared" si="125"/>
        <v>0</v>
      </c>
      <c r="AE468" s="105">
        <f>J468+L468+N468+O468+Q468+S468+U468+W468+Y468+AA468+AC468</f>
        <v>5.747692669100112</v>
      </c>
      <c r="AF468" s="105">
        <f t="shared" si="126"/>
        <v>0</v>
      </c>
      <c r="AG468" s="105"/>
      <c r="AH468" s="106">
        <f>AE468-S468-W468</f>
        <v>4.6256926691001121</v>
      </c>
      <c r="AI468" s="85">
        <f>AH468/AE468</f>
        <v>0.80479123283123177</v>
      </c>
      <c r="AK468" s="106">
        <f t="shared" si="135"/>
        <v>1.3259999999999998</v>
      </c>
      <c r="AL468" s="106">
        <f t="shared" si="136"/>
        <v>1.3259999999999998</v>
      </c>
      <c r="AQ468" s="107"/>
      <c r="AS468" s="108"/>
    </row>
    <row r="469" spans="1:45" x14ac:dyDescent="0.2">
      <c r="B469" s="101"/>
      <c r="C469" s="92"/>
      <c r="D469" s="92"/>
      <c r="F469" s="109"/>
      <c r="G469" s="109"/>
      <c r="H469" s="109"/>
      <c r="I469" s="109"/>
      <c r="J469" s="105"/>
      <c r="K469" s="105"/>
      <c r="L469" s="105"/>
      <c r="M469" s="105">
        <f t="shared" si="133"/>
        <v>0</v>
      </c>
      <c r="N469" s="105"/>
      <c r="O469" s="105"/>
      <c r="P469" s="105">
        <f t="shared" si="130"/>
        <v>0</v>
      </c>
      <c r="Q469" s="105"/>
      <c r="R469" s="105">
        <f t="shared" si="127"/>
        <v>0</v>
      </c>
      <c r="S469" s="105"/>
      <c r="T469" s="105">
        <f t="shared" si="131"/>
        <v>0</v>
      </c>
      <c r="U469" s="105"/>
      <c r="V469" s="91">
        <f t="shared" si="137"/>
        <v>0</v>
      </c>
      <c r="W469" s="105"/>
      <c r="X469" s="105">
        <f t="shared" si="128"/>
        <v>0</v>
      </c>
      <c r="Y469" s="105"/>
      <c r="Z469" s="105">
        <f t="shared" si="129"/>
        <v>0</v>
      </c>
      <c r="AA469" s="105"/>
      <c r="AB469" s="105">
        <f t="shared" ref="AB469:AB479" si="138">$F469*AA469</f>
        <v>0</v>
      </c>
      <c r="AC469" s="105"/>
      <c r="AD469" s="105">
        <f t="shared" si="125"/>
        <v>0</v>
      </c>
      <c r="AE469" s="105"/>
      <c r="AF469" s="105">
        <f t="shared" si="126"/>
        <v>0</v>
      </c>
      <c r="AG469" s="105"/>
      <c r="AH469" s="106"/>
      <c r="AK469" s="106">
        <f t="shared" si="135"/>
        <v>0</v>
      </c>
      <c r="AL469" s="106">
        <f t="shared" si="136"/>
        <v>0</v>
      </c>
      <c r="AQ469" s="107"/>
      <c r="AS469" s="108"/>
    </row>
    <row r="470" spans="1:45" x14ac:dyDescent="0.2">
      <c r="A470" s="85" t="s">
        <v>198</v>
      </c>
      <c r="B470" s="101" t="s">
        <v>199</v>
      </c>
      <c r="C470" s="86" t="s">
        <v>780</v>
      </c>
      <c r="F470" s="102">
        <f>E470</f>
        <v>0</v>
      </c>
      <c r="G470" s="103"/>
      <c r="H470" s="103"/>
      <c r="I470" s="103"/>
      <c r="J470" s="105"/>
      <c r="K470" s="105"/>
      <c r="L470" s="105"/>
      <c r="M470" s="105">
        <f t="shared" si="133"/>
        <v>0</v>
      </c>
      <c r="N470" s="105"/>
      <c r="O470" s="105"/>
      <c r="P470" s="105">
        <f t="shared" si="130"/>
        <v>0</v>
      </c>
      <c r="Q470" s="105"/>
      <c r="R470" s="105">
        <f t="shared" si="127"/>
        <v>0</v>
      </c>
      <c r="S470" s="105"/>
      <c r="T470" s="105">
        <f t="shared" si="131"/>
        <v>0</v>
      </c>
      <c r="U470" s="105"/>
      <c r="V470" s="91">
        <f t="shared" si="137"/>
        <v>0</v>
      </c>
      <c r="W470" s="105"/>
      <c r="X470" s="105">
        <f t="shared" si="128"/>
        <v>0</v>
      </c>
      <c r="Y470" s="105"/>
      <c r="Z470" s="105">
        <f t="shared" si="129"/>
        <v>0</v>
      </c>
      <c r="AA470" s="105"/>
      <c r="AB470" s="105">
        <f t="shared" si="138"/>
        <v>0</v>
      </c>
      <c r="AC470" s="105"/>
      <c r="AD470" s="105">
        <f t="shared" si="125"/>
        <v>0</v>
      </c>
      <c r="AE470" s="105"/>
      <c r="AF470" s="105">
        <f t="shared" si="126"/>
        <v>0</v>
      </c>
      <c r="AG470" s="105"/>
      <c r="AH470" s="106"/>
      <c r="AK470" s="106">
        <f t="shared" si="135"/>
        <v>0</v>
      </c>
      <c r="AL470" s="106">
        <f t="shared" si="136"/>
        <v>0</v>
      </c>
      <c r="AQ470" s="107"/>
      <c r="AS470" s="108"/>
    </row>
    <row r="471" spans="1:45" x14ac:dyDescent="0.2">
      <c r="A471" s="85" t="s">
        <v>198</v>
      </c>
      <c r="B471" s="101"/>
      <c r="C471" s="92" t="s">
        <v>781</v>
      </c>
      <c r="D471" s="92"/>
      <c r="F471" s="104">
        <f>SUM(F470)</f>
        <v>0</v>
      </c>
      <c r="G471" s="104">
        <f>F471</f>
        <v>0</v>
      </c>
      <c r="H471" s="105">
        <f>VLOOKUP(A471,Data!$A$2:$Z$179,24,FALSE)</f>
        <v>27</v>
      </c>
      <c r="I471" s="105">
        <f>VLOOKUP(A471,Data!$A$2:$Z$179,25,FALSE)</f>
        <v>0</v>
      </c>
      <c r="J471" s="105">
        <f>VLOOKUP(A471,Data!$A$2:$Z$179,7,FALSE)</f>
        <v>27</v>
      </c>
      <c r="K471" s="105">
        <f>$F471*J471</f>
        <v>0</v>
      </c>
      <c r="L471" s="105">
        <f>VLOOKUP(A471,Data!$A$2:$Z$179,8,FALSE)</f>
        <v>0</v>
      </c>
      <c r="M471" s="105">
        <f>L471*F471</f>
        <v>0</v>
      </c>
      <c r="N471" s="105">
        <f>VLOOKUP(A471,Data!$A$2:$Z$179,9,FALSE)</f>
        <v>0</v>
      </c>
      <c r="O471" s="105">
        <f>VLOOKUP(A470,Data!$A$2:$Z$179,10,FALSE)</f>
        <v>0</v>
      </c>
      <c r="P471" s="105">
        <f>O471*F471</f>
        <v>0</v>
      </c>
      <c r="Q471" s="105">
        <f>VLOOKUP(A471,Data!$A$2:$Z$179,11,FALSE)</f>
        <v>0</v>
      </c>
      <c r="R471" s="105">
        <f t="shared" si="127"/>
        <v>0</v>
      </c>
      <c r="S471" s="105">
        <f>VLOOKUP(A471,Data!$A$2:$Z$179,12,FALSE)</f>
        <v>0</v>
      </c>
      <c r="T471" s="105">
        <f>S471*F471</f>
        <v>0</v>
      </c>
      <c r="U471" s="105">
        <f>VLOOKUP(A471,Data!$A$2:$Z$179,13,FALSE)</f>
        <v>2.3975330344089144E-3</v>
      </c>
      <c r="V471" s="91">
        <f t="shared" si="137"/>
        <v>0</v>
      </c>
      <c r="W471" s="105">
        <f>VLOOKUP(A471,Data!$A$2:$Z$179,22,FALSE)</f>
        <v>0</v>
      </c>
      <c r="X471" s="105">
        <f>W471*F471</f>
        <v>0</v>
      </c>
      <c r="Y471" s="105">
        <f>VLOOKUP(A471,Data!$A$2:$Z$179,19,FALSE)</f>
        <v>0</v>
      </c>
      <c r="Z471" s="105">
        <f t="shared" si="129"/>
        <v>0</v>
      </c>
      <c r="AA471" s="105">
        <f>VLOOKUP(A471,Data!$A$2:$Z$179,20,FALSE)</f>
        <v>0</v>
      </c>
      <c r="AB471" s="105">
        <f t="shared" si="138"/>
        <v>0</v>
      </c>
      <c r="AC471" s="105">
        <f>VLOOKUP(A471,Data!$A$2:$Z$179,21,FALSE)</f>
        <v>0</v>
      </c>
      <c r="AD471" s="105">
        <f t="shared" si="125"/>
        <v>0</v>
      </c>
      <c r="AE471" s="105">
        <f>J471+L471+N471+O471+Q471+S471+U471+W471+Y471+AA471+AC471</f>
        <v>27.002397533034408</v>
      </c>
      <c r="AF471" s="105">
        <f t="shared" si="126"/>
        <v>0</v>
      </c>
      <c r="AG471" s="105"/>
      <c r="AH471" s="106">
        <f>AE471-S471-W471</f>
        <v>27.002397533034408</v>
      </c>
      <c r="AI471" s="85">
        <f>AH471/AE471</f>
        <v>1</v>
      </c>
      <c r="AK471" s="106">
        <f t="shared" si="135"/>
        <v>0</v>
      </c>
      <c r="AL471" s="106">
        <f t="shared" si="136"/>
        <v>0</v>
      </c>
      <c r="AQ471" s="107"/>
      <c r="AS471" s="108"/>
    </row>
    <row r="472" spans="1:45" x14ac:dyDescent="0.2">
      <c r="B472" s="101"/>
      <c r="C472" s="92"/>
      <c r="D472" s="92"/>
      <c r="F472" s="109"/>
      <c r="G472" s="109"/>
      <c r="H472" s="109"/>
      <c r="I472" s="109"/>
      <c r="J472" s="105"/>
      <c r="K472" s="105"/>
      <c r="L472" s="105"/>
      <c r="M472" s="105">
        <f t="shared" si="133"/>
        <v>0</v>
      </c>
      <c r="N472" s="105"/>
      <c r="O472" s="105"/>
      <c r="P472" s="105">
        <f t="shared" si="130"/>
        <v>0</v>
      </c>
      <c r="Q472" s="105"/>
      <c r="R472" s="105">
        <f t="shared" si="127"/>
        <v>0</v>
      </c>
      <c r="S472" s="105"/>
      <c r="T472" s="105">
        <f t="shared" si="131"/>
        <v>0</v>
      </c>
      <c r="U472" s="105"/>
      <c r="V472" s="91">
        <f t="shared" si="137"/>
        <v>0</v>
      </c>
      <c r="W472" s="105"/>
      <c r="X472" s="105">
        <f t="shared" si="128"/>
        <v>0</v>
      </c>
      <c r="Y472" s="105"/>
      <c r="Z472" s="105">
        <f t="shared" si="129"/>
        <v>0</v>
      </c>
      <c r="AA472" s="105"/>
      <c r="AB472" s="105">
        <f t="shared" si="138"/>
        <v>0</v>
      </c>
      <c r="AC472" s="105"/>
      <c r="AD472" s="105">
        <f t="shared" si="125"/>
        <v>0</v>
      </c>
      <c r="AE472" s="105"/>
      <c r="AF472" s="105">
        <f t="shared" si="126"/>
        <v>0</v>
      </c>
      <c r="AG472" s="105"/>
      <c r="AH472" s="106"/>
      <c r="AK472" s="106">
        <f t="shared" si="135"/>
        <v>0</v>
      </c>
      <c r="AL472" s="106">
        <f t="shared" si="136"/>
        <v>0</v>
      </c>
      <c r="AQ472" s="107"/>
      <c r="AS472" s="108"/>
    </row>
    <row r="473" spans="1:45" x14ac:dyDescent="0.2">
      <c r="A473" s="85" t="s">
        <v>200</v>
      </c>
      <c r="B473" s="101" t="s">
        <v>199</v>
      </c>
      <c r="C473" s="86" t="s">
        <v>782</v>
      </c>
      <c r="F473" s="102">
        <f>E473</f>
        <v>0</v>
      </c>
      <c r="G473" s="103"/>
      <c r="H473" s="103"/>
      <c r="I473" s="103"/>
      <c r="J473" s="105"/>
      <c r="K473" s="105"/>
      <c r="L473" s="105"/>
      <c r="M473" s="105">
        <f t="shared" si="133"/>
        <v>0</v>
      </c>
      <c r="N473" s="105"/>
      <c r="O473" s="105"/>
      <c r="P473" s="105">
        <f t="shared" si="130"/>
        <v>0</v>
      </c>
      <c r="Q473" s="105"/>
      <c r="R473" s="105">
        <f t="shared" si="127"/>
        <v>0</v>
      </c>
      <c r="S473" s="105"/>
      <c r="T473" s="105">
        <f t="shared" si="131"/>
        <v>0</v>
      </c>
      <c r="U473" s="105"/>
      <c r="V473" s="91">
        <f t="shared" si="137"/>
        <v>0</v>
      </c>
      <c r="W473" s="105"/>
      <c r="X473" s="105">
        <f t="shared" si="128"/>
        <v>0</v>
      </c>
      <c r="Y473" s="105"/>
      <c r="Z473" s="105">
        <f t="shared" si="129"/>
        <v>0</v>
      </c>
      <c r="AA473" s="105"/>
      <c r="AB473" s="105">
        <f t="shared" si="138"/>
        <v>0</v>
      </c>
      <c r="AC473" s="105"/>
      <c r="AD473" s="105">
        <f t="shared" ref="AD473:AD536" si="139">$F473*AC473</f>
        <v>0</v>
      </c>
      <c r="AE473" s="105"/>
      <c r="AF473" s="105">
        <f t="shared" ref="AF473:AF536" si="140">$F473*AE473</f>
        <v>0</v>
      </c>
      <c r="AG473" s="105"/>
      <c r="AH473" s="106"/>
      <c r="AK473" s="106">
        <f t="shared" si="135"/>
        <v>0</v>
      </c>
      <c r="AL473" s="106">
        <f t="shared" si="136"/>
        <v>0</v>
      </c>
      <c r="AQ473" s="107"/>
      <c r="AS473" s="108"/>
    </row>
    <row r="474" spans="1:45" x14ac:dyDescent="0.2">
      <c r="A474" s="85" t="s">
        <v>200</v>
      </c>
      <c r="B474" s="101"/>
      <c r="C474" s="92" t="s">
        <v>783</v>
      </c>
      <c r="D474" s="92"/>
      <c r="F474" s="104">
        <f>SUM(F473)</f>
        <v>0</v>
      </c>
      <c r="G474" s="104">
        <f>F474</f>
        <v>0</v>
      </c>
      <c r="H474" s="105">
        <f>VLOOKUP(A474,Data!$A$2:$Z$179,24,FALSE)</f>
        <v>27</v>
      </c>
      <c r="I474" s="105">
        <f>VLOOKUP(A474,Data!$A$2:$Z$179,25,FALSE)</f>
        <v>6.4050000000000002</v>
      </c>
      <c r="J474" s="105">
        <f>VLOOKUP(A474,Data!$A$2:$Z$179,7,FALSE)</f>
        <v>20.594999999999999</v>
      </c>
      <c r="K474" s="105">
        <f>$F474*J474</f>
        <v>0</v>
      </c>
      <c r="L474" s="105">
        <f>VLOOKUP(A474,Data!$A$2:$Z$179,8,FALSE)</f>
        <v>0</v>
      </c>
      <c r="M474" s="105">
        <f>L474*F474</f>
        <v>0</v>
      </c>
      <c r="N474" s="105">
        <f>VLOOKUP(A474,Data!$A$2:$Z$179,9,FALSE)</f>
        <v>0</v>
      </c>
      <c r="O474" s="105">
        <f>VLOOKUP(A473,Data!$A$2:$Z$179,10,FALSE)</f>
        <v>0</v>
      </c>
      <c r="P474" s="105">
        <f>O474*F474</f>
        <v>0</v>
      </c>
      <c r="Q474" s="105">
        <f>VLOOKUP(A474,Data!$A$2:$Z$179,11,FALSE)</f>
        <v>0</v>
      </c>
      <c r="R474" s="105">
        <f t="shared" ref="R474:R537" si="141">$F474*Q474</f>
        <v>0</v>
      </c>
      <c r="S474" s="105">
        <f>VLOOKUP(A474,Data!$A$2:$Z$179,12,FALSE)</f>
        <v>0</v>
      </c>
      <c r="T474" s="105">
        <f>S474*F474</f>
        <v>0</v>
      </c>
      <c r="U474" s="105">
        <f>VLOOKUP(A474,Data!$A$2:$Z$179,13,FALSE)</f>
        <v>2.0249911128321252E-2</v>
      </c>
      <c r="V474" s="91">
        <f t="shared" si="137"/>
        <v>0</v>
      </c>
      <c r="W474" s="105">
        <f>VLOOKUP(A474,Data!$A$2:$Z$179,22,FALSE)</f>
        <v>0</v>
      </c>
      <c r="X474" s="105">
        <f>W474*F474</f>
        <v>0</v>
      </c>
      <c r="Y474" s="105">
        <f>VLOOKUP(A474,Data!$A$2:$Z$179,19,FALSE)</f>
        <v>0</v>
      </c>
      <c r="Z474" s="105">
        <f t="shared" ref="Z474:Z537" si="142">$F474*Y474</f>
        <v>0</v>
      </c>
      <c r="AA474" s="105">
        <f>VLOOKUP(A474,Data!$A$2:$Z$179,20,FALSE)</f>
        <v>0</v>
      </c>
      <c r="AB474" s="105">
        <f t="shared" si="138"/>
        <v>0</v>
      </c>
      <c r="AC474" s="105">
        <f>VLOOKUP(A474,Data!$A$2:$Z$179,21,FALSE)</f>
        <v>0</v>
      </c>
      <c r="AD474" s="105">
        <f t="shared" si="139"/>
        <v>0</v>
      </c>
      <c r="AE474" s="105">
        <f>J474+L474+N474+O474+Q474+S474+U474+W474+Y474+AA474+AC474</f>
        <v>20.61524991112832</v>
      </c>
      <c r="AF474" s="105">
        <f t="shared" si="140"/>
        <v>0</v>
      </c>
      <c r="AG474" s="105"/>
      <c r="AH474" s="106">
        <f>AE474-S474-W474</f>
        <v>20.61524991112832</v>
      </c>
      <c r="AI474" s="85">
        <f>AH474/AE474</f>
        <v>1</v>
      </c>
      <c r="AK474" s="106">
        <f t="shared" si="135"/>
        <v>0</v>
      </c>
      <c r="AL474" s="106">
        <f t="shared" si="136"/>
        <v>0</v>
      </c>
      <c r="AQ474" s="107"/>
      <c r="AS474" s="108"/>
    </row>
    <row r="475" spans="1:45" x14ac:dyDescent="0.2">
      <c r="B475" s="101"/>
      <c r="C475" s="92"/>
      <c r="D475" s="92"/>
      <c r="F475" s="109"/>
      <c r="G475" s="109"/>
      <c r="H475" s="109"/>
      <c r="I475" s="109"/>
      <c r="J475" s="105"/>
      <c r="K475" s="105"/>
      <c r="L475" s="105"/>
      <c r="M475" s="105">
        <f t="shared" si="133"/>
        <v>0</v>
      </c>
      <c r="N475" s="105"/>
      <c r="O475" s="105"/>
      <c r="P475" s="105">
        <f t="shared" si="130"/>
        <v>0</v>
      </c>
      <c r="Q475" s="105"/>
      <c r="R475" s="105">
        <f t="shared" si="141"/>
        <v>0</v>
      </c>
      <c r="S475" s="105"/>
      <c r="T475" s="105">
        <f t="shared" si="131"/>
        <v>0</v>
      </c>
      <c r="U475" s="105"/>
      <c r="V475" s="91">
        <f t="shared" si="137"/>
        <v>0</v>
      </c>
      <c r="W475" s="105"/>
      <c r="X475" s="105">
        <f t="shared" ref="X475:X537" si="143">W475*F475</f>
        <v>0</v>
      </c>
      <c r="Y475" s="105"/>
      <c r="Z475" s="105">
        <f t="shared" si="142"/>
        <v>0</v>
      </c>
      <c r="AA475" s="105"/>
      <c r="AB475" s="105">
        <f t="shared" si="138"/>
        <v>0</v>
      </c>
      <c r="AC475" s="105"/>
      <c r="AD475" s="105">
        <f t="shared" si="139"/>
        <v>0</v>
      </c>
      <c r="AE475" s="105"/>
      <c r="AF475" s="105">
        <f t="shared" si="140"/>
        <v>0</v>
      </c>
      <c r="AG475" s="105"/>
      <c r="AH475" s="106"/>
      <c r="AK475" s="106">
        <f t="shared" si="135"/>
        <v>0</v>
      </c>
      <c r="AL475" s="106">
        <f t="shared" si="136"/>
        <v>0</v>
      </c>
      <c r="AQ475" s="107"/>
      <c r="AS475" s="108"/>
    </row>
    <row r="476" spans="1:45" x14ac:dyDescent="0.2">
      <c r="A476" s="85" t="s">
        <v>201</v>
      </c>
      <c r="B476" s="101" t="s">
        <v>199</v>
      </c>
      <c r="C476" s="86" t="s">
        <v>784</v>
      </c>
      <c r="F476" s="102">
        <f>E476</f>
        <v>0</v>
      </c>
      <c r="G476" s="103"/>
      <c r="H476" s="103"/>
      <c r="I476" s="103"/>
      <c r="J476" s="105"/>
      <c r="K476" s="105"/>
      <c r="L476" s="105"/>
      <c r="M476" s="105">
        <f t="shared" si="133"/>
        <v>0</v>
      </c>
      <c r="N476" s="105"/>
      <c r="O476" s="105"/>
      <c r="P476" s="105">
        <f t="shared" si="130"/>
        <v>0</v>
      </c>
      <c r="Q476" s="105"/>
      <c r="R476" s="105">
        <f t="shared" si="141"/>
        <v>0</v>
      </c>
      <c r="S476" s="105"/>
      <c r="T476" s="105">
        <f t="shared" si="131"/>
        <v>0</v>
      </c>
      <c r="U476" s="105"/>
      <c r="V476" s="91">
        <f t="shared" si="137"/>
        <v>0</v>
      </c>
      <c r="W476" s="105"/>
      <c r="X476" s="105">
        <f t="shared" si="143"/>
        <v>0</v>
      </c>
      <c r="Y476" s="105"/>
      <c r="Z476" s="105">
        <f t="shared" si="142"/>
        <v>0</v>
      </c>
      <c r="AA476" s="105"/>
      <c r="AB476" s="105">
        <f t="shared" si="138"/>
        <v>0</v>
      </c>
      <c r="AC476" s="105"/>
      <c r="AD476" s="105">
        <f t="shared" si="139"/>
        <v>0</v>
      </c>
      <c r="AE476" s="105"/>
      <c r="AF476" s="105">
        <f t="shared" si="140"/>
        <v>0</v>
      </c>
      <c r="AG476" s="105"/>
      <c r="AH476" s="106"/>
      <c r="AK476" s="106">
        <f t="shared" si="135"/>
        <v>0</v>
      </c>
      <c r="AL476" s="106">
        <f t="shared" si="136"/>
        <v>0</v>
      </c>
      <c r="AQ476" s="107"/>
      <c r="AS476" s="108"/>
    </row>
    <row r="477" spans="1:45" x14ac:dyDescent="0.2">
      <c r="A477" s="85" t="s">
        <v>201</v>
      </c>
      <c r="B477" s="101"/>
      <c r="C477" s="92" t="s">
        <v>785</v>
      </c>
      <c r="D477" s="92"/>
      <c r="F477" s="104">
        <f>SUM(F476)</f>
        <v>0</v>
      </c>
      <c r="G477" s="104">
        <f>F477</f>
        <v>0</v>
      </c>
      <c r="H477" s="105">
        <f>VLOOKUP(A477,Data!$A$2:$Z$179,24,FALSE)</f>
        <v>27</v>
      </c>
      <c r="I477" s="105">
        <f>VLOOKUP(A477,Data!$A$2:$Z$179,25,FALSE)</f>
        <v>0</v>
      </c>
      <c r="J477" s="105">
        <f>VLOOKUP(A477,Data!$A$2:$Z$179,7,FALSE)</f>
        <v>27</v>
      </c>
      <c r="K477" s="105">
        <f>$F477*J477</f>
        <v>0</v>
      </c>
      <c r="L477" s="105">
        <f>VLOOKUP(A477,Data!$A$2:$Z$179,8,FALSE)</f>
        <v>0</v>
      </c>
      <c r="M477" s="105">
        <f>L477*F477</f>
        <v>0</v>
      </c>
      <c r="N477" s="105">
        <f>VLOOKUP(A477,Data!$A$2:$Z$179,9,FALSE)</f>
        <v>0</v>
      </c>
      <c r="O477" s="105">
        <f>VLOOKUP(A476,Data!$A$2:$Z$179,10,FALSE)</f>
        <v>0</v>
      </c>
      <c r="P477" s="105">
        <f>O477*F477</f>
        <v>0</v>
      </c>
      <c r="Q477" s="105">
        <f>VLOOKUP(A477,Data!$A$2:$Z$179,11,FALSE)</f>
        <v>0</v>
      </c>
      <c r="R477" s="105">
        <f t="shared" si="141"/>
        <v>0</v>
      </c>
      <c r="S477" s="105">
        <f>VLOOKUP(A477,Data!$A$2:$Z$179,12,FALSE)</f>
        <v>0</v>
      </c>
      <c r="T477" s="105">
        <f>S477*F477</f>
        <v>0</v>
      </c>
      <c r="U477" s="105">
        <f>VLOOKUP(A477,Data!$A$2:$Z$179,13,FALSE)</f>
        <v>0.10573635214764569</v>
      </c>
      <c r="V477" s="91">
        <f t="shared" si="137"/>
        <v>0</v>
      </c>
      <c r="W477" s="105">
        <f>VLOOKUP(A477,Data!$A$2:$Z$179,22,FALSE)</f>
        <v>0</v>
      </c>
      <c r="X477" s="105">
        <f>W477*F477</f>
        <v>0</v>
      </c>
      <c r="Y477" s="105">
        <f>VLOOKUP(A477,Data!$A$2:$Z$179,19,FALSE)</f>
        <v>0</v>
      </c>
      <c r="Z477" s="105">
        <f t="shared" si="142"/>
        <v>0</v>
      </c>
      <c r="AA477" s="105">
        <f>VLOOKUP(A477,Data!$A$2:$Z$179,20,FALSE)</f>
        <v>0</v>
      </c>
      <c r="AB477" s="105">
        <f t="shared" si="138"/>
        <v>0</v>
      </c>
      <c r="AC477" s="105">
        <f>VLOOKUP(A477,Data!$A$2:$Z$179,21,FALSE)</f>
        <v>0</v>
      </c>
      <c r="AD477" s="105">
        <f t="shared" si="139"/>
        <v>0</v>
      </c>
      <c r="AE477" s="105">
        <f>J477+L477+N477+O477+Q477+S477+U477+W477+Y477+AA477+AC477</f>
        <v>27.105736352147645</v>
      </c>
      <c r="AF477" s="105">
        <f t="shared" si="140"/>
        <v>0</v>
      </c>
      <c r="AG477" s="105"/>
      <c r="AH477" s="106">
        <f>AE477-S477-W477</f>
        <v>27.105736352147645</v>
      </c>
      <c r="AI477" s="85">
        <f>AH477/AE477</f>
        <v>1</v>
      </c>
      <c r="AK477" s="106">
        <f t="shared" si="135"/>
        <v>0</v>
      </c>
      <c r="AL477" s="106">
        <f t="shared" si="136"/>
        <v>0</v>
      </c>
      <c r="AQ477" s="107"/>
      <c r="AS477" s="108"/>
    </row>
    <row r="478" spans="1:45" x14ac:dyDescent="0.2">
      <c r="B478" s="101"/>
      <c r="C478" s="92"/>
      <c r="D478" s="92"/>
      <c r="F478" s="109"/>
      <c r="G478" s="109"/>
      <c r="H478" s="109"/>
      <c r="I478" s="109"/>
      <c r="J478" s="105"/>
      <c r="K478" s="105"/>
      <c r="L478" s="105"/>
      <c r="M478" s="105">
        <f t="shared" si="133"/>
        <v>0</v>
      </c>
      <c r="N478" s="105"/>
      <c r="O478" s="105"/>
      <c r="P478" s="105">
        <f t="shared" si="130"/>
        <v>0</v>
      </c>
      <c r="Q478" s="105"/>
      <c r="R478" s="105">
        <f t="shared" si="141"/>
        <v>0</v>
      </c>
      <c r="S478" s="105"/>
      <c r="T478" s="105">
        <f t="shared" si="131"/>
        <v>0</v>
      </c>
      <c r="U478" s="105"/>
      <c r="V478" s="91">
        <f t="shared" si="137"/>
        <v>0</v>
      </c>
      <c r="W478" s="105"/>
      <c r="X478" s="105">
        <f t="shared" si="143"/>
        <v>0</v>
      </c>
      <c r="Y478" s="105"/>
      <c r="Z478" s="105">
        <f t="shared" si="142"/>
        <v>0</v>
      </c>
      <c r="AA478" s="105"/>
      <c r="AB478" s="105">
        <f t="shared" si="138"/>
        <v>0</v>
      </c>
      <c r="AC478" s="105"/>
      <c r="AD478" s="105">
        <f t="shared" si="139"/>
        <v>0</v>
      </c>
      <c r="AE478" s="105"/>
      <c r="AF478" s="105">
        <f t="shared" si="140"/>
        <v>0</v>
      </c>
      <c r="AG478" s="105"/>
      <c r="AH478" s="106"/>
      <c r="AK478" s="106">
        <f t="shared" si="135"/>
        <v>0</v>
      </c>
      <c r="AL478" s="106">
        <f t="shared" si="136"/>
        <v>0</v>
      </c>
      <c r="AQ478" s="107"/>
      <c r="AS478" s="108"/>
    </row>
    <row r="479" spans="1:45" x14ac:dyDescent="0.2">
      <c r="A479" s="112" t="s">
        <v>202</v>
      </c>
      <c r="B479" s="101" t="s">
        <v>199</v>
      </c>
      <c r="C479" s="113" t="s">
        <v>786</v>
      </c>
      <c r="F479" s="102">
        <f>E479</f>
        <v>0</v>
      </c>
      <c r="G479" s="102"/>
      <c r="H479" s="102"/>
      <c r="I479" s="102"/>
      <c r="J479" s="105"/>
      <c r="K479" s="105"/>
      <c r="L479" s="105"/>
      <c r="M479" s="105">
        <f t="shared" si="133"/>
        <v>0</v>
      </c>
      <c r="N479" s="105"/>
      <c r="O479" s="105"/>
      <c r="P479" s="105">
        <f t="shared" si="130"/>
        <v>0</v>
      </c>
      <c r="Q479" s="105"/>
      <c r="R479" s="105">
        <f t="shared" si="141"/>
        <v>0</v>
      </c>
      <c r="S479" s="105"/>
      <c r="T479" s="105">
        <f t="shared" si="131"/>
        <v>0</v>
      </c>
      <c r="U479" s="105"/>
      <c r="V479" s="91">
        <f t="shared" si="137"/>
        <v>0</v>
      </c>
      <c r="W479" s="105"/>
      <c r="X479" s="105">
        <f t="shared" si="143"/>
        <v>0</v>
      </c>
      <c r="Y479" s="105"/>
      <c r="Z479" s="105">
        <f t="shared" si="142"/>
        <v>0</v>
      </c>
      <c r="AA479" s="105"/>
      <c r="AB479" s="105">
        <f t="shared" si="138"/>
        <v>0</v>
      </c>
      <c r="AC479" s="105"/>
      <c r="AD479" s="105">
        <f t="shared" si="139"/>
        <v>0</v>
      </c>
      <c r="AE479" s="105"/>
      <c r="AF479" s="105">
        <f t="shared" si="140"/>
        <v>0</v>
      </c>
      <c r="AG479" s="105"/>
      <c r="AH479" s="106"/>
      <c r="AK479" s="106">
        <f t="shared" si="135"/>
        <v>0</v>
      </c>
      <c r="AL479" s="106">
        <f t="shared" si="136"/>
        <v>0</v>
      </c>
      <c r="AQ479" s="107"/>
      <c r="AS479" s="108"/>
    </row>
    <row r="480" spans="1:45" x14ac:dyDescent="0.2">
      <c r="A480" s="112" t="s">
        <v>202</v>
      </c>
      <c r="B480" s="101" t="s">
        <v>44</v>
      </c>
      <c r="C480" s="113" t="s">
        <v>786</v>
      </c>
      <c r="F480" s="102">
        <f>E480</f>
        <v>0</v>
      </c>
      <c r="G480" s="102"/>
      <c r="H480" s="102"/>
      <c r="I480" s="102"/>
      <c r="J480" s="105"/>
      <c r="K480" s="105"/>
      <c r="L480" s="105"/>
      <c r="M480" s="105">
        <f t="shared" si="133"/>
        <v>0</v>
      </c>
      <c r="N480" s="105"/>
      <c r="O480" s="105"/>
      <c r="P480" s="105">
        <f t="shared" si="130"/>
        <v>0</v>
      </c>
      <c r="Q480" s="105"/>
      <c r="R480" s="105">
        <f t="shared" si="141"/>
        <v>0</v>
      </c>
      <c r="S480" s="105"/>
      <c r="T480" s="105">
        <f t="shared" si="131"/>
        <v>0</v>
      </c>
      <c r="U480" s="105"/>
      <c r="V480" s="91">
        <f t="shared" si="137"/>
        <v>0</v>
      </c>
      <c r="W480" s="105"/>
      <c r="X480" s="105">
        <f t="shared" si="143"/>
        <v>0</v>
      </c>
      <c r="Y480" s="105"/>
      <c r="Z480" s="105">
        <f t="shared" si="142"/>
        <v>0</v>
      </c>
      <c r="AA480" s="105"/>
      <c r="AB480" s="105">
        <f>$F479*AA480</f>
        <v>0</v>
      </c>
      <c r="AC480" s="105"/>
      <c r="AD480" s="105">
        <f t="shared" si="139"/>
        <v>0</v>
      </c>
      <c r="AE480" s="105"/>
      <c r="AF480" s="105">
        <f t="shared" si="140"/>
        <v>0</v>
      </c>
      <c r="AG480" s="105"/>
      <c r="AH480" s="106"/>
      <c r="AK480" s="106">
        <f t="shared" si="135"/>
        <v>0</v>
      </c>
      <c r="AL480" s="106">
        <f t="shared" si="136"/>
        <v>0</v>
      </c>
      <c r="AQ480" s="107"/>
      <c r="AS480" s="108"/>
    </row>
    <row r="481" spans="1:45" x14ac:dyDescent="0.2">
      <c r="A481" s="112" t="s">
        <v>202</v>
      </c>
      <c r="B481" s="101"/>
      <c r="C481" s="92" t="s">
        <v>787</v>
      </c>
      <c r="D481" s="92"/>
      <c r="F481" s="104">
        <f>SUM(F479:F480)</f>
        <v>0</v>
      </c>
      <c r="G481" s="104">
        <f>F481</f>
        <v>0</v>
      </c>
      <c r="H481" s="105">
        <f>VLOOKUP(A481,Data!$A$2:$Z$179,24,FALSE)</f>
        <v>27</v>
      </c>
      <c r="I481" s="105">
        <f>VLOOKUP(A481,Data!$A$2:$Z$179,25,FALSE)</f>
        <v>0.94700000000000006</v>
      </c>
      <c r="J481" s="105">
        <f>VLOOKUP(A481,Data!$A$2:$Z$179,7,FALSE)</f>
        <v>26.053000000000001</v>
      </c>
      <c r="K481" s="105">
        <f>$F481*J481</f>
        <v>0</v>
      </c>
      <c r="L481" s="105">
        <f>VLOOKUP(A481,Data!$A$2:$Z$179,8,FALSE)</f>
        <v>0</v>
      </c>
      <c r="M481" s="105">
        <f>L481*F481</f>
        <v>0</v>
      </c>
      <c r="N481" s="105">
        <f>VLOOKUP(A481,Data!$A$2:$Z$179,9,FALSE)</f>
        <v>0</v>
      </c>
      <c r="O481" s="105">
        <f>VLOOKUP(A480,Data!$A$2:$Z$179,10,FALSE)</f>
        <v>0</v>
      </c>
      <c r="P481" s="105">
        <f>O481*F481</f>
        <v>0</v>
      </c>
      <c r="Q481" s="105">
        <f>VLOOKUP(A481,Data!$A$2:$Z$179,11,FALSE)</f>
        <v>0</v>
      </c>
      <c r="R481" s="105">
        <f t="shared" si="141"/>
        <v>0</v>
      </c>
      <c r="S481" s="105">
        <f>VLOOKUP(A481,Data!$A$2:$Z$179,12,FALSE)</f>
        <v>0</v>
      </c>
      <c r="T481" s="105">
        <f>S481*F481</f>
        <v>0</v>
      </c>
      <c r="U481" s="105">
        <f>VLOOKUP(A481,Data!$A$2:$Z$179,13,FALSE)</f>
        <v>7.2552514894506258E-3</v>
      </c>
      <c r="V481" s="91">
        <f t="shared" si="137"/>
        <v>0</v>
      </c>
      <c r="W481" s="105">
        <f>VLOOKUP(A481,Data!$A$2:$Z$179,22,FALSE)</f>
        <v>0</v>
      </c>
      <c r="X481" s="105">
        <f>W481*F481</f>
        <v>0</v>
      </c>
      <c r="Y481" s="105">
        <f>VLOOKUP(A481,Data!$A$2:$Z$179,19,FALSE)</f>
        <v>0</v>
      </c>
      <c r="Z481" s="105">
        <f t="shared" si="142"/>
        <v>0</v>
      </c>
      <c r="AA481" s="105">
        <f>VLOOKUP(A481,Data!$A$2:$Z$179,20,FALSE)</f>
        <v>0</v>
      </c>
      <c r="AB481" s="105">
        <f>$F481*AA481</f>
        <v>0</v>
      </c>
      <c r="AC481" s="105">
        <f>VLOOKUP(A481,Data!$A$2:$Z$179,21,FALSE)</f>
        <v>0</v>
      </c>
      <c r="AD481" s="105">
        <f t="shared" si="139"/>
        <v>0</v>
      </c>
      <c r="AE481" s="105">
        <f>J481+L481+N481+O481+Q481+S481+U481+W481+Y481+AA481+AC481</f>
        <v>26.060255251489451</v>
      </c>
      <c r="AF481" s="105">
        <f t="shared" si="140"/>
        <v>0</v>
      </c>
      <c r="AG481" s="105"/>
      <c r="AH481" s="106">
        <f>AE481-S481-W481</f>
        <v>26.060255251489451</v>
      </c>
      <c r="AI481" s="85">
        <f>AH481/AE481</f>
        <v>1</v>
      </c>
      <c r="AK481" s="106">
        <f t="shared" si="135"/>
        <v>0</v>
      </c>
      <c r="AL481" s="106">
        <f t="shared" si="136"/>
        <v>0</v>
      </c>
      <c r="AQ481" s="107"/>
      <c r="AS481" s="108"/>
    </row>
    <row r="482" spans="1:45" x14ac:dyDescent="0.2">
      <c r="B482" s="101"/>
      <c r="C482" s="92"/>
      <c r="D482" s="92"/>
      <c r="F482" s="109"/>
      <c r="G482" s="109"/>
      <c r="H482" s="109"/>
      <c r="I482" s="109"/>
      <c r="J482" s="105"/>
      <c r="K482" s="105"/>
      <c r="L482" s="105"/>
      <c r="M482" s="105">
        <f t="shared" si="133"/>
        <v>0</v>
      </c>
      <c r="N482" s="105"/>
      <c r="O482" s="105"/>
      <c r="P482" s="105">
        <f t="shared" ref="P482:P545" si="144">O482*F482</f>
        <v>0</v>
      </c>
      <c r="Q482" s="105"/>
      <c r="R482" s="105">
        <f t="shared" si="141"/>
        <v>0</v>
      </c>
      <c r="S482" s="105"/>
      <c r="T482" s="105">
        <f t="shared" ref="T482:T545" si="145">S482*F482</f>
        <v>0</v>
      </c>
      <c r="U482" s="105"/>
      <c r="V482" s="91">
        <f t="shared" si="137"/>
        <v>0</v>
      </c>
      <c r="W482" s="105"/>
      <c r="X482" s="105">
        <f t="shared" si="143"/>
        <v>0</v>
      </c>
      <c r="Y482" s="105"/>
      <c r="Z482" s="105">
        <f t="shared" si="142"/>
        <v>0</v>
      </c>
      <c r="AA482" s="105"/>
      <c r="AB482" s="105">
        <f>$F481*AA482</f>
        <v>0</v>
      </c>
      <c r="AC482" s="105"/>
      <c r="AD482" s="105">
        <f t="shared" si="139"/>
        <v>0</v>
      </c>
      <c r="AE482" s="105"/>
      <c r="AF482" s="105">
        <f t="shared" si="140"/>
        <v>0</v>
      </c>
      <c r="AG482" s="105"/>
      <c r="AH482" s="106"/>
      <c r="AK482" s="106">
        <f t="shared" si="135"/>
        <v>0</v>
      </c>
      <c r="AL482" s="106">
        <f t="shared" si="136"/>
        <v>0</v>
      </c>
      <c r="AQ482" s="107"/>
      <c r="AS482" s="108"/>
    </row>
    <row r="483" spans="1:45" x14ac:dyDescent="0.2">
      <c r="A483" s="112" t="s">
        <v>203</v>
      </c>
      <c r="B483" s="113" t="s">
        <v>204</v>
      </c>
      <c r="C483" s="113" t="s">
        <v>788</v>
      </c>
      <c r="F483" s="102">
        <f>E483</f>
        <v>0</v>
      </c>
      <c r="G483" s="103"/>
      <c r="H483" s="103"/>
      <c r="I483" s="103"/>
      <c r="J483" s="105"/>
      <c r="K483" s="105"/>
      <c r="L483" s="105"/>
      <c r="M483" s="105">
        <f t="shared" si="133"/>
        <v>0</v>
      </c>
      <c r="N483" s="105"/>
      <c r="O483" s="105"/>
      <c r="P483" s="105">
        <f t="shared" si="144"/>
        <v>0</v>
      </c>
      <c r="Q483" s="105"/>
      <c r="R483" s="105">
        <f t="shared" si="141"/>
        <v>0</v>
      </c>
      <c r="S483" s="105"/>
      <c r="T483" s="105">
        <f t="shared" si="145"/>
        <v>0</v>
      </c>
      <c r="U483" s="105"/>
      <c r="V483" s="91">
        <f t="shared" si="137"/>
        <v>0</v>
      </c>
      <c r="W483" s="105"/>
      <c r="X483" s="105">
        <f t="shared" si="143"/>
        <v>0</v>
      </c>
      <c r="Y483" s="105"/>
      <c r="Z483" s="105">
        <f t="shared" si="142"/>
        <v>0</v>
      </c>
      <c r="AA483" s="105"/>
      <c r="AB483" s="105">
        <f>$F482*AA483</f>
        <v>0</v>
      </c>
      <c r="AC483" s="105"/>
      <c r="AD483" s="105">
        <f t="shared" si="139"/>
        <v>0</v>
      </c>
      <c r="AE483" s="105"/>
      <c r="AF483" s="105">
        <f t="shared" si="140"/>
        <v>0</v>
      </c>
      <c r="AG483" s="105"/>
      <c r="AH483" s="106"/>
      <c r="AK483" s="106">
        <f t="shared" si="135"/>
        <v>0</v>
      </c>
      <c r="AL483" s="106">
        <f t="shared" si="136"/>
        <v>0</v>
      </c>
      <c r="AQ483" s="107"/>
      <c r="AS483" s="108"/>
    </row>
    <row r="484" spans="1:45" x14ac:dyDescent="0.2">
      <c r="A484" s="112" t="s">
        <v>203</v>
      </c>
      <c r="B484" s="101"/>
      <c r="C484" s="92" t="s">
        <v>789</v>
      </c>
      <c r="D484" s="92"/>
      <c r="F484" s="104">
        <f>SUM(F483)</f>
        <v>0</v>
      </c>
      <c r="G484" s="104">
        <f>F484</f>
        <v>0</v>
      </c>
      <c r="H484" s="105">
        <f>VLOOKUP(A484,Data!$A$2:$Z$179,24,FALSE)</f>
        <v>27</v>
      </c>
      <c r="I484" s="105">
        <f>VLOOKUP(A484,Data!$A$2:$Z$179,25,FALSE)</f>
        <v>0</v>
      </c>
      <c r="J484" s="105">
        <f>VLOOKUP(A484,Data!$A$2:$Z$179,7,FALSE)</f>
        <v>27</v>
      </c>
      <c r="K484" s="105">
        <f>$F484*J484</f>
        <v>0</v>
      </c>
      <c r="L484" s="105">
        <f>VLOOKUP(A484,Data!$A$2:$Z$179,8,FALSE)</f>
        <v>0</v>
      </c>
      <c r="M484" s="105">
        <f>L484*F484</f>
        <v>0</v>
      </c>
      <c r="N484" s="105">
        <f>VLOOKUP(A484,Data!$A$2:$Z$179,9,FALSE)</f>
        <v>0</v>
      </c>
      <c r="O484" s="105">
        <f>VLOOKUP(A483,Data!$A$2:$Z$179,10,FALSE)</f>
        <v>0</v>
      </c>
      <c r="P484" s="105">
        <f>O484*F484</f>
        <v>0</v>
      </c>
      <c r="Q484" s="105">
        <f>VLOOKUP(A484,Data!$A$2:$Z$179,11,FALSE)</f>
        <v>0</v>
      </c>
      <c r="R484" s="105">
        <f t="shared" si="141"/>
        <v>0</v>
      </c>
      <c r="S484" s="105">
        <f>VLOOKUP(A484,Data!$A$2:$Z$179,12,FALSE)</f>
        <v>0</v>
      </c>
      <c r="T484" s="105">
        <f>S484*F484</f>
        <v>0</v>
      </c>
      <c r="U484" s="105">
        <f>VLOOKUP(A484,Data!$A$2:$Z$179,13,FALSE)</f>
        <v>0.46249395482822658</v>
      </c>
      <c r="V484" s="91">
        <f t="shared" si="137"/>
        <v>0</v>
      </c>
      <c r="W484" s="105">
        <f>VLOOKUP(A484,Data!$A$2:$Z$179,22,FALSE)</f>
        <v>0</v>
      </c>
      <c r="X484" s="105">
        <f>W484*F484</f>
        <v>0</v>
      </c>
      <c r="Y484" s="105">
        <f>VLOOKUP(A484,Data!$A$2:$Z$179,19,FALSE)</f>
        <v>0</v>
      </c>
      <c r="Z484" s="105">
        <f t="shared" si="142"/>
        <v>0</v>
      </c>
      <c r="AA484" s="105">
        <f>VLOOKUP(A484,Data!$A$2:$Z$179,20,FALSE)</f>
        <v>0</v>
      </c>
      <c r="AB484" s="105">
        <f>$F484*AA484</f>
        <v>0</v>
      </c>
      <c r="AC484" s="105">
        <f>VLOOKUP(A484,Data!$A$2:$Z$179,21,FALSE)</f>
        <v>0</v>
      </c>
      <c r="AD484" s="105">
        <f t="shared" si="139"/>
        <v>0</v>
      </c>
      <c r="AE484" s="105">
        <f>J484+L484+N484+O484+Q484+S484+U484+W484+Y484+AA484+AC484</f>
        <v>27.462493954828226</v>
      </c>
      <c r="AF484" s="105">
        <f t="shared" si="140"/>
        <v>0</v>
      </c>
      <c r="AG484" s="105"/>
      <c r="AH484" s="106">
        <f>AE484-S484-W484</f>
        <v>27.462493954828226</v>
      </c>
      <c r="AI484" s="85">
        <f>AH484/AE484</f>
        <v>1</v>
      </c>
      <c r="AK484" s="106">
        <f t="shared" si="135"/>
        <v>0</v>
      </c>
      <c r="AL484" s="106">
        <f t="shared" si="136"/>
        <v>0</v>
      </c>
      <c r="AQ484" s="107"/>
      <c r="AS484" s="108"/>
    </row>
    <row r="485" spans="1:45" x14ac:dyDescent="0.2">
      <c r="B485" s="101"/>
      <c r="C485" s="92"/>
      <c r="D485" s="92"/>
      <c r="F485" s="109"/>
      <c r="G485" s="109"/>
      <c r="H485" s="109"/>
      <c r="I485" s="109"/>
      <c r="J485" s="105"/>
      <c r="K485" s="105"/>
      <c r="L485" s="105"/>
      <c r="M485" s="105">
        <f t="shared" si="133"/>
        <v>0</v>
      </c>
      <c r="N485" s="105"/>
      <c r="O485" s="105"/>
      <c r="P485" s="105">
        <f t="shared" si="144"/>
        <v>0</v>
      </c>
      <c r="Q485" s="105"/>
      <c r="R485" s="105">
        <f t="shared" si="141"/>
        <v>0</v>
      </c>
      <c r="S485" s="105"/>
      <c r="T485" s="105">
        <f t="shared" si="145"/>
        <v>0</v>
      </c>
      <c r="U485" s="105"/>
      <c r="V485" s="91">
        <f t="shared" si="137"/>
        <v>0</v>
      </c>
      <c r="W485" s="105"/>
      <c r="X485" s="105">
        <f t="shared" si="143"/>
        <v>0</v>
      </c>
      <c r="Y485" s="105"/>
      <c r="Z485" s="105">
        <f t="shared" si="142"/>
        <v>0</v>
      </c>
      <c r="AA485" s="105"/>
      <c r="AB485" s="105">
        <f t="shared" ref="AB485:AB501" si="146">$F485*AA485</f>
        <v>0</v>
      </c>
      <c r="AC485" s="105"/>
      <c r="AD485" s="105">
        <f t="shared" si="139"/>
        <v>0</v>
      </c>
      <c r="AE485" s="105"/>
      <c r="AF485" s="105">
        <f t="shared" si="140"/>
        <v>0</v>
      </c>
      <c r="AG485" s="105"/>
      <c r="AH485" s="106"/>
      <c r="AK485" s="106">
        <f t="shared" si="135"/>
        <v>0</v>
      </c>
      <c r="AL485" s="106">
        <f t="shared" si="136"/>
        <v>0</v>
      </c>
      <c r="AQ485" s="107"/>
      <c r="AS485" s="108"/>
    </row>
    <row r="486" spans="1:45" x14ac:dyDescent="0.2">
      <c r="A486" s="112" t="s">
        <v>205</v>
      </c>
      <c r="B486" s="113" t="s">
        <v>204</v>
      </c>
      <c r="C486" s="113" t="s">
        <v>790</v>
      </c>
      <c r="F486" s="102">
        <f>E486</f>
        <v>0</v>
      </c>
      <c r="G486" s="103"/>
      <c r="H486" s="103"/>
      <c r="I486" s="103"/>
      <c r="J486" s="105"/>
      <c r="K486" s="105"/>
      <c r="L486" s="105"/>
      <c r="M486" s="105">
        <f t="shared" si="133"/>
        <v>0</v>
      </c>
      <c r="N486" s="105"/>
      <c r="O486" s="105"/>
      <c r="P486" s="105">
        <f t="shared" si="144"/>
        <v>0</v>
      </c>
      <c r="Q486" s="105"/>
      <c r="R486" s="105">
        <f t="shared" si="141"/>
        <v>0</v>
      </c>
      <c r="S486" s="105"/>
      <c r="T486" s="105">
        <f t="shared" si="145"/>
        <v>0</v>
      </c>
      <c r="U486" s="105"/>
      <c r="V486" s="91">
        <f t="shared" si="137"/>
        <v>0</v>
      </c>
      <c r="W486" s="105"/>
      <c r="X486" s="105">
        <f t="shared" si="143"/>
        <v>0</v>
      </c>
      <c r="Y486" s="105"/>
      <c r="Z486" s="105">
        <f t="shared" si="142"/>
        <v>0</v>
      </c>
      <c r="AA486" s="105"/>
      <c r="AB486" s="105">
        <f t="shared" si="146"/>
        <v>0</v>
      </c>
      <c r="AC486" s="105"/>
      <c r="AD486" s="105">
        <f t="shared" si="139"/>
        <v>0</v>
      </c>
      <c r="AE486" s="105"/>
      <c r="AF486" s="105">
        <f t="shared" si="140"/>
        <v>0</v>
      </c>
      <c r="AG486" s="105"/>
      <c r="AH486" s="106"/>
      <c r="AK486" s="106">
        <f t="shared" si="135"/>
        <v>0</v>
      </c>
      <c r="AL486" s="106">
        <f t="shared" si="136"/>
        <v>0</v>
      </c>
      <c r="AQ486" s="107"/>
      <c r="AS486" s="108"/>
    </row>
    <row r="487" spans="1:45" x14ac:dyDescent="0.2">
      <c r="A487" s="112" t="s">
        <v>205</v>
      </c>
      <c r="B487" s="101"/>
      <c r="C487" s="92" t="s">
        <v>791</v>
      </c>
      <c r="D487" s="92"/>
      <c r="F487" s="104">
        <f>SUM(F486)</f>
        <v>0</v>
      </c>
      <c r="G487" s="104">
        <f>F487</f>
        <v>0</v>
      </c>
      <c r="H487" s="105">
        <f>VLOOKUP(A487,Data!$A$2:$Z$179,24,FALSE)</f>
        <v>27</v>
      </c>
      <c r="I487" s="105">
        <f>VLOOKUP(A487,Data!$A$2:$Z$179,25,FALSE)</f>
        <v>0</v>
      </c>
      <c r="J487" s="105">
        <f>VLOOKUP(A487,Data!$A$2:$Z$179,7,FALSE)</f>
        <v>27</v>
      </c>
      <c r="K487" s="105">
        <f>$F487*J487</f>
        <v>0</v>
      </c>
      <c r="L487" s="105">
        <f>VLOOKUP(A487,Data!$A$2:$Z$179,8,FALSE)</f>
        <v>0</v>
      </c>
      <c r="M487" s="105">
        <f>L487*F487</f>
        <v>0</v>
      </c>
      <c r="N487" s="105">
        <f>VLOOKUP(A487,Data!$A$2:$Z$179,9,FALSE)</f>
        <v>0</v>
      </c>
      <c r="O487" s="105">
        <f>VLOOKUP(A486,Data!$A$2:$Z$179,10,FALSE)</f>
        <v>0</v>
      </c>
      <c r="P487" s="105">
        <f>O487*F487</f>
        <v>0</v>
      </c>
      <c r="Q487" s="105">
        <f>VLOOKUP(A487,Data!$A$2:$Z$179,11,FALSE)</f>
        <v>0</v>
      </c>
      <c r="R487" s="105">
        <f t="shared" si="141"/>
        <v>0</v>
      </c>
      <c r="S487" s="105">
        <f>VLOOKUP(A487,Data!$A$2:$Z$179,12,FALSE)</f>
        <v>0</v>
      </c>
      <c r="T487" s="105">
        <f>S487*F487</f>
        <v>0</v>
      </c>
      <c r="U487" s="105">
        <f>VLOOKUP(A487,Data!$A$2:$Z$179,13,FALSE)</f>
        <v>5.1061113234454621E-2</v>
      </c>
      <c r="V487" s="91">
        <f t="shared" si="137"/>
        <v>0</v>
      </c>
      <c r="W487" s="105">
        <f>VLOOKUP(A487,Data!$A$2:$Z$179,22,FALSE)</f>
        <v>0</v>
      </c>
      <c r="X487" s="105">
        <f>W487*F487</f>
        <v>0</v>
      </c>
      <c r="Y487" s="105">
        <f>VLOOKUP(A487,Data!$A$2:$Z$179,19,FALSE)</f>
        <v>0</v>
      </c>
      <c r="Z487" s="105">
        <f t="shared" si="142"/>
        <v>0</v>
      </c>
      <c r="AA487" s="105">
        <f>VLOOKUP(A487,Data!$A$2:$Z$179,20,FALSE)</f>
        <v>0</v>
      </c>
      <c r="AB487" s="105">
        <f t="shared" si="146"/>
        <v>0</v>
      </c>
      <c r="AC487" s="105">
        <f>VLOOKUP(A487,Data!$A$2:$Z$179,21,FALSE)</f>
        <v>0</v>
      </c>
      <c r="AD487" s="105">
        <f t="shared" si="139"/>
        <v>0</v>
      </c>
      <c r="AE487" s="105">
        <f>J487+L487+N487+O487+Q487+S487+U487+W487+Y487+AA487+AC487</f>
        <v>27.051061113234454</v>
      </c>
      <c r="AF487" s="105">
        <f t="shared" si="140"/>
        <v>0</v>
      </c>
      <c r="AG487" s="105"/>
      <c r="AH487" s="106">
        <f>AE487-S487-W487</f>
        <v>27.051061113234454</v>
      </c>
      <c r="AI487" s="85">
        <f>AH487/AE487</f>
        <v>1</v>
      </c>
      <c r="AK487" s="106">
        <f t="shared" si="135"/>
        <v>0</v>
      </c>
      <c r="AL487" s="106">
        <f t="shared" si="136"/>
        <v>0</v>
      </c>
      <c r="AQ487" s="107"/>
      <c r="AR487" s="112"/>
      <c r="AS487" s="108"/>
    </row>
    <row r="488" spans="1:45" x14ac:dyDescent="0.2">
      <c r="B488" s="101"/>
      <c r="C488" s="92"/>
      <c r="D488" s="92"/>
      <c r="F488" s="109"/>
      <c r="G488" s="109"/>
      <c r="H488" s="109"/>
      <c r="I488" s="109"/>
      <c r="J488" s="105"/>
      <c r="K488" s="105"/>
      <c r="L488" s="105"/>
      <c r="M488" s="105">
        <f t="shared" si="133"/>
        <v>0</v>
      </c>
      <c r="N488" s="105"/>
      <c r="O488" s="105"/>
      <c r="P488" s="105">
        <f t="shared" si="144"/>
        <v>0</v>
      </c>
      <c r="Q488" s="105"/>
      <c r="R488" s="105">
        <f t="shared" si="141"/>
        <v>0</v>
      </c>
      <c r="S488" s="105"/>
      <c r="T488" s="105">
        <f t="shared" si="145"/>
        <v>0</v>
      </c>
      <c r="U488" s="105"/>
      <c r="V488" s="91">
        <f t="shared" si="137"/>
        <v>0</v>
      </c>
      <c r="W488" s="105"/>
      <c r="X488" s="105">
        <f t="shared" si="143"/>
        <v>0</v>
      </c>
      <c r="Y488" s="105"/>
      <c r="Z488" s="105">
        <f t="shared" si="142"/>
        <v>0</v>
      </c>
      <c r="AA488" s="105"/>
      <c r="AB488" s="105">
        <f t="shared" si="146"/>
        <v>0</v>
      </c>
      <c r="AC488" s="105"/>
      <c r="AD488" s="105">
        <f t="shared" si="139"/>
        <v>0</v>
      </c>
      <c r="AE488" s="105"/>
      <c r="AF488" s="105">
        <f t="shared" si="140"/>
        <v>0</v>
      </c>
      <c r="AG488" s="105"/>
      <c r="AH488" s="106"/>
      <c r="AK488" s="106">
        <f t="shared" si="135"/>
        <v>0</v>
      </c>
      <c r="AL488" s="106">
        <f t="shared" si="136"/>
        <v>0</v>
      </c>
      <c r="AQ488" s="107"/>
      <c r="AS488" s="108"/>
    </row>
    <row r="489" spans="1:45" x14ac:dyDescent="0.2">
      <c r="A489" s="85" t="s">
        <v>206</v>
      </c>
      <c r="B489" s="101" t="s">
        <v>207</v>
      </c>
      <c r="C489" s="86" t="s">
        <v>792</v>
      </c>
      <c r="F489" s="102">
        <f>E489</f>
        <v>0</v>
      </c>
      <c r="G489" s="103"/>
      <c r="H489" s="103"/>
      <c r="I489" s="103"/>
      <c r="J489" s="105"/>
      <c r="K489" s="105"/>
      <c r="L489" s="105"/>
      <c r="M489" s="105">
        <f t="shared" si="133"/>
        <v>0</v>
      </c>
      <c r="N489" s="105"/>
      <c r="O489" s="105"/>
      <c r="P489" s="105">
        <f t="shared" si="144"/>
        <v>0</v>
      </c>
      <c r="Q489" s="105"/>
      <c r="R489" s="105">
        <f t="shared" si="141"/>
        <v>0</v>
      </c>
      <c r="S489" s="105"/>
      <c r="T489" s="105">
        <f t="shared" si="145"/>
        <v>0</v>
      </c>
      <c r="U489" s="105"/>
      <c r="V489" s="91">
        <f t="shared" si="137"/>
        <v>0</v>
      </c>
      <c r="W489" s="105"/>
      <c r="X489" s="105">
        <f t="shared" si="143"/>
        <v>0</v>
      </c>
      <c r="Y489" s="105"/>
      <c r="Z489" s="105">
        <f t="shared" si="142"/>
        <v>0</v>
      </c>
      <c r="AA489" s="105"/>
      <c r="AB489" s="105">
        <f t="shared" si="146"/>
        <v>0</v>
      </c>
      <c r="AC489" s="105"/>
      <c r="AD489" s="105">
        <f t="shared" si="139"/>
        <v>0</v>
      </c>
      <c r="AE489" s="105"/>
      <c r="AF489" s="105">
        <f t="shared" si="140"/>
        <v>0</v>
      </c>
      <c r="AG489" s="105"/>
      <c r="AH489" s="106"/>
      <c r="AK489" s="106">
        <f t="shared" si="135"/>
        <v>0</v>
      </c>
      <c r="AL489" s="106">
        <f t="shared" si="136"/>
        <v>0</v>
      </c>
      <c r="AQ489" s="107"/>
      <c r="AR489" s="110"/>
      <c r="AS489" s="108"/>
    </row>
    <row r="490" spans="1:45" x14ac:dyDescent="0.2">
      <c r="A490" s="85" t="s">
        <v>206</v>
      </c>
      <c r="B490" s="101"/>
      <c r="C490" s="92" t="s">
        <v>793</v>
      </c>
      <c r="D490" s="92"/>
      <c r="F490" s="104">
        <f>SUM(F489)</f>
        <v>0</v>
      </c>
      <c r="G490" s="104">
        <f>F490</f>
        <v>0</v>
      </c>
      <c r="H490" s="105">
        <f>VLOOKUP(A490,Data!$A$2:$Z$179,24,FALSE)</f>
        <v>5.7670000000000003</v>
      </c>
      <c r="I490" s="105">
        <f>VLOOKUP(A490,Data!$A$2:$Z$179,25,FALSE)</f>
        <v>0</v>
      </c>
      <c r="J490" s="105">
        <f>VLOOKUP(A490,Data!$A$2:$Z$179,7,FALSE)</f>
        <v>5.7670000000000003</v>
      </c>
      <c r="K490" s="105">
        <f>$F490*J490</f>
        <v>0</v>
      </c>
      <c r="L490" s="105">
        <f>VLOOKUP(A490,Data!$A$2:$Z$179,8,FALSE)</f>
        <v>0</v>
      </c>
      <c r="M490" s="105">
        <f>L490*F490</f>
        <v>0</v>
      </c>
      <c r="N490" s="105">
        <f>VLOOKUP(A490,Data!$A$2:$Z$179,9,FALSE)</f>
        <v>0</v>
      </c>
      <c r="O490" s="105">
        <f>VLOOKUP(A489,Data!$A$2:$Z$179,10,FALSE)</f>
        <v>0</v>
      </c>
      <c r="P490" s="105">
        <f>O490*F490</f>
        <v>0</v>
      </c>
      <c r="Q490" s="105">
        <f>VLOOKUP(A490,Data!$A$2:$Z$179,11,FALSE)</f>
        <v>0</v>
      </c>
      <c r="R490" s="105">
        <f t="shared" si="141"/>
        <v>0</v>
      </c>
      <c r="S490" s="105">
        <f>VLOOKUP(A490,Data!$A$2:$Z$179,12,FALSE)</f>
        <v>0.873</v>
      </c>
      <c r="T490" s="105">
        <f>S490*F490</f>
        <v>0</v>
      </c>
      <c r="U490" s="105">
        <f>VLOOKUP(A490,Data!$A$2:$Z$179,13,FALSE)</f>
        <v>0</v>
      </c>
      <c r="V490" s="91">
        <f t="shared" si="137"/>
        <v>0</v>
      </c>
      <c r="W490" s="105">
        <f>VLOOKUP(A490,Data!$A$2:$Z$179,22,FALSE)</f>
        <v>0</v>
      </c>
      <c r="X490" s="105">
        <f>W490*F490</f>
        <v>0</v>
      </c>
      <c r="Y490" s="105">
        <f>VLOOKUP(A490,Data!$A$2:$Z$179,19,FALSE)</f>
        <v>0</v>
      </c>
      <c r="Z490" s="105">
        <f t="shared" si="142"/>
        <v>0</v>
      </c>
      <c r="AA490" s="105">
        <f>VLOOKUP(A490,Data!$A$2:$Z$179,20,FALSE)</f>
        <v>0</v>
      </c>
      <c r="AB490" s="105">
        <f t="shared" si="146"/>
        <v>0</v>
      </c>
      <c r="AC490" s="105">
        <f>VLOOKUP(A490,Data!$A$2:$Z$179,21,FALSE)</f>
        <v>0</v>
      </c>
      <c r="AD490" s="105">
        <f t="shared" si="139"/>
        <v>0</v>
      </c>
      <c r="AE490" s="105">
        <f>J490+L490+N490+O490+Q490+S490+U490+W490+Y490+AA490+AC490</f>
        <v>6.6400000000000006</v>
      </c>
      <c r="AF490" s="105">
        <f t="shared" si="140"/>
        <v>0</v>
      </c>
      <c r="AG490" s="105"/>
      <c r="AH490" s="106">
        <f>AE490-S490-W490</f>
        <v>5.7670000000000003</v>
      </c>
      <c r="AI490" s="85">
        <f>AH490/AE490</f>
        <v>0.86852409638554218</v>
      </c>
      <c r="AK490" s="106">
        <f t="shared" si="135"/>
        <v>0.873</v>
      </c>
      <c r="AL490" s="106">
        <f t="shared" si="136"/>
        <v>0.873</v>
      </c>
      <c r="AQ490" s="107"/>
      <c r="AS490" s="108"/>
    </row>
    <row r="491" spans="1:45" x14ac:dyDescent="0.2">
      <c r="B491" s="101"/>
      <c r="C491" s="92"/>
      <c r="D491" s="92"/>
      <c r="F491" s="109"/>
      <c r="G491" s="109"/>
      <c r="H491" s="109"/>
      <c r="I491" s="109"/>
      <c r="J491" s="105"/>
      <c r="K491" s="105"/>
      <c r="L491" s="105"/>
      <c r="M491" s="105">
        <f t="shared" si="133"/>
        <v>0</v>
      </c>
      <c r="N491" s="105"/>
      <c r="O491" s="105"/>
      <c r="P491" s="105">
        <f t="shared" si="144"/>
        <v>0</v>
      </c>
      <c r="Q491" s="105"/>
      <c r="R491" s="105">
        <f t="shared" si="141"/>
        <v>0</v>
      </c>
      <c r="S491" s="105"/>
      <c r="T491" s="105">
        <f t="shared" si="145"/>
        <v>0</v>
      </c>
      <c r="U491" s="105"/>
      <c r="V491" s="91">
        <f t="shared" si="137"/>
        <v>0</v>
      </c>
      <c r="W491" s="105"/>
      <c r="X491" s="105">
        <f t="shared" si="143"/>
        <v>0</v>
      </c>
      <c r="Y491" s="105"/>
      <c r="Z491" s="105">
        <f t="shared" si="142"/>
        <v>0</v>
      </c>
      <c r="AA491" s="105"/>
      <c r="AB491" s="105">
        <f t="shared" si="146"/>
        <v>0</v>
      </c>
      <c r="AC491" s="105"/>
      <c r="AD491" s="105">
        <f t="shared" si="139"/>
        <v>0</v>
      </c>
      <c r="AE491" s="105"/>
      <c r="AF491" s="105">
        <f t="shared" si="140"/>
        <v>0</v>
      </c>
      <c r="AG491" s="105"/>
      <c r="AH491" s="106"/>
      <c r="AK491" s="106">
        <f t="shared" si="135"/>
        <v>0</v>
      </c>
      <c r="AL491" s="106">
        <f t="shared" si="136"/>
        <v>0</v>
      </c>
      <c r="AQ491" s="107"/>
      <c r="AS491" s="108"/>
    </row>
    <row r="492" spans="1:45" x14ac:dyDescent="0.2">
      <c r="A492" s="85" t="s">
        <v>208</v>
      </c>
      <c r="B492" s="101" t="s">
        <v>207</v>
      </c>
      <c r="C492" s="86" t="s">
        <v>794</v>
      </c>
      <c r="F492" s="102">
        <f>E492</f>
        <v>0</v>
      </c>
      <c r="G492" s="103"/>
      <c r="H492" s="103"/>
      <c r="I492" s="103"/>
      <c r="J492" s="105"/>
      <c r="K492" s="105"/>
      <c r="L492" s="105"/>
      <c r="M492" s="105">
        <f t="shared" si="133"/>
        <v>0</v>
      </c>
      <c r="N492" s="105"/>
      <c r="O492" s="105"/>
      <c r="P492" s="105">
        <f t="shared" si="144"/>
        <v>0</v>
      </c>
      <c r="Q492" s="105"/>
      <c r="R492" s="105">
        <f t="shared" si="141"/>
        <v>0</v>
      </c>
      <c r="S492" s="105"/>
      <c r="T492" s="105">
        <f t="shared" si="145"/>
        <v>0</v>
      </c>
      <c r="U492" s="105"/>
      <c r="V492" s="91">
        <f t="shared" si="137"/>
        <v>0</v>
      </c>
      <c r="W492" s="105"/>
      <c r="X492" s="105">
        <f t="shared" si="143"/>
        <v>0</v>
      </c>
      <c r="Y492" s="105"/>
      <c r="Z492" s="105">
        <f t="shared" si="142"/>
        <v>0</v>
      </c>
      <c r="AA492" s="105"/>
      <c r="AB492" s="105">
        <f t="shared" si="146"/>
        <v>0</v>
      </c>
      <c r="AC492" s="105"/>
      <c r="AD492" s="105">
        <f t="shared" si="139"/>
        <v>0</v>
      </c>
      <c r="AE492" s="105"/>
      <c r="AF492" s="105">
        <f t="shared" si="140"/>
        <v>0</v>
      </c>
      <c r="AG492" s="105"/>
      <c r="AH492" s="106"/>
      <c r="AK492" s="106">
        <f t="shared" si="135"/>
        <v>0</v>
      </c>
      <c r="AL492" s="106">
        <f t="shared" si="136"/>
        <v>0</v>
      </c>
      <c r="AQ492" s="107"/>
      <c r="AS492" s="108"/>
    </row>
    <row r="493" spans="1:45" x14ac:dyDescent="0.2">
      <c r="A493" s="85" t="s">
        <v>208</v>
      </c>
      <c r="B493" s="101"/>
      <c r="C493" s="92" t="s">
        <v>795</v>
      </c>
      <c r="D493" s="92"/>
      <c r="F493" s="104">
        <f>SUM(F492)</f>
        <v>0</v>
      </c>
      <c r="G493" s="104">
        <f>F493</f>
        <v>0</v>
      </c>
      <c r="H493" s="105">
        <f>VLOOKUP(A493,Data!$A$2:$Z$179,24,FALSE)</f>
        <v>6.1429999999999998</v>
      </c>
      <c r="I493" s="105">
        <f>VLOOKUP(A493,Data!$A$2:$Z$179,25,FALSE)</f>
        <v>3.0270000000000001</v>
      </c>
      <c r="J493" s="105">
        <f>VLOOKUP(A493,Data!$A$2:$Z$179,7,FALSE)</f>
        <v>3.1160000000000001</v>
      </c>
      <c r="K493" s="105">
        <f>$F493*J493</f>
        <v>0</v>
      </c>
      <c r="L493" s="105">
        <f>VLOOKUP(A493,Data!$A$2:$Z$179,8,FALSE)</f>
        <v>0</v>
      </c>
      <c r="M493" s="105">
        <f>L493*F493</f>
        <v>0</v>
      </c>
      <c r="N493" s="105">
        <f>VLOOKUP(A493,Data!$A$2:$Z$179,9,FALSE)</f>
        <v>0</v>
      </c>
      <c r="O493" s="105">
        <f>VLOOKUP(A492,Data!$A$2:$Z$179,10,FALSE)</f>
        <v>3.4520000000000004</v>
      </c>
      <c r="P493" s="105">
        <f>O493*F493</f>
        <v>0</v>
      </c>
      <c r="Q493" s="105">
        <f>VLOOKUP(A493,Data!$A$2:$Z$179,11,FALSE)</f>
        <v>0</v>
      </c>
      <c r="R493" s="105">
        <f t="shared" si="141"/>
        <v>0</v>
      </c>
      <c r="S493" s="105">
        <f>VLOOKUP(A493,Data!$A$2:$Z$179,12,FALSE)</f>
        <v>0</v>
      </c>
      <c r="T493" s="105">
        <f>S493*F493</f>
        <v>0</v>
      </c>
      <c r="U493" s="105">
        <f>VLOOKUP(A493,Data!$A$2:$Z$179,13,FALSE)</f>
        <v>0</v>
      </c>
      <c r="V493" s="91">
        <f t="shared" si="137"/>
        <v>0</v>
      </c>
      <c r="W493" s="105">
        <f>VLOOKUP(A493,Data!$A$2:$Z$179,22,FALSE)</f>
        <v>0</v>
      </c>
      <c r="X493" s="105">
        <f>W493*F493</f>
        <v>0</v>
      </c>
      <c r="Y493" s="105">
        <f>VLOOKUP(A493,Data!$A$2:$Z$179,19,FALSE)</f>
        <v>0</v>
      </c>
      <c r="Z493" s="105">
        <f t="shared" si="142"/>
        <v>0</v>
      </c>
      <c r="AA493" s="105">
        <f>VLOOKUP(A493,Data!$A$2:$Z$179,20,FALSE)</f>
        <v>0</v>
      </c>
      <c r="AB493" s="105">
        <f t="shared" si="146"/>
        <v>0</v>
      </c>
      <c r="AC493" s="105">
        <f>VLOOKUP(A493,Data!$A$2:$Z$179,21,FALSE)</f>
        <v>0</v>
      </c>
      <c r="AD493" s="105">
        <f t="shared" si="139"/>
        <v>0</v>
      </c>
      <c r="AE493" s="105">
        <f>J493+L493+N493+O493+Q493+S493+U493+W493+Y493+AA493+AC493</f>
        <v>6.5680000000000005</v>
      </c>
      <c r="AF493" s="105">
        <f t="shared" si="140"/>
        <v>0</v>
      </c>
      <c r="AG493" s="105"/>
      <c r="AH493" s="106">
        <f>AE493-S493-W493</f>
        <v>6.5680000000000005</v>
      </c>
      <c r="AI493" s="85">
        <f>AH493/AE493</f>
        <v>1</v>
      </c>
      <c r="AK493" s="106">
        <f t="shared" si="135"/>
        <v>3.4520000000000004</v>
      </c>
      <c r="AL493" s="106">
        <f t="shared" si="136"/>
        <v>3.4520000000000004</v>
      </c>
      <c r="AQ493" s="107"/>
      <c r="AS493" s="108"/>
    </row>
    <row r="494" spans="1:45" x14ac:dyDescent="0.2">
      <c r="B494" s="101"/>
      <c r="C494" s="92"/>
      <c r="D494" s="92"/>
      <c r="F494" s="109"/>
      <c r="G494" s="109"/>
      <c r="H494" s="109"/>
      <c r="I494" s="109"/>
      <c r="J494" s="105"/>
      <c r="K494" s="105"/>
      <c r="L494" s="105"/>
      <c r="M494" s="105">
        <f t="shared" si="133"/>
        <v>0</v>
      </c>
      <c r="N494" s="105"/>
      <c r="O494" s="105"/>
      <c r="P494" s="105">
        <f t="shared" si="144"/>
        <v>0</v>
      </c>
      <c r="Q494" s="105"/>
      <c r="R494" s="105">
        <f t="shared" si="141"/>
        <v>0</v>
      </c>
      <c r="S494" s="105"/>
      <c r="T494" s="105">
        <f t="shared" si="145"/>
        <v>0</v>
      </c>
      <c r="U494" s="105"/>
      <c r="V494" s="91">
        <f t="shared" si="137"/>
        <v>0</v>
      </c>
      <c r="W494" s="105"/>
      <c r="X494" s="105">
        <f t="shared" si="143"/>
        <v>0</v>
      </c>
      <c r="Y494" s="105"/>
      <c r="Z494" s="105">
        <f t="shared" si="142"/>
        <v>0</v>
      </c>
      <c r="AA494" s="105"/>
      <c r="AB494" s="105">
        <f t="shared" si="146"/>
        <v>0</v>
      </c>
      <c r="AC494" s="105"/>
      <c r="AD494" s="105">
        <f t="shared" si="139"/>
        <v>0</v>
      </c>
      <c r="AE494" s="105"/>
      <c r="AF494" s="105">
        <f t="shared" si="140"/>
        <v>0</v>
      </c>
      <c r="AG494" s="105"/>
      <c r="AH494" s="106"/>
      <c r="AK494" s="106">
        <f t="shared" si="135"/>
        <v>0</v>
      </c>
      <c r="AL494" s="106">
        <f t="shared" si="136"/>
        <v>0</v>
      </c>
      <c r="AQ494" s="107"/>
      <c r="AS494" s="108"/>
    </row>
    <row r="495" spans="1:45" x14ac:dyDescent="0.2">
      <c r="A495" s="85" t="s">
        <v>209</v>
      </c>
      <c r="B495" s="101" t="s">
        <v>210</v>
      </c>
      <c r="C495" s="86" t="s">
        <v>796</v>
      </c>
      <c r="F495" s="102">
        <f>E495</f>
        <v>0</v>
      </c>
      <c r="G495" s="103"/>
      <c r="H495" s="103"/>
      <c r="I495" s="103"/>
      <c r="J495" s="105"/>
      <c r="K495" s="105"/>
      <c r="L495" s="105"/>
      <c r="M495" s="105">
        <f t="shared" si="133"/>
        <v>0</v>
      </c>
      <c r="N495" s="105"/>
      <c r="O495" s="105"/>
      <c r="P495" s="105">
        <f t="shared" si="144"/>
        <v>0</v>
      </c>
      <c r="Q495" s="105"/>
      <c r="R495" s="105">
        <f t="shared" si="141"/>
        <v>0</v>
      </c>
      <c r="S495" s="105"/>
      <c r="T495" s="105">
        <f t="shared" si="145"/>
        <v>0</v>
      </c>
      <c r="U495" s="105"/>
      <c r="V495" s="91">
        <f t="shared" si="137"/>
        <v>0</v>
      </c>
      <c r="W495" s="105"/>
      <c r="X495" s="105">
        <f t="shared" si="143"/>
        <v>0</v>
      </c>
      <c r="Y495" s="105"/>
      <c r="Z495" s="105">
        <f t="shared" si="142"/>
        <v>0</v>
      </c>
      <c r="AA495" s="105"/>
      <c r="AB495" s="105">
        <f t="shared" si="146"/>
        <v>0</v>
      </c>
      <c r="AC495" s="105"/>
      <c r="AD495" s="105">
        <f t="shared" si="139"/>
        <v>0</v>
      </c>
      <c r="AE495" s="105"/>
      <c r="AF495" s="105">
        <f t="shared" si="140"/>
        <v>0</v>
      </c>
      <c r="AG495" s="105"/>
      <c r="AH495" s="106"/>
      <c r="AK495" s="106">
        <f t="shared" si="135"/>
        <v>0</v>
      </c>
      <c r="AL495" s="106">
        <f t="shared" si="136"/>
        <v>0</v>
      </c>
      <c r="AQ495" s="107"/>
      <c r="AS495" s="108"/>
    </row>
    <row r="496" spans="1:45" x14ac:dyDescent="0.2">
      <c r="A496" s="85" t="s">
        <v>209</v>
      </c>
      <c r="B496" s="101"/>
      <c r="C496" s="92" t="s">
        <v>797</v>
      </c>
      <c r="D496" s="92"/>
      <c r="F496" s="104">
        <f>SUM(F495)</f>
        <v>0</v>
      </c>
      <c r="G496" s="104">
        <f>F496</f>
        <v>0</v>
      </c>
      <c r="H496" s="105">
        <f>VLOOKUP(A496,Data!$A$2:$Z$179,24,FALSE)</f>
        <v>27</v>
      </c>
      <c r="I496" s="105">
        <f>VLOOKUP(A496,Data!$A$2:$Z$179,25,FALSE)</f>
        <v>9.6920000000000002</v>
      </c>
      <c r="J496" s="105">
        <f>VLOOKUP(A496,Data!$A$2:$Z$179,7,FALSE)</f>
        <v>17.308</v>
      </c>
      <c r="K496" s="105">
        <f>$F496*J496</f>
        <v>0</v>
      </c>
      <c r="L496" s="105">
        <f>VLOOKUP(A496,Data!$A$2:$Z$179,8,FALSE)</f>
        <v>0</v>
      </c>
      <c r="M496" s="105">
        <f>L496*F496</f>
        <v>0</v>
      </c>
      <c r="N496" s="105">
        <f>VLOOKUP(A496,Data!$A$2:$Z$179,9,FALSE)</f>
        <v>0</v>
      </c>
      <c r="O496" s="105">
        <f>VLOOKUP(A495,Data!$A$2:$Z$179,10,FALSE)</f>
        <v>0</v>
      </c>
      <c r="P496" s="105">
        <f>O496*F496</f>
        <v>0</v>
      </c>
      <c r="Q496" s="105">
        <f>VLOOKUP(A496,Data!$A$2:$Z$179,11,FALSE)</f>
        <v>0</v>
      </c>
      <c r="R496" s="105">
        <f t="shared" si="141"/>
        <v>0</v>
      </c>
      <c r="S496" s="105">
        <v>9</v>
      </c>
      <c r="T496" s="105">
        <f>S496*F496</f>
        <v>0</v>
      </c>
      <c r="U496" s="105">
        <f>VLOOKUP(A496,Data!$A$2:$Z$179,13,FALSE)</f>
        <v>4.6748567019904839E-2</v>
      </c>
      <c r="V496" s="91">
        <f t="shared" si="137"/>
        <v>0</v>
      </c>
      <c r="W496" s="105">
        <v>14.54</v>
      </c>
      <c r="X496" s="105">
        <f>W496*F496</f>
        <v>0</v>
      </c>
      <c r="Y496" s="105">
        <f>VLOOKUP(A496,Data!$A$2:$Z$179,19,FALSE)</f>
        <v>0</v>
      </c>
      <c r="Z496" s="105">
        <f t="shared" si="142"/>
        <v>0</v>
      </c>
      <c r="AA496" s="105">
        <f>VLOOKUP(A496,Data!$A$2:$Z$179,20,FALSE)</f>
        <v>0</v>
      </c>
      <c r="AB496" s="105">
        <f t="shared" si="146"/>
        <v>0</v>
      </c>
      <c r="AC496" s="105">
        <f>VLOOKUP(A496,Data!$A$2:$Z$179,21,FALSE)</f>
        <v>0</v>
      </c>
      <c r="AD496" s="105">
        <f t="shared" si="139"/>
        <v>0</v>
      </c>
      <c r="AE496" s="105">
        <f>J496+L496+N496+O496+Q496+S496+U496+W496+Y496+AA496+AC496</f>
        <v>40.894748567019903</v>
      </c>
      <c r="AF496" s="105">
        <f t="shared" si="140"/>
        <v>0</v>
      </c>
      <c r="AG496" s="105"/>
      <c r="AH496" s="106">
        <f>AE496-S496-W496</f>
        <v>17.354748567019904</v>
      </c>
      <c r="AI496" s="85">
        <f>AH496/AE496</f>
        <v>0.42437596941275402</v>
      </c>
      <c r="AK496" s="106">
        <f t="shared" si="135"/>
        <v>9</v>
      </c>
      <c r="AL496" s="106">
        <f t="shared" si="136"/>
        <v>9</v>
      </c>
      <c r="AQ496" s="107"/>
      <c r="AS496" s="108"/>
    </row>
    <row r="497" spans="1:45" x14ac:dyDescent="0.2">
      <c r="B497" s="101"/>
      <c r="C497" s="92"/>
      <c r="D497" s="92"/>
      <c r="F497" s="109"/>
      <c r="G497" s="109"/>
      <c r="H497" s="109"/>
      <c r="I497" s="109"/>
      <c r="J497" s="105"/>
      <c r="K497" s="105"/>
      <c r="L497" s="105"/>
      <c r="M497" s="105">
        <f t="shared" si="133"/>
        <v>0</v>
      </c>
      <c r="N497" s="105"/>
      <c r="O497" s="105"/>
      <c r="P497" s="105">
        <f t="shared" si="144"/>
        <v>0</v>
      </c>
      <c r="Q497" s="105"/>
      <c r="R497" s="105">
        <f t="shared" si="141"/>
        <v>0</v>
      </c>
      <c r="S497" s="105"/>
      <c r="T497" s="105">
        <f t="shared" si="145"/>
        <v>0</v>
      </c>
      <c r="U497" s="105"/>
      <c r="V497" s="91">
        <f t="shared" si="137"/>
        <v>0</v>
      </c>
      <c r="W497" s="105"/>
      <c r="X497" s="105">
        <f t="shared" si="143"/>
        <v>0</v>
      </c>
      <c r="Y497" s="105"/>
      <c r="Z497" s="105">
        <f t="shared" si="142"/>
        <v>0</v>
      </c>
      <c r="AA497" s="105"/>
      <c r="AB497" s="105">
        <f t="shared" si="146"/>
        <v>0</v>
      </c>
      <c r="AC497" s="105"/>
      <c r="AD497" s="105">
        <f t="shared" si="139"/>
        <v>0</v>
      </c>
      <c r="AE497" s="105"/>
      <c r="AF497" s="105">
        <f t="shared" si="140"/>
        <v>0</v>
      </c>
      <c r="AG497" s="105"/>
      <c r="AH497" s="106"/>
      <c r="AK497" s="106">
        <f t="shared" si="135"/>
        <v>0</v>
      </c>
      <c r="AL497" s="106">
        <f t="shared" si="136"/>
        <v>0</v>
      </c>
      <c r="AQ497" s="107"/>
      <c r="AS497" s="108"/>
    </row>
    <row r="498" spans="1:45" x14ac:dyDescent="0.2">
      <c r="A498" s="85" t="s">
        <v>211</v>
      </c>
      <c r="B498" s="101" t="s">
        <v>210</v>
      </c>
      <c r="C498" s="86" t="s">
        <v>798</v>
      </c>
      <c r="F498" s="102">
        <f>E498</f>
        <v>0</v>
      </c>
      <c r="G498" s="103"/>
      <c r="H498" s="103"/>
      <c r="I498" s="103"/>
      <c r="J498" s="105"/>
      <c r="K498" s="105"/>
      <c r="L498" s="105"/>
      <c r="M498" s="105">
        <f t="shared" si="133"/>
        <v>0</v>
      </c>
      <c r="N498" s="105"/>
      <c r="O498" s="105"/>
      <c r="P498" s="105">
        <f t="shared" si="144"/>
        <v>0</v>
      </c>
      <c r="Q498" s="105"/>
      <c r="R498" s="105">
        <f t="shared" si="141"/>
        <v>0</v>
      </c>
      <c r="S498" s="105"/>
      <c r="T498" s="105">
        <f t="shared" si="145"/>
        <v>0</v>
      </c>
      <c r="U498" s="105"/>
      <c r="V498" s="91">
        <f t="shared" si="137"/>
        <v>0</v>
      </c>
      <c r="W498" s="105"/>
      <c r="X498" s="105">
        <f t="shared" si="143"/>
        <v>0</v>
      </c>
      <c r="Y498" s="105"/>
      <c r="Z498" s="105">
        <f t="shared" si="142"/>
        <v>0</v>
      </c>
      <c r="AA498" s="105"/>
      <c r="AB498" s="105">
        <f t="shared" si="146"/>
        <v>0</v>
      </c>
      <c r="AC498" s="105"/>
      <c r="AD498" s="105">
        <f t="shared" si="139"/>
        <v>0</v>
      </c>
      <c r="AE498" s="105"/>
      <c r="AF498" s="105">
        <f t="shared" si="140"/>
        <v>0</v>
      </c>
      <c r="AG498" s="105"/>
      <c r="AH498" s="106"/>
      <c r="AK498" s="106">
        <f t="shared" si="135"/>
        <v>0</v>
      </c>
      <c r="AL498" s="106">
        <f t="shared" si="136"/>
        <v>0</v>
      </c>
      <c r="AQ498" s="107"/>
      <c r="AS498" s="108"/>
    </row>
    <row r="499" spans="1:45" x14ac:dyDescent="0.2">
      <c r="A499" s="85" t="s">
        <v>211</v>
      </c>
      <c r="B499" s="101"/>
      <c r="C499" s="92" t="s">
        <v>799</v>
      </c>
      <c r="D499" s="92"/>
      <c r="F499" s="104">
        <f>SUM(F498)</f>
        <v>0</v>
      </c>
      <c r="G499" s="104">
        <f>F499</f>
        <v>0</v>
      </c>
      <c r="H499" s="105">
        <f>VLOOKUP(A499,Data!$A$2:$Z$179,24,FALSE)</f>
        <v>27</v>
      </c>
      <c r="I499" s="105">
        <f>VLOOKUP(A499,Data!$A$2:$Z$179,25,FALSE)</f>
        <v>0</v>
      </c>
      <c r="J499" s="105">
        <f>VLOOKUP(A499,Data!$A$2:$Z$179,7,FALSE)</f>
        <v>27</v>
      </c>
      <c r="K499" s="105">
        <f>$F499*J499</f>
        <v>0</v>
      </c>
      <c r="L499" s="105">
        <f>VLOOKUP(A499,Data!$A$2:$Z$179,8,FALSE)</f>
        <v>0</v>
      </c>
      <c r="M499" s="105">
        <f>L499*F499</f>
        <v>0</v>
      </c>
      <c r="N499" s="105">
        <f>VLOOKUP(A499,Data!$A$2:$Z$179,9,FALSE)</f>
        <v>0</v>
      </c>
      <c r="O499" s="105">
        <f>VLOOKUP(A498,Data!$A$2:$Z$179,10,FALSE)</f>
        <v>0</v>
      </c>
      <c r="P499" s="105">
        <f>O499*F499</f>
        <v>0</v>
      </c>
      <c r="Q499" s="105">
        <f>VLOOKUP(A499,Data!$A$2:$Z$179,11,FALSE)</f>
        <v>0</v>
      </c>
      <c r="R499" s="105">
        <f t="shared" si="141"/>
        <v>0</v>
      </c>
      <c r="S499" s="105">
        <f>VLOOKUP(A499,Data!$A$2:$Z$179,12,FALSE)</f>
        <v>2.97</v>
      </c>
      <c r="T499" s="105">
        <f>S499*F499</f>
        <v>0</v>
      </c>
      <c r="U499" s="105">
        <f>VLOOKUP(A499,Data!$A$2:$Z$179,13,FALSE)</f>
        <v>2.8737506095933847E-2</v>
      </c>
      <c r="V499" s="91">
        <f t="shared" si="137"/>
        <v>0</v>
      </c>
      <c r="W499" s="105">
        <f>VLOOKUP(A499,Data!$A$2:$Z$179,22,FALSE)</f>
        <v>0</v>
      </c>
      <c r="X499" s="105">
        <f>W499*F499</f>
        <v>0</v>
      </c>
      <c r="Y499" s="105">
        <f>VLOOKUP(A499,Data!$A$2:$Z$179,19,FALSE)</f>
        <v>0</v>
      </c>
      <c r="Z499" s="105">
        <f t="shared" si="142"/>
        <v>0</v>
      </c>
      <c r="AA499" s="105">
        <f>VLOOKUP(A499,Data!$A$2:$Z$179,20,FALSE)</f>
        <v>0</v>
      </c>
      <c r="AB499" s="105">
        <f t="shared" si="146"/>
        <v>0</v>
      </c>
      <c r="AC499" s="105">
        <f>VLOOKUP(A499,Data!$A$2:$Z$179,21,FALSE)</f>
        <v>0</v>
      </c>
      <c r="AD499" s="105">
        <f t="shared" si="139"/>
        <v>0</v>
      </c>
      <c r="AE499" s="105">
        <f>J499+L499+N499+O499+Q499+S499+U499+W499+Y499+AA499+AC499</f>
        <v>29.998737506095932</v>
      </c>
      <c r="AF499" s="105">
        <f t="shared" si="140"/>
        <v>0</v>
      </c>
      <c r="AG499" s="105"/>
      <c r="AH499" s="106">
        <f>AE499-S499-W499</f>
        <v>27.028737506095933</v>
      </c>
      <c r="AI499" s="85">
        <f>AH499/AE499</f>
        <v>0.90099583359478119</v>
      </c>
      <c r="AK499" s="106">
        <f t="shared" si="135"/>
        <v>2.97</v>
      </c>
      <c r="AL499" s="106">
        <f t="shared" si="136"/>
        <v>2.97</v>
      </c>
      <c r="AQ499" s="107"/>
      <c r="AS499" s="108"/>
    </row>
    <row r="500" spans="1:45" x14ac:dyDescent="0.2">
      <c r="B500" s="101"/>
      <c r="C500" s="92"/>
      <c r="D500" s="92"/>
      <c r="F500" s="109"/>
      <c r="G500" s="109"/>
      <c r="H500" s="109"/>
      <c r="I500" s="109"/>
      <c r="J500" s="105"/>
      <c r="K500" s="105"/>
      <c r="L500" s="105"/>
      <c r="M500" s="105">
        <f t="shared" si="133"/>
        <v>0</v>
      </c>
      <c r="N500" s="105"/>
      <c r="O500" s="105"/>
      <c r="P500" s="105">
        <f t="shared" si="144"/>
        <v>0</v>
      </c>
      <c r="Q500" s="105"/>
      <c r="R500" s="105">
        <f t="shared" si="141"/>
        <v>0</v>
      </c>
      <c r="S500" s="105"/>
      <c r="T500" s="105">
        <f t="shared" si="145"/>
        <v>0</v>
      </c>
      <c r="U500" s="105"/>
      <c r="V500" s="91">
        <f t="shared" si="137"/>
        <v>0</v>
      </c>
      <c r="W500" s="105"/>
      <c r="X500" s="105">
        <f t="shared" si="143"/>
        <v>0</v>
      </c>
      <c r="Y500" s="105"/>
      <c r="Z500" s="105">
        <f t="shared" si="142"/>
        <v>0</v>
      </c>
      <c r="AA500" s="105"/>
      <c r="AB500" s="105">
        <f t="shared" si="146"/>
        <v>0</v>
      </c>
      <c r="AC500" s="105"/>
      <c r="AD500" s="105">
        <f t="shared" si="139"/>
        <v>0</v>
      </c>
      <c r="AE500" s="105"/>
      <c r="AF500" s="105">
        <f t="shared" si="140"/>
        <v>0</v>
      </c>
      <c r="AG500" s="105"/>
      <c r="AH500" s="106"/>
      <c r="AK500" s="106">
        <f t="shared" si="135"/>
        <v>0</v>
      </c>
      <c r="AL500" s="106">
        <f t="shared" si="136"/>
        <v>0</v>
      </c>
      <c r="AQ500" s="107"/>
      <c r="AS500" s="108"/>
    </row>
    <row r="501" spans="1:45" x14ac:dyDescent="0.2">
      <c r="A501" s="85" t="s">
        <v>212</v>
      </c>
      <c r="B501" s="101" t="s">
        <v>210</v>
      </c>
      <c r="C501" s="86" t="s">
        <v>800</v>
      </c>
      <c r="F501" s="102">
        <f>E501</f>
        <v>0</v>
      </c>
      <c r="G501" s="102"/>
      <c r="H501" s="102"/>
      <c r="I501" s="102"/>
      <c r="J501" s="105" t="s">
        <v>271</v>
      </c>
      <c r="K501" s="105"/>
      <c r="L501" s="105"/>
      <c r="M501" s="105">
        <f t="shared" si="133"/>
        <v>0</v>
      </c>
      <c r="N501" s="105"/>
      <c r="O501" s="105"/>
      <c r="P501" s="105">
        <f t="shared" si="144"/>
        <v>0</v>
      </c>
      <c r="Q501" s="105"/>
      <c r="R501" s="105">
        <f t="shared" si="141"/>
        <v>0</v>
      </c>
      <c r="S501" s="105"/>
      <c r="T501" s="105">
        <f t="shared" si="145"/>
        <v>0</v>
      </c>
      <c r="U501" s="105"/>
      <c r="V501" s="91">
        <f t="shared" si="137"/>
        <v>0</v>
      </c>
      <c r="W501" s="105"/>
      <c r="X501" s="105">
        <f t="shared" si="143"/>
        <v>0</v>
      </c>
      <c r="Y501" s="105"/>
      <c r="Z501" s="105">
        <f t="shared" si="142"/>
        <v>0</v>
      </c>
      <c r="AA501" s="105"/>
      <c r="AB501" s="105">
        <f t="shared" si="146"/>
        <v>0</v>
      </c>
      <c r="AC501" s="105"/>
      <c r="AD501" s="105">
        <f t="shared" si="139"/>
        <v>0</v>
      </c>
      <c r="AE501" s="105"/>
      <c r="AF501" s="105">
        <f t="shared" si="140"/>
        <v>0</v>
      </c>
      <c r="AG501" s="105"/>
      <c r="AH501" s="106"/>
      <c r="AK501" s="106">
        <f t="shared" si="135"/>
        <v>0</v>
      </c>
      <c r="AL501" s="106">
        <f t="shared" si="136"/>
        <v>0</v>
      </c>
      <c r="AQ501" s="107"/>
      <c r="AS501" s="108"/>
    </row>
    <row r="502" spans="1:45" x14ac:dyDescent="0.2">
      <c r="A502" s="85" t="s">
        <v>212</v>
      </c>
      <c r="B502" s="101" t="s">
        <v>25</v>
      </c>
      <c r="C502" s="86" t="s">
        <v>800</v>
      </c>
      <c r="F502" s="102">
        <f>E502</f>
        <v>0</v>
      </c>
      <c r="G502" s="102"/>
      <c r="H502" s="102"/>
      <c r="I502" s="102"/>
      <c r="J502" s="105"/>
      <c r="K502" s="105"/>
      <c r="L502" s="105"/>
      <c r="M502" s="105">
        <f t="shared" ref="M502:M564" si="147">L502*F502</f>
        <v>0</v>
      </c>
      <c r="N502" s="105"/>
      <c r="O502" s="105"/>
      <c r="P502" s="105">
        <f t="shared" si="144"/>
        <v>0</v>
      </c>
      <c r="Q502" s="105"/>
      <c r="R502" s="105">
        <f t="shared" si="141"/>
        <v>0</v>
      </c>
      <c r="S502" s="105"/>
      <c r="T502" s="105">
        <f t="shared" si="145"/>
        <v>0</v>
      </c>
      <c r="U502" s="105"/>
      <c r="V502" s="91">
        <f t="shared" si="137"/>
        <v>0</v>
      </c>
      <c r="W502" s="105"/>
      <c r="X502" s="105">
        <f t="shared" si="143"/>
        <v>0</v>
      </c>
      <c r="Y502" s="105"/>
      <c r="Z502" s="105">
        <f t="shared" si="142"/>
        <v>0</v>
      </c>
      <c r="AA502" s="105"/>
      <c r="AB502" s="105">
        <f>$F501*AA502</f>
        <v>0</v>
      </c>
      <c r="AC502" s="105"/>
      <c r="AD502" s="105">
        <f t="shared" si="139"/>
        <v>0</v>
      </c>
      <c r="AE502" s="105"/>
      <c r="AF502" s="105">
        <f t="shared" si="140"/>
        <v>0</v>
      </c>
      <c r="AG502" s="105"/>
      <c r="AH502" s="106"/>
      <c r="AK502" s="106">
        <f t="shared" si="135"/>
        <v>0</v>
      </c>
      <c r="AL502" s="106">
        <f t="shared" si="136"/>
        <v>0</v>
      </c>
      <c r="AQ502" s="107"/>
      <c r="AS502" s="108"/>
    </row>
    <row r="503" spans="1:45" x14ac:dyDescent="0.2">
      <c r="A503" s="85" t="s">
        <v>212</v>
      </c>
      <c r="B503" s="101"/>
      <c r="C503" s="92" t="s">
        <v>801</v>
      </c>
      <c r="D503" s="92"/>
      <c r="F503" s="104">
        <f>SUM(F501:F502)</f>
        <v>0</v>
      </c>
      <c r="G503" s="104">
        <f>F503</f>
        <v>0</v>
      </c>
      <c r="H503" s="105">
        <f>VLOOKUP(A503,Data!$A$2:$Z$179,24,FALSE)</f>
        <v>27</v>
      </c>
      <c r="I503" s="105">
        <f>VLOOKUP(A503,Data!$A$2:$Z$179,25,FALSE)</f>
        <v>0</v>
      </c>
      <c r="J503" s="105">
        <f>VLOOKUP(A503,Data!$A$2:$Z$179,7,FALSE)</f>
        <v>27</v>
      </c>
      <c r="K503" s="105">
        <f>$F503*J503</f>
        <v>0</v>
      </c>
      <c r="L503" s="105">
        <f>VLOOKUP(A503,Data!$A$2:$Z$179,8,FALSE)</f>
        <v>0</v>
      </c>
      <c r="M503" s="105">
        <f>L503*F503</f>
        <v>0</v>
      </c>
      <c r="N503" s="105">
        <f>VLOOKUP(A503,Data!$A$2:$Z$179,9,FALSE)</f>
        <v>0</v>
      </c>
      <c r="O503" s="105">
        <f>VLOOKUP(A502,Data!$A$2:$Z$179,10,FALSE)</f>
        <v>0</v>
      </c>
      <c r="P503" s="105">
        <f>O503*F503</f>
        <v>0</v>
      </c>
      <c r="Q503" s="105">
        <f>VLOOKUP(A503,Data!$A$2:$Z$179,11,FALSE)</f>
        <v>0</v>
      </c>
      <c r="R503" s="105">
        <f t="shared" si="141"/>
        <v>0</v>
      </c>
      <c r="S503" s="105">
        <f>VLOOKUP(A503,Data!$A$2:$Z$179,12,FALSE)</f>
        <v>1.617</v>
      </c>
      <c r="T503" s="105">
        <f>S503*F503</f>
        <v>0</v>
      </c>
      <c r="U503" s="105">
        <f>VLOOKUP(A503,Data!$A$2:$Z$179,13,FALSE)</f>
        <v>2.1448530263714529E-4</v>
      </c>
      <c r="V503" s="91">
        <f t="shared" si="137"/>
        <v>0</v>
      </c>
      <c r="W503" s="105">
        <f>VLOOKUP(A503,Data!$A$2:$Z$179,22,FALSE)</f>
        <v>0</v>
      </c>
      <c r="X503" s="105">
        <f>W503*F503</f>
        <v>0</v>
      </c>
      <c r="Y503" s="105">
        <f>VLOOKUP(A503,Data!$A$2:$Z$179,19,FALSE)</f>
        <v>0</v>
      </c>
      <c r="Z503" s="105">
        <f t="shared" si="142"/>
        <v>0</v>
      </c>
      <c r="AA503" s="105">
        <f>VLOOKUP(A503,Data!$A$2:$Z$179,20,FALSE)</f>
        <v>0</v>
      </c>
      <c r="AB503" s="105">
        <f>$F503*AA503</f>
        <v>0</v>
      </c>
      <c r="AC503" s="105">
        <f>VLOOKUP(A503,Data!$A$2:$Z$179,21,FALSE)</f>
        <v>0</v>
      </c>
      <c r="AD503" s="105">
        <f t="shared" si="139"/>
        <v>0</v>
      </c>
      <c r="AE503" s="105">
        <f>J503+L503+N503+O503+Q503+S503+U503+W503+Y503+AA503+AC503</f>
        <v>28.61721448530264</v>
      </c>
      <c r="AF503" s="105">
        <f t="shared" si="140"/>
        <v>0</v>
      </c>
      <c r="AG503" s="105"/>
      <c r="AH503" s="106">
        <f>AE503-S503-W503</f>
        <v>27.000214485302639</v>
      </c>
      <c r="AI503" s="85">
        <f>AH503/AE503</f>
        <v>0.94349554877780062</v>
      </c>
      <c r="AK503" s="106">
        <f t="shared" si="135"/>
        <v>1.617</v>
      </c>
      <c r="AL503" s="106">
        <f t="shared" si="136"/>
        <v>1.617</v>
      </c>
      <c r="AQ503" s="107"/>
      <c r="AS503" s="108"/>
    </row>
    <row r="504" spans="1:45" x14ac:dyDescent="0.2">
      <c r="B504" s="101"/>
      <c r="C504" s="92"/>
      <c r="D504" s="92"/>
      <c r="F504" s="109"/>
      <c r="G504" s="109"/>
      <c r="H504" s="109"/>
      <c r="I504" s="109"/>
      <c r="J504" s="105"/>
      <c r="K504" s="105"/>
      <c r="L504" s="105"/>
      <c r="M504" s="105">
        <f t="shared" si="147"/>
        <v>0</v>
      </c>
      <c r="N504" s="105"/>
      <c r="O504" s="105"/>
      <c r="P504" s="105">
        <f t="shared" si="144"/>
        <v>0</v>
      </c>
      <c r="Q504" s="105"/>
      <c r="R504" s="105">
        <f t="shared" si="141"/>
        <v>0</v>
      </c>
      <c r="S504" s="105"/>
      <c r="T504" s="105">
        <f t="shared" si="145"/>
        <v>0</v>
      </c>
      <c r="U504" s="105"/>
      <c r="V504" s="91">
        <f t="shared" si="137"/>
        <v>0</v>
      </c>
      <c r="W504" s="105"/>
      <c r="X504" s="105">
        <f t="shared" si="143"/>
        <v>0</v>
      </c>
      <c r="Y504" s="105"/>
      <c r="Z504" s="105">
        <f t="shared" si="142"/>
        <v>0</v>
      </c>
      <c r="AA504" s="105"/>
      <c r="AB504" s="105">
        <f>$F503*AA504</f>
        <v>0</v>
      </c>
      <c r="AC504" s="105"/>
      <c r="AD504" s="105">
        <f t="shared" si="139"/>
        <v>0</v>
      </c>
      <c r="AE504" s="105"/>
      <c r="AF504" s="105">
        <f t="shared" si="140"/>
        <v>0</v>
      </c>
      <c r="AG504" s="105"/>
      <c r="AH504" s="106"/>
      <c r="AK504" s="106">
        <f t="shared" si="135"/>
        <v>0</v>
      </c>
      <c r="AL504" s="106">
        <f t="shared" si="136"/>
        <v>0</v>
      </c>
      <c r="AQ504" s="107"/>
      <c r="AS504" s="108"/>
    </row>
    <row r="505" spans="1:45" x14ac:dyDescent="0.2">
      <c r="A505" s="85" t="s">
        <v>213</v>
      </c>
      <c r="B505" s="101" t="s">
        <v>214</v>
      </c>
      <c r="C505" s="86" t="s">
        <v>802</v>
      </c>
      <c r="F505" s="102">
        <f>E505</f>
        <v>0</v>
      </c>
      <c r="G505" s="103"/>
      <c r="H505" s="103"/>
      <c r="I505" s="103"/>
      <c r="J505" s="105"/>
      <c r="K505" s="105"/>
      <c r="L505" s="105"/>
      <c r="M505" s="105">
        <f t="shared" si="147"/>
        <v>0</v>
      </c>
      <c r="N505" s="105"/>
      <c r="O505" s="105"/>
      <c r="P505" s="105">
        <f t="shared" si="144"/>
        <v>0</v>
      </c>
      <c r="Q505" s="105"/>
      <c r="R505" s="105">
        <f t="shared" si="141"/>
        <v>0</v>
      </c>
      <c r="S505" s="105"/>
      <c r="T505" s="105">
        <f t="shared" si="145"/>
        <v>0</v>
      </c>
      <c r="U505" s="105"/>
      <c r="V505" s="91">
        <f t="shared" si="137"/>
        <v>0</v>
      </c>
      <c r="W505" s="105"/>
      <c r="X505" s="105">
        <f t="shared" si="143"/>
        <v>0</v>
      </c>
      <c r="Y505" s="105"/>
      <c r="Z505" s="105">
        <f t="shared" si="142"/>
        <v>0</v>
      </c>
      <c r="AA505" s="105"/>
      <c r="AB505" s="105">
        <f>$F504*AA505</f>
        <v>0</v>
      </c>
      <c r="AC505" s="105"/>
      <c r="AD505" s="105">
        <f t="shared" si="139"/>
        <v>0</v>
      </c>
      <c r="AE505" s="105"/>
      <c r="AF505" s="105">
        <f t="shared" si="140"/>
        <v>0</v>
      </c>
      <c r="AG505" s="105"/>
      <c r="AH505" s="106"/>
      <c r="AK505" s="106">
        <f t="shared" si="135"/>
        <v>0</v>
      </c>
      <c r="AL505" s="106">
        <f t="shared" si="136"/>
        <v>0</v>
      </c>
      <c r="AQ505" s="107"/>
      <c r="AS505" s="108"/>
    </row>
    <row r="506" spans="1:45" x14ac:dyDescent="0.2">
      <c r="A506" s="85" t="s">
        <v>213</v>
      </c>
      <c r="B506" s="101"/>
      <c r="C506" s="92" t="s">
        <v>803</v>
      </c>
      <c r="D506" s="92"/>
      <c r="F506" s="104">
        <f>SUM(F505)</f>
        <v>0</v>
      </c>
      <c r="G506" s="104">
        <f>F506</f>
        <v>0</v>
      </c>
      <c r="H506" s="105">
        <f>VLOOKUP(A506,Data!$A$2:$Z$179,24,FALSE)</f>
        <v>27</v>
      </c>
      <c r="I506" s="105">
        <f>VLOOKUP(A506,Data!$A$2:$Z$179,25,FALSE)</f>
        <v>5.4139999999999997</v>
      </c>
      <c r="J506" s="105">
        <f>VLOOKUP(A506,Data!$A$2:$Z$179,7,FALSE)</f>
        <v>21.585999999999999</v>
      </c>
      <c r="K506" s="105">
        <f>$F506*J506</f>
        <v>0</v>
      </c>
      <c r="L506" s="105">
        <f>VLOOKUP(A506,Data!$A$2:$Z$179,8,FALSE)</f>
        <v>0</v>
      </c>
      <c r="M506" s="105">
        <f>L506*F506</f>
        <v>0</v>
      </c>
      <c r="N506" s="105">
        <f>VLOOKUP(A506,Data!$A$2:$Z$179,9,FALSE)</f>
        <v>0</v>
      </c>
      <c r="O506" s="105">
        <f>VLOOKUP(A505,Data!$A$2:$Z$179,10,FALSE)</f>
        <v>0</v>
      </c>
      <c r="P506" s="105">
        <f>O506*F506</f>
        <v>0</v>
      </c>
      <c r="Q506" s="105">
        <f>VLOOKUP(A506,Data!$A$2:$Z$179,11,FALSE)</f>
        <v>0</v>
      </c>
      <c r="R506" s="105">
        <f t="shared" si="141"/>
        <v>0</v>
      </c>
      <c r="S506" s="105">
        <f>VLOOKUP(A506,Data!$A$2:$Z$179,12,FALSE)</f>
        <v>6.8220000000000001</v>
      </c>
      <c r="T506" s="105">
        <f>S506*F506</f>
        <v>0</v>
      </c>
      <c r="U506" s="105">
        <f>VLOOKUP(A506,Data!$A$2:$Z$179,13,FALSE)</f>
        <v>9.4953552276951861E-2</v>
      </c>
      <c r="V506" s="91">
        <f t="shared" si="137"/>
        <v>0</v>
      </c>
      <c r="W506" s="105">
        <f>VLOOKUP(A506,Data!$A$2:$Z$179,22,FALSE)</f>
        <v>0</v>
      </c>
      <c r="X506" s="105">
        <f>W506*F506</f>
        <v>0</v>
      </c>
      <c r="Y506" s="105">
        <f>VLOOKUP(A506,Data!$A$2:$Z$179,19,FALSE)</f>
        <v>0</v>
      </c>
      <c r="Z506" s="105">
        <f t="shared" si="142"/>
        <v>0</v>
      </c>
      <c r="AA506" s="105">
        <f>VLOOKUP(A506,Data!$A$2:$Z$179,20,FALSE)</f>
        <v>0</v>
      </c>
      <c r="AB506" s="105">
        <f t="shared" ref="AB506:AB511" si="148">$F506*AA506</f>
        <v>0</v>
      </c>
      <c r="AC506" s="105">
        <f>VLOOKUP(A506,Data!$A$2:$Z$179,21,FALSE)</f>
        <v>0</v>
      </c>
      <c r="AD506" s="105">
        <f t="shared" si="139"/>
        <v>0</v>
      </c>
      <c r="AE506" s="105">
        <f>J506+L506+N506+O506+Q506+S506+U506+W506+Y506+AA506+AC506</f>
        <v>28.502953552276949</v>
      </c>
      <c r="AF506" s="105">
        <f t="shared" si="140"/>
        <v>0</v>
      </c>
      <c r="AG506" s="105"/>
      <c r="AH506" s="106">
        <f>AE506-S506-W506</f>
        <v>21.68095355227695</v>
      </c>
      <c r="AI506" s="85">
        <f>AH506/AE506</f>
        <v>0.76065638294333793</v>
      </c>
      <c r="AK506" s="106">
        <f t="shared" si="135"/>
        <v>6.8220000000000001</v>
      </c>
      <c r="AL506" s="106">
        <f t="shared" si="136"/>
        <v>6.8220000000000001</v>
      </c>
      <c r="AQ506" s="107"/>
      <c r="AS506" s="108"/>
    </row>
    <row r="507" spans="1:45" x14ac:dyDescent="0.2">
      <c r="B507" s="101"/>
      <c r="C507" s="92"/>
      <c r="D507" s="92"/>
      <c r="F507" s="109"/>
      <c r="G507" s="109"/>
      <c r="H507" s="109"/>
      <c r="I507" s="109"/>
      <c r="J507" s="105"/>
      <c r="K507" s="105"/>
      <c r="L507" s="105"/>
      <c r="M507" s="105">
        <f t="shared" si="147"/>
        <v>0</v>
      </c>
      <c r="N507" s="105"/>
      <c r="O507" s="105"/>
      <c r="P507" s="105">
        <f t="shared" si="144"/>
        <v>0</v>
      </c>
      <c r="Q507" s="105"/>
      <c r="R507" s="105">
        <f t="shared" si="141"/>
        <v>0</v>
      </c>
      <c r="S507" s="105"/>
      <c r="T507" s="105">
        <f t="shared" si="145"/>
        <v>0</v>
      </c>
      <c r="U507" s="105"/>
      <c r="V507" s="91">
        <f t="shared" si="137"/>
        <v>0</v>
      </c>
      <c r="W507" s="105"/>
      <c r="X507" s="105">
        <f t="shared" si="143"/>
        <v>0</v>
      </c>
      <c r="Y507" s="105"/>
      <c r="Z507" s="105">
        <f t="shared" si="142"/>
        <v>0</v>
      </c>
      <c r="AA507" s="105"/>
      <c r="AB507" s="105">
        <f t="shared" si="148"/>
        <v>0</v>
      </c>
      <c r="AC507" s="105"/>
      <c r="AD507" s="105">
        <f t="shared" si="139"/>
        <v>0</v>
      </c>
      <c r="AE507" s="105"/>
      <c r="AF507" s="105">
        <f t="shared" si="140"/>
        <v>0</v>
      </c>
      <c r="AG507" s="105"/>
      <c r="AH507" s="106"/>
      <c r="AK507" s="106">
        <f t="shared" si="135"/>
        <v>0</v>
      </c>
      <c r="AL507" s="106">
        <f t="shared" si="136"/>
        <v>0</v>
      </c>
      <c r="AQ507" s="107"/>
      <c r="AS507" s="108"/>
    </row>
    <row r="508" spans="1:45" x14ac:dyDescent="0.2">
      <c r="A508" s="85" t="s">
        <v>215</v>
      </c>
      <c r="B508" s="101" t="s">
        <v>214</v>
      </c>
      <c r="C508" s="86" t="s">
        <v>804</v>
      </c>
      <c r="F508" s="102">
        <f>E508</f>
        <v>0</v>
      </c>
      <c r="G508" s="103"/>
      <c r="H508" s="103"/>
      <c r="I508" s="103"/>
      <c r="J508" s="105"/>
      <c r="K508" s="105"/>
      <c r="L508" s="105"/>
      <c r="M508" s="105">
        <f t="shared" si="147"/>
        <v>0</v>
      </c>
      <c r="N508" s="105"/>
      <c r="O508" s="105"/>
      <c r="P508" s="105">
        <f t="shared" si="144"/>
        <v>0</v>
      </c>
      <c r="Q508" s="105"/>
      <c r="R508" s="105">
        <f t="shared" si="141"/>
        <v>0</v>
      </c>
      <c r="S508" s="105"/>
      <c r="T508" s="105">
        <f t="shared" si="145"/>
        <v>0</v>
      </c>
      <c r="U508" s="105"/>
      <c r="V508" s="91">
        <f t="shared" si="137"/>
        <v>0</v>
      </c>
      <c r="W508" s="105"/>
      <c r="X508" s="105">
        <f t="shared" si="143"/>
        <v>0</v>
      </c>
      <c r="Y508" s="105"/>
      <c r="Z508" s="105">
        <f t="shared" si="142"/>
        <v>0</v>
      </c>
      <c r="AA508" s="105"/>
      <c r="AB508" s="105">
        <f t="shared" si="148"/>
        <v>0</v>
      </c>
      <c r="AC508" s="105"/>
      <c r="AD508" s="105">
        <f t="shared" si="139"/>
        <v>0</v>
      </c>
      <c r="AE508" s="105"/>
      <c r="AF508" s="105">
        <f t="shared" si="140"/>
        <v>0</v>
      </c>
      <c r="AG508" s="105"/>
      <c r="AH508" s="106"/>
      <c r="AK508" s="106">
        <f t="shared" si="135"/>
        <v>0</v>
      </c>
      <c r="AL508" s="106">
        <f t="shared" si="136"/>
        <v>0</v>
      </c>
      <c r="AQ508" s="107"/>
      <c r="AS508" s="108"/>
    </row>
    <row r="509" spans="1:45" x14ac:dyDescent="0.2">
      <c r="A509" s="85" t="s">
        <v>215</v>
      </c>
      <c r="B509" s="101"/>
      <c r="C509" s="92" t="s">
        <v>805</v>
      </c>
      <c r="D509" s="92"/>
      <c r="F509" s="104">
        <f>SUM(F508)</f>
        <v>0</v>
      </c>
      <c r="G509" s="104">
        <f>F509</f>
        <v>0</v>
      </c>
      <c r="H509" s="105">
        <f>VLOOKUP(A509,Data!$A$2:$Z$179,24,FALSE)</f>
        <v>9.3989999999999991</v>
      </c>
      <c r="I509" s="105">
        <f>VLOOKUP(A509,Data!$A$2:$Z$179,25,FALSE)</f>
        <v>0</v>
      </c>
      <c r="J509" s="105">
        <f>VLOOKUP(A509,Data!$A$2:$Z$179,7,FALSE)</f>
        <v>8.6290000000000013</v>
      </c>
      <c r="K509" s="105">
        <f>$F509*J509</f>
        <v>0</v>
      </c>
      <c r="L509" s="105">
        <f>VLOOKUP(A509,Data!$A$2:$Z$179,8,FALSE)</f>
        <v>0</v>
      </c>
      <c r="M509" s="105">
        <f>L509*F509</f>
        <v>0</v>
      </c>
      <c r="N509" s="105">
        <f>VLOOKUP(A509,Data!$A$2:$Z$179,9,FALSE)</f>
        <v>0</v>
      </c>
      <c r="O509" s="105">
        <v>1.0860000000000001</v>
      </c>
      <c r="P509" s="105">
        <f>O509*F509</f>
        <v>0</v>
      </c>
      <c r="Q509" s="105">
        <f>VLOOKUP(A509,Data!$A$2:$Z$179,11,FALSE)</f>
        <v>0</v>
      </c>
      <c r="R509" s="105">
        <f t="shared" si="141"/>
        <v>0</v>
      </c>
      <c r="S509" s="105">
        <v>2.831</v>
      </c>
      <c r="T509" s="105">
        <f>S509*F509</f>
        <v>0</v>
      </c>
      <c r="U509" s="105">
        <f>VLOOKUP(A509,Data!$A$2:$Z$179,13,FALSE)</f>
        <v>0.16775320821976905</v>
      </c>
      <c r="V509" s="91">
        <f t="shared" si="137"/>
        <v>0</v>
      </c>
      <c r="W509" s="105">
        <f>VLOOKUP(A509,Data!$A$2:$Z$179,22,FALSE)</f>
        <v>0</v>
      </c>
      <c r="X509" s="105">
        <f>W509*F509</f>
        <v>0</v>
      </c>
      <c r="Y509" s="105">
        <f>VLOOKUP(A509,Data!$A$2:$Z$179,19,FALSE)</f>
        <v>0</v>
      </c>
      <c r="Z509" s="105">
        <f t="shared" si="142"/>
        <v>0</v>
      </c>
      <c r="AA509" s="105">
        <f>VLOOKUP(A509,Data!$A$2:$Z$179,20,FALSE)</f>
        <v>0</v>
      </c>
      <c r="AB509" s="105">
        <f t="shared" si="148"/>
        <v>0</v>
      </c>
      <c r="AC509" s="105">
        <f>VLOOKUP(A509,Data!$A$2:$Z$179,21,FALSE)</f>
        <v>0</v>
      </c>
      <c r="AD509" s="105">
        <f t="shared" si="139"/>
        <v>0</v>
      </c>
      <c r="AE509" s="105">
        <f>J509+L509+N509+O509+Q509+S509+U509+W509+Y509+AA509+AC509</f>
        <v>12.713753208219771</v>
      </c>
      <c r="AF509" s="105">
        <f t="shared" si="140"/>
        <v>0</v>
      </c>
      <c r="AG509" s="105"/>
      <c r="AH509" s="106">
        <f>AE509-S509-W509</f>
        <v>9.8827532082197713</v>
      </c>
      <c r="AI509" s="85">
        <f>AH509/AE509</f>
        <v>0.77732775258137898</v>
      </c>
      <c r="AK509" s="106">
        <f t="shared" si="135"/>
        <v>3.9169999999999998</v>
      </c>
      <c r="AL509" s="106">
        <f t="shared" si="136"/>
        <v>3.9169999999999998</v>
      </c>
      <c r="AQ509" s="107"/>
      <c r="AS509" s="108"/>
    </row>
    <row r="510" spans="1:45" x14ac:dyDescent="0.2">
      <c r="B510" s="101"/>
      <c r="C510" s="92"/>
      <c r="D510" s="92"/>
      <c r="F510" s="109"/>
      <c r="G510" s="109"/>
      <c r="H510" s="109"/>
      <c r="I510" s="109"/>
      <c r="J510" s="105"/>
      <c r="K510" s="105"/>
      <c r="L510" s="105"/>
      <c r="M510" s="105">
        <f t="shared" si="147"/>
        <v>0</v>
      </c>
      <c r="N510" s="105"/>
      <c r="O510" s="105"/>
      <c r="P510" s="105">
        <f t="shared" si="144"/>
        <v>0</v>
      </c>
      <c r="Q510" s="105"/>
      <c r="R510" s="105">
        <f t="shared" si="141"/>
        <v>0</v>
      </c>
      <c r="S510" s="105"/>
      <c r="T510" s="105">
        <f t="shared" si="145"/>
        <v>0</v>
      </c>
      <c r="U510" s="105"/>
      <c r="V510" s="91">
        <f t="shared" si="137"/>
        <v>0</v>
      </c>
      <c r="W510" s="105"/>
      <c r="X510" s="105">
        <f t="shared" si="143"/>
        <v>0</v>
      </c>
      <c r="Y510" s="105"/>
      <c r="Z510" s="105">
        <f t="shared" si="142"/>
        <v>0</v>
      </c>
      <c r="AA510" s="105"/>
      <c r="AB510" s="105">
        <f t="shared" si="148"/>
        <v>0</v>
      </c>
      <c r="AC510" s="105"/>
      <c r="AD510" s="105">
        <f t="shared" si="139"/>
        <v>0</v>
      </c>
      <c r="AE510" s="105"/>
      <c r="AF510" s="105">
        <f t="shared" si="140"/>
        <v>0</v>
      </c>
      <c r="AG510" s="105"/>
      <c r="AH510" s="106"/>
      <c r="AI510" s="85">
        <v>0.44939666893269881</v>
      </c>
      <c r="AK510" s="106">
        <f t="shared" si="135"/>
        <v>0</v>
      </c>
      <c r="AL510" s="106">
        <f t="shared" si="136"/>
        <v>0</v>
      </c>
      <c r="AQ510" s="107"/>
      <c r="AS510" s="108"/>
    </row>
    <row r="511" spans="1:45" x14ac:dyDescent="0.2">
      <c r="A511" s="85" t="s">
        <v>216</v>
      </c>
      <c r="B511" s="101" t="s">
        <v>214</v>
      </c>
      <c r="C511" s="86" t="s">
        <v>806</v>
      </c>
      <c r="D511" s="102">
        <v>96461330</v>
      </c>
      <c r="E511" s="102">
        <v>0</v>
      </c>
      <c r="F511" s="102">
        <f>D511+E511</f>
        <v>96461330</v>
      </c>
      <c r="G511" s="102"/>
      <c r="H511" s="102"/>
      <c r="I511" s="102"/>
      <c r="J511" s="105"/>
      <c r="K511" s="105"/>
      <c r="L511" s="105"/>
      <c r="M511" s="105">
        <f t="shared" si="147"/>
        <v>0</v>
      </c>
      <c r="N511" s="105"/>
      <c r="O511" s="105"/>
      <c r="P511" s="105">
        <f t="shared" si="144"/>
        <v>0</v>
      </c>
      <c r="Q511" s="105"/>
      <c r="R511" s="105">
        <f t="shared" si="141"/>
        <v>0</v>
      </c>
      <c r="S511" s="105"/>
      <c r="T511" s="105">
        <f t="shared" si="145"/>
        <v>0</v>
      </c>
      <c r="U511" s="105"/>
      <c r="V511" s="91">
        <f t="shared" si="137"/>
        <v>0</v>
      </c>
      <c r="W511" s="105"/>
      <c r="X511" s="105">
        <f t="shared" si="143"/>
        <v>0</v>
      </c>
      <c r="Y511" s="105"/>
      <c r="Z511" s="105">
        <f t="shared" si="142"/>
        <v>0</v>
      </c>
      <c r="AA511" s="105"/>
      <c r="AB511" s="105">
        <f t="shared" si="148"/>
        <v>0</v>
      </c>
      <c r="AC511" s="105"/>
      <c r="AD511" s="105">
        <f t="shared" si="139"/>
        <v>0</v>
      </c>
      <c r="AE511" s="105"/>
      <c r="AF511" s="105">
        <f t="shared" si="140"/>
        <v>0</v>
      </c>
      <c r="AG511" s="105"/>
      <c r="AH511" s="106"/>
      <c r="AK511" s="106">
        <f t="shared" si="135"/>
        <v>0</v>
      </c>
      <c r="AL511" s="106">
        <f t="shared" si="136"/>
        <v>0</v>
      </c>
      <c r="AQ511" s="107"/>
      <c r="AR511" s="112"/>
      <c r="AS511" s="108"/>
    </row>
    <row r="512" spans="1:45" x14ac:dyDescent="0.2">
      <c r="A512" s="85" t="s">
        <v>216</v>
      </c>
      <c r="B512" s="101" t="s">
        <v>207</v>
      </c>
      <c r="C512" s="86" t="s">
        <v>806</v>
      </c>
      <c r="D512" s="102"/>
      <c r="E512" s="102">
        <v>0</v>
      </c>
      <c r="F512" s="102">
        <f>E512</f>
        <v>0</v>
      </c>
      <c r="G512" s="102"/>
      <c r="H512" s="102"/>
      <c r="I512" s="102"/>
      <c r="J512" s="105"/>
      <c r="K512" s="105"/>
      <c r="L512" s="105"/>
      <c r="M512" s="105">
        <f t="shared" si="147"/>
        <v>0</v>
      </c>
      <c r="N512" s="105"/>
      <c r="O512" s="105"/>
      <c r="P512" s="105">
        <f t="shared" si="144"/>
        <v>0</v>
      </c>
      <c r="Q512" s="105"/>
      <c r="R512" s="105">
        <f t="shared" si="141"/>
        <v>0</v>
      </c>
      <c r="S512" s="105"/>
      <c r="T512" s="105">
        <f t="shared" si="145"/>
        <v>0</v>
      </c>
      <c r="U512" s="105"/>
      <c r="V512" s="91">
        <f t="shared" si="137"/>
        <v>0</v>
      </c>
      <c r="W512" s="105"/>
      <c r="X512" s="105">
        <f t="shared" si="143"/>
        <v>0</v>
      </c>
      <c r="Y512" s="105"/>
      <c r="Z512" s="105">
        <f t="shared" si="142"/>
        <v>0</v>
      </c>
      <c r="AA512" s="105"/>
      <c r="AB512" s="105">
        <f>$F511*AA512</f>
        <v>0</v>
      </c>
      <c r="AC512" s="105"/>
      <c r="AD512" s="105">
        <f t="shared" si="139"/>
        <v>0</v>
      </c>
      <c r="AE512" s="105"/>
      <c r="AF512" s="105">
        <f t="shared" si="140"/>
        <v>0</v>
      </c>
      <c r="AG512" s="105"/>
      <c r="AH512" s="106"/>
      <c r="AK512" s="106">
        <f t="shared" si="135"/>
        <v>0</v>
      </c>
      <c r="AL512" s="106">
        <f t="shared" si="136"/>
        <v>0</v>
      </c>
      <c r="AQ512" s="107"/>
      <c r="AR512" s="112"/>
      <c r="AS512" s="108"/>
    </row>
    <row r="513" spans="1:45" x14ac:dyDescent="0.2">
      <c r="A513" s="85" t="s">
        <v>216</v>
      </c>
      <c r="B513" s="101"/>
      <c r="C513" s="92" t="s">
        <v>807</v>
      </c>
      <c r="F513" s="104">
        <f>SUM(F511:F512)</f>
        <v>96461330</v>
      </c>
      <c r="G513" s="104">
        <f>F513</f>
        <v>96461330</v>
      </c>
      <c r="H513" s="105">
        <f>VLOOKUP(A513,Data!$A$2:$Z$179,24,FALSE)</f>
        <v>21.283000000000001</v>
      </c>
      <c r="I513" s="105">
        <f>VLOOKUP(A513,Data!$A$2:$Z$179,25,FALSE)</f>
        <v>0</v>
      </c>
      <c r="J513" s="105">
        <f>VLOOKUP(A513,Data!$A$2:$Z$179,7,FALSE)</f>
        <v>21.283000000000001</v>
      </c>
      <c r="K513" s="105">
        <f>$F513*J513</f>
        <v>2052986486.3900001</v>
      </c>
      <c r="L513" s="105">
        <f>VLOOKUP(A513,Data!$A$2:$Z$179,8,FALSE)</f>
        <v>0</v>
      </c>
      <c r="M513" s="105">
        <f>L513*F513</f>
        <v>0</v>
      </c>
      <c r="N513" s="105">
        <f>VLOOKUP(A513,Data!$A$2:$Z$179,9,FALSE)</f>
        <v>0</v>
      </c>
      <c r="O513" s="105">
        <f>VLOOKUP(A512,Data!$A$2:$Z$179,10,FALSE)</f>
        <v>0</v>
      </c>
      <c r="P513" s="105">
        <f>O513*F513</f>
        <v>0</v>
      </c>
      <c r="Q513" s="105">
        <f>VLOOKUP(A513,Data!$A$2:$Z$179,11,FALSE)</f>
        <v>0</v>
      </c>
      <c r="R513" s="105">
        <f t="shared" si="141"/>
        <v>0</v>
      </c>
      <c r="S513" s="105">
        <f>VLOOKUP(A513,Data!$A$2:$Z$179,12,FALSE)</f>
        <v>9.48</v>
      </c>
      <c r="T513" s="105">
        <f>S513*F513</f>
        <v>914453408.4000001</v>
      </c>
      <c r="U513" s="105">
        <f>VLOOKUP(A513,Data!$A$2:$Z$179,13,FALSE)</f>
        <v>5.1834242799679415E-5</v>
      </c>
      <c r="V513" s="91">
        <f t="shared" si="137"/>
        <v>5</v>
      </c>
      <c r="W513" s="105">
        <f>VLOOKUP(A513,Data!$A$2:$Z$179,22,FALSE)</f>
        <v>0</v>
      </c>
      <c r="X513" s="105">
        <f>W513*F513</f>
        <v>0</v>
      </c>
      <c r="Y513" s="105">
        <f>VLOOKUP(A513,Data!$A$2:$Z$179,19,FALSE)</f>
        <v>0</v>
      </c>
      <c r="Z513" s="105">
        <f t="shared" si="142"/>
        <v>0</v>
      </c>
      <c r="AA513" s="105">
        <f>VLOOKUP(A513,Data!$A$2:$Z$179,20,FALSE)</f>
        <v>0</v>
      </c>
      <c r="AB513" s="105">
        <f>$F513*AA513</f>
        <v>0</v>
      </c>
      <c r="AC513" s="105">
        <f>VLOOKUP(A513,Data!$A$2:$Z$179,21,FALSE)</f>
        <v>0</v>
      </c>
      <c r="AD513" s="105">
        <f t="shared" si="139"/>
        <v>0</v>
      </c>
      <c r="AE513" s="105">
        <f>J513+L513+N513+O513+Q513+S513+U513+W513+Y513+AA513+AC513</f>
        <v>30.763051834242802</v>
      </c>
      <c r="AF513" s="105">
        <f t="shared" si="140"/>
        <v>2967444894.7900004</v>
      </c>
      <c r="AG513" s="105"/>
      <c r="AH513" s="106">
        <f>AE513-S513-W513</f>
        <v>21.283051834242801</v>
      </c>
      <c r="AI513" s="85">
        <f>AH513/AE513</f>
        <v>0.69183811635204295</v>
      </c>
      <c r="AK513" s="106">
        <f t="shared" si="135"/>
        <v>9.48</v>
      </c>
      <c r="AL513" s="106">
        <f t="shared" si="136"/>
        <v>9.48</v>
      </c>
      <c r="AQ513" s="107"/>
      <c r="AR513" s="112"/>
      <c r="AS513" s="108"/>
    </row>
    <row r="514" spans="1:45" x14ac:dyDescent="0.2">
      <c r="B514" s="101"/>
      <c r="C514" s="92"/>
      <c r="D514" s="92"/>
      <c r="F514" s="109"/>
      <c r="G514" s="109"/>
      <c r="H514" s="109"/>
      <c r="I514" s="109"/>
      <c r="J514" s="105"/>
      <c r="K514" s="105"/>
      <c r="L514" s="105"/>
      <c r="M514" s="105">
        <f t="shared" si="147"/>
        <v>0</v>
      </c>
      <c r="N514" s="105"/>
      <c r="O514" s="105"/>
      <c r="P514" s="105">
        <f t="shared" si="144"/>
        <v>0</v>
      </c>
      <c r="Q514" s="105"/>
      <c r="R514" s="105">
        <f t="shared" si="141"/>
        <v>0</v>
      </c>
      <c r="S514" s="105"/>
      <c r="T514" s="105">
        <f t="shared" si="145"/>
        <v>0</v>
      </c>
      <c r="U514" s="105"/>
      <c r="V514" s="91">
        <f t="shared" si="137"/>
        <v>0</v>
      </c>
      <c r="W514" s="105"/>
      <c r="X514" s="105">
        <f t="shared" si="143"/>
        <v>0</v>
      </c>
      <c r="Y514" s="105"/>
      <c r="Z514" s="105">
        <f t="shared" si="142"/>
        <v>0</v>
      </c>
      <c r="AA514" s="105"/>
      <c r="AB514" s="105">
        <f>$F513*AA514</f>
        <v>0</v>
      </c>
      <c r="AC514" s="105"/>
      <c r="AD514" s="105">
        <f t="shared" si="139"/>
        <v>0</v>
      </c>
      <c r="AE514" s="105"/>
      <c r="AF514" s="105">
        <f t="shared" si="140"/>
        <v>0</v>
      </c>
      <c r="AG514" s="105"/>
      <c r="AH514" s="106"/>
      <c r="AK514" s="106">
        <f t="shared" si="135"/>
        <v>0</v>
      </c>
      <c r="AL514" s="106">
        <f t="shared" si="136"/>
        <v>0</v>
      </c>
      <c r="AQ514" s="107"/>
      <c r="AS514" s="108"/>
    </row>
    <row r="515" spans="1:45" x14ac:dyDescent="0.2">
      <c r="A515" s="85" t="s">
        <v>217</v>
      </c>
      <c r="B515" s="101" t="s">
        <v>218</v>
      </c>
      <c r="C515" s="86" t="s">
        <v>808</v>
      </c>
      <c r="D515" s="92"/>
      <c r="F515" s="102">
        <f>E515</f>
        <v>0</v>
      </c>
      <c r="G515" s="103"/>
      <c r="H515" s="103"/>
      <c r="I515" s="103"/>
      <c r="J515" s="105"/>
      <c r="K515" s="105"/>
      <c r="L515" s="105"/>
      <c r="M515" s="105">
        <f t="shared" si="147"/>
        <v>0</v>
      </c>
      <c r="N515" s="105"/>
      <c r="O515" s="105"/>
      <c r="P515" s="105">
        <f t="shared" si="144"/>
        <v>0</v>
      </c>
      <c r="Q515" s="105"/>
      <c r="R515" s="105">
        <f t="shared" si="141"/>
        <v>0</v>
      </c>
      <c r="S515" s="105"/>
      <c r="T515" s="105">
        <f t="shared" si="145"/>
        <v>0</v>
      </c>
      <c r="U515" s="105"/>
      <c r="V515" s="91">
        <f t="shared" si="137"/>
        <v>0</v>
      </c>
      <c r="W515" s="105"/>
      <c r="X515" s="105">
        <f t="shared" si="143"/>
        <v>0</v>
      </c>
      <c r="Y515" s="105"/>
      <c r="Z515" s="105">
        <f t="shared" si="142"/>
        <v>0</v>
      </c>
      <c r="AA515" s="105"/>
      <c r="AB515" s="105">
        <f>$F514*AA515</f>
        <v>0</v>
      </c>
      <c r="AC515" s="105"/>
      <c r="AD515" s="105">
        <f t="shared" si="139"/>
        <v>0</v>
      </c>
      <c r="AE515" s="105"/>
      <c r="AF515" s="105">
        <f t="shared" si="140"/>
        <v>0</v>
      </c>
      <c r="AG515" s="105"/>
      <c r="AH515" s="106"/>
      <c r="AK515" s="106">
        <f t="shared" si="135"/>
        <v>0</v>
      </c>
      <c r="AL515" s="106">
        <f t="shared" si="136"/>
        <v>0</v>
      </c>
      <c r="AQ515" s="107"/>
      <c r="AR515" s="112"/>
      <c r="AS515" s="108"/>
    </row>
    <row r="516" spans="1:45" x14ac:dyDescent="0.2">
      <c r="A516" s="85" t="s">
        <v>217</v>
      </c>
      <c r="B516" s="101"/>
      <c r="C516" s="92" t="s">
        <v>809</v>
      </c>
      <c r="F516" s="104">
        <f>SUM(F515)</f>
        <v>0</v>
      </c>
      <c r="G516" s="104">
        <f>F516</f>
        <v>0</v>
      </c>
      <c r="H516" s="105">
        <f>VLOOKUP(A516,Data!$A$2:$Z$179,24,FALSE)</f>
        <v>27</v>
      </c>
      <c r="I516" s="105">
        <f>VLOOKUP(A516,Data!$A$2:$Z$179,25,FALSE)</f>
        <v>2.4420000000000002</v>
      </c>
      <c r="J516" s="105">
        <f>VLOOKUP(A516,Data!$A$2:$Z$179,7,FALSE)</f>
        <v>24.558</v>
      </c>
      <c r="K516" s="105">
        <f>$F516*J516</f>
        <v>0</v>
      </c>
      <c r="L516" s="105">
        <f>VLOOKUP(A516,Data!$A$2:$Z$179,8,FALSE)</f>
        <v>0</v>
      </c>
      <c r="M516" s="105">
        <f>L516*F516</f>
        <v>0</v>
      </c>
      <c r="N516" s="105">
        <f>VLOOKUP(A516,Data!$A$2:$Z$179,9,FALSE)</f>
        <v>0</v>
      </c>
      <c r="O516" s="105">
        <f>VLOOKUP(A515,Data!$A$2:$Z$179,10,FALSE)</f>
        <v>0</v>
      </c>
      <c r="P516" s="105">
        <f>O516*F516</f>
        <v>0</v>
      </c>
      <c r="Q516" s="105">
        <f>VLOOKUP(A516,Data!$A$2:$Z$179,11,FALSE)</f>
        <v>0</v>
      </c>
      <c r="R516" s="105">
        <f t="shared" si="141"/>
        <v>0</v>
      </c>
      <c r="S516" s="105">
        <f>VLOOKUP(A516,Data!$A$2:$Z$179,12,FALSE)</f>
        <v>0</v>
      </c>
      <c r="T516" s="105">
        <f>S516*F516</f>
        <v>0</v>
      </c>
      <c r="U516" s="105">
        <f>VLOOKUP(A516,Data!$A$2:$Z$179,13,FALSE)</f>
        <v>0</v>
      </c>
      <c r="V516" s="91">
        <f t="shared" si="137"/>
        <v>0</v>
      </c>
      <c r="W516" s="105">
        <f>VLOOKUP(A516,Data!$A$2:$Z$179,22,FALSE)</f>
        <v>0</v>
      </c>
      <c r="X516" s="105">
        <f>W516*F516</f>
        <v>0</v>
      </c>
      <c r="Y516" s="105">
        <f>VLOOKUP(A516,Data!$A$2:$Z$179,19,FALSE)</f>
        <v>0</v>
      </c>
      <c r="Z516" s="105">
        <f t="shared" si="142"/>
        <v>0</v>
      </c>
      <c r="AA516" s="105">
        <f>VLOOKUP(A516,Data!$A$2:$Z$179,20,FALSE)</f>
        <v>0</v>
      </c>
      <c r="AB516" s="105">
        <f>$F516*AA516</f>
        <v>0</v>
      </c>
      <c r="AC516" s="105">
        <f>VLOOKUP(A516,Data!$A$2:$Z$179,21,FALSE)</f>
        <v>0</v>
      </c>
      <c r="AD516" s="105">
        <f t="shared" si="139"/>
        <v>0</v>
      </c>
      <c r="AE516" s="105">
        <f>J516+L516+N516+O516+Q516+S516+U516+W516+Y516+AA516+AC516</f>
        <v>24.558</v>
      </c>
      <c r="AF516" s="105">
        <f t="shared" si="140"/>
        <v>0</v>
      </c>
      <c r="AG516" s="105"/>
      <c r="AH516" s="106">
        <f>AE516-S516-W516</f>
        <v>24.558</v>
      </c>
      <c r="AI516" s="85">
        <f>AH516/AE516</f>
        <v>1</v>
      </c>
      <c r="AK516" s="106">
        <f t="shared" si="135"/>
        <v>0</v>
      </c>
      <c r="AL516" s="106">
        <f t="shared" si="136"/>
        <v>0</v>
      </c>
      <c r="AQ516" s="107"/>
      <c r="AR516" s="112"/>
      <c r="AS516" s="108"/>
    </row>
    <row r="517" spans="1:45" x14ac:dyDescent="0.2">
      <c r="B517" s="101"/>
      <c r="C517" s="92"/>
      <c r="D517" s="92"/>
      <c r="F517" s="109"/>
      <c r="G517" s="109"/>
      <c r="H517" s="109"/>
      <c r="I517" s="109"/>
      <c r="J517" s="105"/>
      <c r="K517" s="105"/>
      <c r="L517" s="105"/>
      <c r="M517" s="105">
        <f t="shared" si="147"/>
        <v>0</v>
      </c>
      <c r="N517" s="105"/>
      <c r="O517" s="105"/>
      <c r="P517" s="105">
        <f t="shared" si="144"/>
        <v>0</v>
      </c>
      <c r="Q517" s="105"/>
      <c r="R517" s="105">
        <f t="shared" si="141"/>
        <v>0</v>
      </c>
      <c r="S517" s="105"/>
      <c r="T517" s="105">
        <f t="shared" si="145"/>
        <v>0</v>
      </c>
      <c r="U517" s="105"/>
      <c r="V517" s="91">
        <f t="shared" si="137"/>
        <v>0</v>
      </c>
      <c r="W517" s="105"/>
      <c r="X517" s="105">
        <f t="shared" si="143"/>
        <v>0</v>
      </c>
      <c r="Y517" s="105"/>
      <c r="Z517" s="105">
        <f t="shared" si="142"/>
        <v>0</v>
      </c>
      <c r="AA517" s="105"/>
      <c r="AB517" s="105">
        <f t="shared" ref="AB517:AB522" si="149">$F517*AA517</f>
        <v>0</v>
      </c>
      <c r="AC517" s="105"/>
      <c r="AD517" s="105">
        <f t="shared" si="139"/>
        <v>0</v>
      </c>
      <c r="AE517" s="105"/>
      <c r="AF517" s="105">
        <f t="shared" si="140"/>
        <v>0</v>
      </c>
      <c r="AG517" s="105"/>
      <c r="AH517" s="106"/>
      <c r="AK517" s="106">
        <f t="shared" si="135"/>
        <v>0</v>
      </c>
      <c r="AL517" s="106">
        <f t="shared" si="136"/>
        <v>0</v>
      </c>
      <c r="AQ517" s="107"/>
      <c r="AS517" s="108"/>
    </row>
    <row r="518" spans="1:45" x14ac:dyDescent="0.2">
      <c r="A518" s="85" t="s">
        <v>219</v>
      </c>
      <c r="B518" s="101" t="s">
        <v>218</v>
      </c>
      <c r="C518" s="86" t="s">
        <v>810</v>
      </c>
      <c r="D518" s="92"/>
      <c r="F518" s="102">
        <f>E518</f>
        <v>0</v>
      </c>
      <c r="G518" s="103"/>
      <c r="H518" s="103"/>
      <c r="I518" s="103"/>
      <c r="J518" s="105"/>
      <c r="K518" s="105"/>
      <c r="L518" s="105"/>
      <c r="M518" s="105">
        <f t="shared" si="147"/>
        <v>0</v>
      </c>
      <c r="N518" s="105"/>
      <c r="O518" s="105"/>
      <c r="P518" s="105">
        <f t="shared" si="144"/>
        <v>0</v>
      </c>
      <c r="Q518" s="105"/>
      <c r="R518" s="105">
        <f t="shared" si="141"/>
        <v>0</v>
      </c>
      <c r="S518" s="105"/>
      <c r="T518" s="105">
        <f t="shared" si="145"/>
        <v>0</v>
      </c>
      <c r="U518" s="105"/>
      <c r="V518" s="91">
        <f t="shared" si="137"/>
        <v>0</v>
      </c>
      <c r="W518" s="105"/>
      <c r="X518" s="105">
        <f t="shared" si="143"/>
        <v>0</v>
      </c>
      <c r="Y518" s="105"/>
      <c r="Z518" s="105">
        <f t="shared" si="142"/>
        <v>0</v>
      </c>
      <c r="AA518" s="105"/>
      <c r="AB518" s="105">
        <f t="shared" si="149"/>
        <v>0</v>
      </c>
      <c r="AC518" s="105"/>
      <c r="AD518" s="105">
        <f t="shared" si="139"/>
        <v>0</v>
      </c>
      <c r="AE518" s="105"/>
      <c r="AF518" s="105">
        <f t="shared" si="140"/>
        <v>0</v>
      </c>
      <c r="AG518" s="105"/>
      <c r="AH518" s="106"/>
      <c r="AK518" s="106">
        <f t="shared" si="135"/>
        <v>0</v>
      </c>
      <c r="AL518" s="106">
        <f t="shared" si="136"/>
        <v>0</v>
      </c>
      <c r="AQ518" s="107"/>
      <c r="AR518" s="112"/>
      <c r="AS518" s="108"/>
    </row>
    <row r="519" spans="1:45" x14ac:dyDescent="0.2">
      <c r="A519" s="85" t="s">
        <v>219</v>
      </c>
      <c r="B519" s="101"/>
      <c r="C519" s="92" t="s">
        <v>811</v>
      </c>
      <c r="F519" s="104">
        <f>SUM(F518)</f>
        <v>0</v>
      </c>
      <c r="G519" s="104">
        <f>F519</f>
        <v>0</v>
      </c>
      <c r="H519" s="105">
        <f>VLOOKUP(A519,Data!$A$2:$Z$179,24,FALSE)</f>
        <v>27</v>
      </c>
      <c r="I519" s="105">
        <f>VLOOKUP(A519,Data!$A$2:$Z$179,25,FALSE)</f>
        <v>0</v>
      </c>
      <c r="J519" s="105">
        <f>VLOOKUP(A519,Data!$A$2:$Z$179,7,FALSE)</f>
        <v>27</v>
      </c>
      <c r="K519" s="105">
        <f>$F519*J519</f>
        <v>0</v>
      </c>
      <c r="L519" s="105">
        <f>VLOOKUP(A519,Data!$A$2:$Z$179,8,FALSE)</f>
        <v>0</v>
      </c>
      <c r="M519" s="105">
        <f>L519*F519</f>
        <v>0</v>
      </c>
      <c r="N519" s="105">
        <f>VLOOKUP(A519,Data!$A$2:$Z$179,9,FALSE)</f>
        <v>0</v>
      </c>
      <c r="O519" s="105">
        <f>VLOOKUP(A518,Data!$A$2:$Z$179,10,FALSE)</f>
        <v>0</v>
      </c>
      <c r="P519" s="105">
        <f>O519*F519</f>
        <v>0</v>
      </c>
      <c r="Q519" s="105">
        <f>VLOOKUP(A519,Data!$A$2:$Z$179,11,FALSE)</f>
        <v>0</v>
      </c>
      <c r="R519" s="105">
        <f t="shared" si="141"/>
        <v>0</v>
      </c>
      <c r="S519" s="105">
        <f>VLOOKUP(A519,Data!$A$2:$Z$179,12,FALSE)</f>
        <v>6.7039999999999997</v>
      </c>
      <c r="T519" s="105">
        <f>S519*F519</f>
        <v>0</v>
      </c>
      <c r="U519" s="105">
        <f>VLOOKUP(A519,Data!$A$2:$Z$179,13,FALSE)</f>
        <v>0</v>
      </c>
      <c r="V519" s="91">
        <f t="shared" si="137"/>
        <v>0</v>
      </c>
      <c r="W519" s="105">
        <f>VLOOKUP(A519,Data!$A$2:$Z$179,22,FALSE)</f>
        <v>0</v>
      </c>
      <c r="X519" s="105">
        <f>W519*F519</f>
        <v>0</v>
      </c>
      <c r="Y519" s="105">
        <f>VLOOKUP(A519,Data!$A$2:$Z$179,19,FALSE)</f>
        <v>0</v>
      </c>
      <c r="Z519" s="105">
        <f t="shared" si="142"/>
        <v>0</v>
      </c>
      <c r="AA519" s="105">
        <f>VLOOKUP(A519,Data!$A$2:$Z$179,20,FALSE)</f>
        <v>0</v>
      </c>
      <c r="AB519" s="105">
        <f t="shared" si="149"/>
        <v>0</v>
      </c>
      <c r="AC519" s="105">
        <f>VLOOKUP(A519,Data!$A$2:$Z$179,21,FALSE)</f>
        <v>0</v>
      </c>
      <c r="AD519" s="105">
        <f t="shared" si="139"/>
        <v>0</v>
      </c>
      <c r="AE519" s="105">
        <f>J519+L519+N519+O519+Q519+S519+U519+W519+Y519+AA519+AC519</f>
        <v>33.704000000000001</v>
      </c>
      <c r="AF519" s="105">
        <f t="shared" si="140"/>
        <v>0</v>
      </c>
      <c r="AG519" s="105"/>
      <c r="AH519" s="106">
        <f>AE519-S519-W519</f>
        <v>27</v>
      </c>
      <c r="AI519" s="85">
        <f>AH519/AE519</f>
        <v>0.80109185853311182</v>
      </c>
      <c r="AK519" s="106">
        <f t="shared" si="135"/>
        <v>6.7039999999999997</v>
      </c>
      <c r="AL519" s="106">
        <f t="shared" si="136"/>
        <v>6.7039999999999997</v>
      </c>
      <c r="AQ519" s="107"/>
      <c r="AR519" s="112"/>
      <c r="AS519" s="108"/>
    </row>
    <row r="520" spans="1:45" x14ac:dyDescent="0.2">
      <c r="B520" s="101"/>
      <c r="C520" s="92"/>
      <c r="D520" s="92"/>
      <c r="F520" s="109"/>
      <c r="G520" s="109"/>
      <c r="H520" s="109"/>
      <c r="I520" s="109"/>
      <c r="J520" s="105"/>
      <c r="K520" s="105"/>
      <c r="L520" s="105"/>
      <c r="M520" s="105">
        <f t="shared" si="147"/>
        <v>0</v>
      </c>
      <c r="N520" s="105"/>
      <c r="O520" s="105"/>
      <c r="P520" s="105">
        <f t="shared" si="144"/>
        <v>0</v>
      </c>
      <c r="Q520" s="105"/>
      <c r="R520" s="105">
        <f t="shared" si="141"/>
        <v>0</v>
      </c>
      <c r="S520" s="105"/>
      <c r="T520" s="105">
        <f t="shared" si="145"/>
        <v>0</v>
      </c>
      <c r="U520" s="105"/>
      <c r="V520" s="91">
        <f t="shared" si="137"/>
        <v>0</v>
      </c>
      <c r="W520" s="105"/>
      <c r="X520" s="105">
        <f t="shared" si="143"/>
        <v>0</v>
      </c>
      <c r="Y520" s="105"/>
      <c r="Z520" s="105">
        <f t="shared" si="142"/>
        <v>0</v>
      </c>
      <c r="AA520" s="105"/>
      <c r="AB520" s="105">
        <f t="shared" si="149"/>
        <v>0</v>
      </c>
      <c r="AC520" s="105"/>
      <c r="AD520" s="105">
        <f t="shared" si="139"/>
        <v>0</v>
      </c>
      <c r="AE520" s="105"/>
      <c r="AF520" s="105">
        <f t="shared" si="140"/>
        <v>0</v>
      </c>
      <c r="AG520" s="105"/>
      <c r="AH520" s="106"/>
      <c r="AK520" s="106">
        <f t="shared" ref="AK520:AK583" si="150">O520+Q520+S520</f>
        <v>0</v>
      </c>
      <c r="AL520" s="106">
        <f t="shared" ref="AL520:AL583" si="151">O520+Q520+S520</f>
        <v>0</v>
      </c>
      <c r="AQ520" s="107"/>
      <c r="AS520" s="108"/>
    </row>
    <row r="521" spans="1:45" x14ac:dyDescent="0.2">
      <c r="A521" s="112" t="s">
        <v>220</v>
      </c>
      <c r="B521" s="113" t="s">
        <v>218</v>
      </c>
      <c r="C521" s="113" t="s">
        <v>812</v>
      </c>
      <c r="D521" s="92"/>
      <c r="F521" s="102">
        <f>E521</f>
        <v>0</v>
      </c>
      <c r="G521" s="102"/>
      <c r="H521" s="102"/>
      <c r="I521" s="102"/>
      <c r="J521" s="105"/>
      <c r="K521" s="105"/>
      <c r="L521" s="105"/>
      <c r="M521" s="105">
        <f t="shared" si="147"/>
        <v>0</v>
      </c>
      <c r="N521" s="105"/>
      <c r="O521" s="105"/>
      <c r="P521" s="105">
        <f t="shared" si="144"/>
        <v>0</v>
      </c>
      <c r="Q521" s="105"/>
      <c r="R521" s="105">
        <f t="shared" si="141"/>
        <v>0</v>
      </c>
      <c r="S521" s="105"/>
      <c r="T521" s="105">
        <f t="shared" si="145"/>
        <v>0</v>
      </c>
      <c r="U521" s="105"/>
      <c r="V521" s="91">
        <f t="shared" si="137"/>
        <v>0</v>
      </c>
      <c r="W521" s="105"/>
      <c r="X521" s="105">
        <f t="shared" si="143"/>
        <v>0</v>
      </c>
      <c r="Y521" s="105"/>
      <c r="Z521" s="105">
        <f t="shared" si="142"/>
        <v>0</v>
      </c>
      <c r="AA521" s="105"/>
      <c r="AB521" s="105">
        <f t="shared" si="149"/>
        <v>0</v>
      </c>
      <c r="AC521" s="105"/>
      <c r="AD521" s="105">
        <f t="shared" si="139"/>
        <v>0</v>
      </c>
      <c r="AE521" s="105"/>
      <c r="AF521" s="105">
        <f t="shared" si="140"/>
        <v>0</v>
      </c>
      <c r="AG521" s="105"/>
      <c r="AH521" s="106"/>
      <c r="AK521" s="106">
        <f t="shared" si="150"/>
        <v>0</v>
      </c>
      <c r="AL521" s="106">
        <f t="shared" si="151"/>
        <v>0</v>
      </c>
      <c r="AQ521" s="107"/>
      <c r="AS521" s="108"/>
    </row>
    <row r="522" spans="1:45" x14ac:dyDescent="0.2">
      <c r="A522" s="112" t="s">
        <v>220</v>
      </c>
      <c r="B522" s="101" t="s">
        <v>210</v>
      </c>
      <c r="C522" s="113" t="s">
        <v>812</v>
      </c>
      <c r="F522" s="102">
        <f>E522</f>
        <v>0</v>
      </c>
      <c r="G522" s="102"/>
      <c r="H522" s="102"/>
      <c r="I522" s="102"/>
      <c r="J522" s="105"/>
      <c r="K522" s="105"/>
      <c r="L522" s="105"/>
      <c r="M522" s="105">
        <f t="shared" si="147"/>
        <v>0</v>
      </c>
      <c r="N522" s="105"/>
      <c r="O522" s="105"/>
      <c r="P522" s="105">
        <f t="shared" si="144"/>
        <v>0</v>
      </c>
      <c r="Q522" s="105"/>
      <c r="R522" s="105">
        <f t="shared" si="141"/>
        <v>0</v>
      </c>
      <c r="S522" s="105"/>
      <c r="T522" s="105">
        <f t="shared" si="145"/>
        <v>0</v>
      </c>
      <c r="U522" s="105"/>
      <c r="V522" s="91">
        <f t="shared" si="137"/>
        <v>0</v>
      </c>
      <c r="W522" s="105"/>
      <c r="X522" s="105">
        <f t="shared" si="143"/>
        <v>0</v>
      </c>
      <c r="Y522" s="105"/>
      <c r="Z522" s="105">
        <f t="shared" si="142"/>
        <v>0</v>
      </c>
      <c r="AA522" s="105"/>
      <c r="AB522" s="105">
        <f t="shared" si="149"/>
        <v>0</v>
      </c>
      <c r="AC522" s="105"/>
      <c r="AD522" s="105">
        <f t="shared" si="139"/>
        <v>0</v>
      </c>
      <c r="AE522" s="105"/>
      <c r="AF522" s="105">
        <f t="shared" si="140"/>
        <v>0</v>
      </c>
      <c r="AG522" s="105"/>
      <c r="AH522" s="106"/>
      <c r="AK522" s="106">
        <f t="shared" si="150"/>
        <v>0</v>
      </c>
      <c r="AL522" s="106">
        <f t="shared" si="151"/>
        <v>0</v>
      </c>
      <c r="AQ522" s="107"/>
      <c r="AS522" s="108"/>
    </row>
    <row r="523" spans="1:45" x14ac:dyDescent="0.2">
      <c r="A523" s="112" t="s">
        <v>220</v>
      </c>
      <c r="B523" s="101" t="s">
        <v>25</v>
      </c>
      <c r="C523" s="113" t="s">
        <v>812</v>
      </c>
      <c r="F523" s="102">
        <f>E523</f>
        <v>0</v>
      </c>
      <c r="G523" s="102"/>
      <c r="H523" s="102"/>
      <c r="I523" s="102"/>
      <c r="J523" s="105"/>
      <c r="K523" s="105"/>
      <c r="L523" s="105"/>
      <c r="M523" s="105">
        <f t="shared" si="147"/>
        <v>0</v>
      </c>
      <c r="N523" s="105"/>
      <c r="O523" s="105"/>
      <c r="P523" s="105">
        <f t="shared" si="144"/>
        <v>0</v>
      </c>
      <c r="Q523" s="105"/>
      <c r="R523" s="105">
        <f t="shared" si="141"/>
        <v>0</v>
      </c>
      <c r="S523" s="105"/>
      <c r="T523" s="105">
        <f t="shared" si="145"/>
        <v>0</v>
      </c>
      <c r="U523" s="105"/>
      <c r="V523" s="91">
        <f t="shared" si="137"/>
        <v>0</v>
      </c>
      <c r="W523" s="105"/>
      <c r="X523" s="105">
        <f t="shared" si="143"/>
        <v>0</v>
      </c>
      <c r="Y523" s="105"/>
      <c r="Z523" s="105">
        <f t="shared" si="142"/>
        <v>0</v>
      </c>
      <c r="AA523" s="105"/>
      <c r="AB523" s="105">
        <f>$F521*AA523</f>
        <v>0</v>
      </c>
      <c r="AC523" s="105"/>
      <c r="AD523" s="105">
        <f t="shared" si="139"/>
        <v>0</v>
      </c>
      <c r="AE523" s="105"/>
      <c r="AF523" s="105">
        <f t="shared" si="140"/>
        <v>0</v>
      </c>
      <c r="AG523" s="105"/>
      <c r="AH523" s="106"/>
      <c r="AK523" s="106">
        <f t="shared" si="150"/>
        <v>0</v>
      </c>
      <c r="AL523" s="106">
        <f t="shared" si="151"/>
        <v>0</v>
      </c>
      <c r="AQ523" s="107"/>
      <c r="AS523" s="108"/>
    </row>
    <row r="524" spans="1:45" x14ac:dyDescent="0.2">
      <c r="A524" s="112" t="s">
        <v>220</v>
      </c>
      <c r="B524" s="101"/>
      <c r="C524" s="92" t="s">
        <v>813</v>
      </c>
      <c r="F524" s="104">
        <f>SUM(F521:F523)</f>
        <v>0</v>
      </c>
      <c r="G524" s="104">
        <f>F524</f>
        <v>0</v>
      </c>
      <c r="H524" s="105">
        <f>VLOOKUP(A524,Data!$A$2:$Z$179,24,FALSE)</f>
        <v>27</v>
      </c>
      <c r="I524" s="105">
        <f>VLOOKUP(A524,Data!$A$2:$Z$179,25,FALSE)</f>
        <v>0</v>
      </c>
      <c r="J524" s="105">
        <f>VLOOKUP(A524,Data!$A$2:$Z$179,7,FALSE)</f>
        <v>27</v>
      </c>
      <c r="K524" s="105">
        <f>$F524*J524</f>
        <v>0</v>
      </c>
      <c r="L524" s="105">
        <f>VLOOKUP(A524,Data!$A$2:$Z$179,8,FALSE)</f>
        <v>0</v>
      </c>
      <c r="M524" s="105">
        <f>L524*F524</f>
        <v>0</v>
      </c>
      <c r="N524" s="105">
        <f>VLOOKUP(A524,Data!$A$2:$Z$179,9,FALSE)</f>
        <v>0</v>
      </c>
      <c r="O524" s="105">
        <f>VLOOKUP(A523,Data!$A$2:$Z$179,10,FALSE)</f>
        <v>0</v>
      </c>
      <c r="P524" s="105">
        <f>O524*F524</f>
        <v>0</v>
      </c>
      <c r="Q524" s="105">
        <f>VLOOKUP(A524,Data!$A$2:$Z$179,11,FALSE)</f>
        <v>0</v>
      </c>
      <c r="R524" s="105">
        <f t="shared" si="141"/>
        <v>0</v>
      </c>
      <c r="S524" s="105">
        <f>VLOOKUP(A524,Data!$A$2:$Z$179,12,FALSE)</f>
        <v>0</v>
      </c>
      <c r="T524" s="105">
        <f>S524*F524</f>
        <v>0</v>
      </c>
      <c r="U524" s="105">
        <f>VLOOKUP(A524,Data!$A$2:$Z$179,13,FALSE)</f>
        <v>0.17476078248545396</v>
      </c>
      <c r="V524" s="91">
        <f t="shared" si="137"/>
        <v>0</v>
      </c>
      <c r="W524" s="105">
        <f>VLOOKUP(A524,Data!$A$2:$Z$179,22,FALSE)</f>
        <v>0</v>
      </c>
      <c r="X524" s="105">
        <f>W524*F524</f>
        <v>0</v>
      </c>
      <c r="Y524" s="105">
        <f>VLOOKUP(A524,Data!$A$2:$Z$179,19,FALSE)</f>
        <v>0</v>
      </c>
      <c r="Z524" s="105">
        <f t="shared" si="142"/>
        <v>0</v>
      </c>
      <c r="AA524" s="105">
        <f>VLOOKUP(A524,Data!$A$2:$Z$179,20,FALSE)</f>
        <v>0</v>
      </c>
      <c r="AB524" s="105">
        <f>$F524*AA524</f>
        <v>0</v>
      </c>
      <c r="AC524" s="105">
        <f>VLOOKUP(A524,Data!$A$2:$Z$179,21,FALSE)</f>
        <v>0</v>
      </c>
      <c r="AD524" s="105">
        <f t="shared" si="139"/>
        <v>0</v>
      </c>
      <c r="AE524" s="105">
        <f>J524+L524+N524+O524+Q524+S524+U524+W524+Y524+AA524+AC524</f>
        <v>27.174760782485453</v>
      </c>
      <c r="AF524" s="105">
        <f t="shared" si="140"/>
        <v>0</v>
      </c>
      <c r="AG524" s="105"/>
      <c r="AH524" s="106">
        <f>AE524-S524-W524</f>
        <v>27.174760782485453</v>
      </c>
      <c r="AI524" s="85">
        <f>AH524/AE524</f>
        <v>1</v>
      </c>
      <c r="AK524" s="106">
        <f t="shared" si="150"/>
        <v>0</v>
      </c>
      <c r="AL524" s="106">
        <f t="shared" si="151"/>
        <v>0</v>
      </c>
      <c r="AQ524" s="107"/>
      <c r="AS524" s="108"/>
    </row>
    <row r="525" spans="1:45" x14ac:dyDescent="0.2">
      <c r="B525" s="101"/>
      <c r="C525" s="92"/>
      <c r="D525" s="92"/>
      <c r="F525" s="109"/>
      <c r="G525" s="109"/>
      <c r="H525" s="109"/>
      <c r="I525" s="109"/>
      <c r="J525" s="105"/>
      <c r="K525" s="105"/>
      <c r="L525" s="105"/>
      <c r="M525" s="105">
        <f t="shared" si="147"/>
        <v>0</v>
      </c>
      <c r="N525" s="105"/>
      <c r="O525" s="105"/>
      <c r="P525" s="105">
        <f t="shared" si="144"/>
        <v>0</v>
      </c>
      <c r="Q525" s="105"/>
      <c r="R525" s="105">
        <f t="shared" si="141"/>
        <v>0</v>
      </c>
      <c r="S525" s="105"/>
      <c r="T525" s="105">
        <f t="shared" si="145"/>
        <v>0</v>
      </c>
      <c r="U525" s="105"/>
      <c r="V525" s="91">
        <f t="shared" si="137"/>
        <v>0</v>
      </c>
      <c r="W525" s="105"/>
      <c r="X525" s="105">
        <f t="shared" si="143"/>
        <v>0</v>
      </c>
      <c r="Y525" s="105"/>
      <c r="Z525" s="105">
        <f t="shared" si="142"/>
        <v>0</v>
      </c>
      <c r="AA525" s="105"/>
      <c r="AB525" s="105">
        <f>$F523*AA525</f>
        <v>0</v>
      </c>
      <c r="AC525" s="105"/>
      <c r="AD525" s="105">
        <f t="shared" si="139"/>
        <v>0</v>
      </c>
      <c r="AE525" s="105"/>
      <c r="AF525" s="105">
        <f t="shared" si="140"/>
        <v>0</v>
      </c>
      <c r="AG525" s="105"/>
      <c r="AH525" s="106"/>
      <c r="AK525" s="106">
        <f t="shared" si="150"/>
        <v>0</v>
      </c>
      <c r="AL525" s="106">
        <f t="shared" si="151"/>
        <v>0</v>
      </c>
      <c r="AQ525" s="107"/>
      <c r="AS525" s="108"/>
    </row>
    <row r="526" spans="1:45" x14ac:dyDescent="0.2">
      <c r="A526" s="85" t="s">
        <v>221</v>
      </c>
      <c r="B526" s="101" t="s">
        <v>222</v>
      </c>
      <c r="C526" s="86" t="s">
        <v>814</v>
      </c>
      <c r="D526" s="92"/>
      <c r="F526" s="102">
        <f>E526</f>
        <v>0</v>
      </c>
      <c r="G526" s="103"/>
      <c r="H526" s="103"/>
      <c r="I526" s="103"/>
      <c r="J526" s="105"/>
      <c r="K526" s="105"/>
      <c r="L526" s="105"/>
      <c r="M526" s="105">
        <f t="shared" si="147"/>
        <v>0</v>
      </c>
      <c r="N526" s="105"/>
      <c r="O526" s="105"/>
      <c r="P526" s="105">
        <f t="shared" si="144"/>
        <v>0</v>
      </c>
      <c r="Q526" s="105"/>
      <c r="R526" s="105">
        <f t="shared" si="141"/>
        <v>0</v>
      </c>
      <c r="S526" s="105"/>
      <c r="T526" s="105">
        <f t="shared" si="145"/>
        <v>0</v>
      </c>
      <c r="U526" s="105"/>
      <c r="V526" s="91">
        <f t="shared" si="137"/>
        <v>0</v>
      </c>
      <c r="W526" s="105"/>
      <c r="X526" s="105">
        <f t="shared" si="143"/>
        <v>0</v>
      </c>
      <c r="Y526" s="105"/>
      <c r="Z526" s="105">
        <f t="shared" si="142"/>
        <v>0</v>
      </c>
      <c r="AA526" s="105"/>
      <c r="AB526" s="105">
        <f>$F524*AA526</f>
        <v>0</v>
      </c>
      <c r="AC526" s="105"/>
      <c r="AD526" s="105">
        <f t="shared" si="139"/>
        <v>0</v>
      </c>
      <c r="AE526" s="105"/>
      <c r="AF526" s="105">
        <f t="shared" si="140"/>
        <v>0</v>
      </c>
      <c r="AG526" s="105"/>
      <c r="AH526" s="106"/>
      <c r="AK526" s="106">
        <f t="shared" si="150"/>
        <v>0</v>
      </c>
      <c r="AL526" s="106">
        <f t="shared" si="151"/>
        <v>0</v>
      </c>
      <c r="AQ526" s="107"/>
      <c r="AS526" s="108"/>
    </row>
    <row r="527" spans="1:45" x14ac:dyDescent="0.2">
      <c r="A527" s="85" t="s">
        <v>221</v>
      </c>
      <c r="B527" s="101"/>
      <c r="C527" s="92" t="s">
        <v>815</v>
      </c>
      <c r="F527" s="104">
        <f>SUM(F526)</f>
        <v>0</v>
      </c>
      <c r="G527" s="104">
        <f>F527</f>
        <v>0</v>
      </c>
      <c r="H527" s="105">
        <f>VLOOKUP(A527,Data!$A$2:$Z$179,24,FALSE)</f>
        <v>15.009</v>
      </c>
      <c r="I527" s="105">
        <f>VLOOKUP(A527,Data!$A$2:$Z$179,25,FALSE)</f>
        <v>3.0439999999999996</v>
      </c>
      <c r="J527" s="105">
        <f>VLOOKUP(A527,Data!$A$2:$Z$179,7,FALSE)</f>
        <v>11.965</v>
      </c>
      <c r="K527" s="105">
        <f>$F527*J527</f>
        <v>0</v>
      </c>
      <c r="L527" s="105">
        <f>VLOOKUP(A527,Data!$A$2:$Z$179,8,FALSE)</f>
        <v>0</v>
      </c>
      <c r="M527" s="105">
        <f>L527*F527</f>
        <v>0</v>
      </c>
      <c r="N527" s="105">
        <f>VLOOKUP(A527,Data!$A$2:$Z$179,9,FALSE)</f>
        <v>0</v>
      </c>
      <c r="O527" s="105">
        <f>VLOOKUP(A526,Data!$A$2:$Z$179,10,FALSE)</f>
        <v>0.36799999999999999</v>
      </c>
      <c r="P527" s="105">
        <f>O527*F527</f>
        <v>0</v>
      </c>
      <c r="Q527" s="105">
        <f>VLOOKUP(A527,Data!$A$2:$Z$179,11,FALSE)</f>
        <v>0</v>
      </c>
      <c r="R527" s="105">
        <f t="shared" si="141"/>
        <v>0</v>
      </c>
      <c r="S527" s="105">
        <f>VLOOKUP(A527,Data!$A$2:$Z$179,12,FALSE)</f>
        <v>0</v>
      </c>
      <c r="T527" s="105">
        <f>S527*F527</f>
        <v>0</v>
      </c>
      <c r="U527" s="105">
        <f>VLOOKUP(A527,Data!$A$2:$Z$179,13,FALSE)</f>
        <v>6.2583498070908711E-2</v>
      </c>
      <c r="V527" s="91">
        <f t="shared" si="137"/>
        <v>0</v>
      </c>
      <c r="W527" s="105">
        <f>VLOOKUP(A527,Data!$A$2:$Z$179,22,FALSE)</f>
        <v>0</v>
      </c>
      <c r="X527" s="105">
        <f>W527*F527</f>
        <v>0</v>
      </c>
      <c r="Y527" s="105">
        <f>VLOOKUP(A527,Data!$A$2:$Z$179,19,FALSE)</f>
        <v>0</v>
      </c>
      <c r="Z527" s="105">
        <f t="shared" si="142"/>
        <v>0</v>
      </c>
      <c r="AA527" s="105">
        <f>VLOOKUP(A527,Data!$A$2:$Z$179,20,FALSE)</f>
        <v>0</v>
      </c>
      <c r="AB527" s="105">
        <f t="shared" ref="AB527:AB532" si="152">$F527*AA527</f>
        <v>0</v>
      </c>
      <c r="AC527" s="105">
        <f>VLOOKUP(A527,Data!$A$2:$Z$179,21,FALSE)</f>
        <v>0</v>
      </c>
      <c r="AD527" s="105">
        <f t="shared" si="139"/>
        <v>0</v>
      </c>
      <c r="AE527" s="105">
        <f>J527+L527+N527+O527+Q527+S527+U527+W527+Y527+AA527+AC527</f>
        <v>12.395583498070909</v>
      </c>
      <c r="AF527" s="105">
        <f t="shared" si="140"/>
        <v>0</v>
      </c>
      <c r="AG527" s="105"/>
      <c r="AH527" s="106">
        <f>AE527-S527-W527</f>
        <v>12.395583498070909</v>
      </c>
      <c r="AI527" s="85">
        <f>AH527/AE527</f>
        <v>1</v>
      </c>
      <c r="AK527" s="106">
        <f t="shared" si="150"/>
        <v>0.36799999999999999</v>
      </c>
      <c r="AL527" s="106">
        <f t="shared" si="151"/>
        <v>0.36799999999999999</v>
      </c>
      <c r="AQ527" s="107"/>
      <c r="AS527" s="108"/>
    </row>
    <row r="528" spans="1:45" x14ac:dyDescent="0.2">
      <c r="B528" s="101"/>
      <c r="C528" s="92"/>
      <c r="D528" s="92"/>
      <c r="F528" s="109"/>
      <c r="G528" s="109"/>
      <c r="H528" s="109"/>
      <c r="I528" s="109"/>
      <c r="J528" s="105"/>
      <c r="K528" s="105"/>
      <c r="L528" s="105"/>
      <c r="M528" s="105">
        <f t="shared" si="147"/>
        <v>0</v>
      </c>
      <c r="N528" s="105"/>
      <c r="O528" s="105"/>
      <c r="P528" s="105">
        <f t="shared" si="144"/>
        <v>0</v>
      </c>
      <c r="Q528" s="105"/>
      <c r="R528" s="105">
        <f t="shared" si="141"/>
        <v>0</v>
      </c>
      <c r="S528" s="105"/>
      <c r="T528" s="105">
        <f t="shared" si="145"/>
        <v>0</v>
      </c>
      <c r="U528" s="105"/>
      <c r="V528" s="91">
        <f t="shared" si="137"/>
        <v>0</v>
      </c>
      <c r="W528" s="105"/>
      <c r="X528" s="105">
        <f t="shared" si="143"/>
        <v>0</v>
      </c>
      <c r="Y528" s="105"/>
      <c r="Z528" s="105">
        <f t="shared" si="142"/>
        <v>0</v>
      </c>
      <c r="AA528" s="105"/>
      <c r="AB528" s="105">
        <f t="shared" si="152"/>
        <v>0</v>
      </c>
      <c r="AC528" s="105"/>
      <c r="AD528" s="105">
        <f t="shared" si="139"/>
        <v>0</v>
      </c>
      <c r="AE528" s="105"/>
      <c r="AF528" s="105">
        <f t="shared" si="140"/>
        <v>0</v>
      </c>
      <c r="AG528" s="105"/>
      <c r="AH528" s="106"/>
      <c r="AK528" s="106">
        <f t="shared" si="150"/>
        <v>0</v>
      </c>
      <c r="AL528" s="106">
        <f t="shared" si="151"/>
        <v>0</v>
      </c>
      <c r="AQ528" s="107"/>
      <c r="AS528" s="108"/>
    </row>
    <row r="529" spans="1:45" x14ac:dyDescent="0.2">
      <c r="A529" s="85" t="s">
        <v>223</v>
      </c>
      <c r="B529" s="101" t="s">
        <v>224</v>
      </c>
      <c r="C529" s="86" t="s">
        <v>816</v>
      </c>
      <c r="D529" s="92"/>
      <c r="F529" s="102">
        <f>E529</f>
        <v>0</v>
      </c>
      <c r="G529" s="103"/>
      <c r="H529" s="103"/>
      <c r="I529" s="103"/>
      <c r="J529" s="105"/>
      <c r="K529" s="105"/>
      <c r="L529" s="105"/>
      <c r="M529" s="105">
        <f t="shared" si="147"/>
        <v>0</v>
      </c>
      <c r="N529" s="105"/>
      <c r="O529" s="105"/>
      <c r="P529" s="105">
        <f t="shared" si="144"/>
        <v>0</v>
      </c>
      <c r="Q529" s="105"/>
      <c r="R529" s="105">
        <f t="shared" si="141"/>
        <v>0</v>
      </c>
      <c r="S529" s="105"/>
      <c r="T529" s="105">
        <f t="shared" si="145"/>
        <v>0</v>
      </c>
      <c r="U529" s="105"/>
      <c r="V529" s="91">
        <f t="shared" si="137"/>
        <v>0</v>
      </c>
      <c r="W529" s="105"/>
      <c r="X529" s="105">
        <f t="shared" si="143"/>
        <v>0</v>
      </c>
      <c r="Y529" s="105"/>
      <c r="Z529" s="105">
        <f t="shared" si="142"/>
        <v>0</v>
      </c>
      <c r="AA529" s="105"/>
      <c r="AB529" s="105">
        <f t="shared" si="152"/>
        <v>0</v>
      </c>
      <c r="AC529" s="105"/>
      <c r="AD529" s="105">
        <f t="shared" si="139"/>
        <v>0</v>
      </c>
      <c r="AE529" s="105"/>
      <c r="AF529" s="105">
        <f t="shared" si="140"/>
        <v>0</v>
      </c>
      <c r="AG529" s="105"/>
      <c r="AH529" s="106"/>
      <c r="AK529" s="106">
        <f t="shared" si="150"/>
        <v>0</v>
      </c>
      <c r="AL529" s="106">
        <f t="shared" si="151"/>
        <v>0</v>
      </c>
      <c r="AQ529" s="107"/>
      <c r="AS529" s="108"/>
    </row>
    <row r="530" spans="1:45" x14ac:dyDescent="0.2">
      <c r="A530" s="85" t="s">
        <v>223</v>
      </c>
      <c r="B530" s="101"/>
      <c r="C530" s="92" t="s">
        <v>817</v>
      </c>
      <c r="F530" s="104">
        <f>SUM(F529)</f>
        <v>0</v>
      </c>
      <c r="G530" s="104">
        <f>F530</f>
        <v>0</v>
      </c>
      <c r="H530" s="105">
        <f>VLOOKUP(A530,Data!$A$2:$Z$179,24,FALSE)</f>
        <v>7.2809999999999997</v>
      </c>
      <c r="I530" s="105">
        <f>VLOOKUP(A530,Data!$A$2:$Z$179,25,FALSE)</f>
        <v>0.22799999999999998</v>
      </c>
      <c r="J530" s="105">
        <f>VLOOKUP(A530,Data!$A$2:$Z$179,7,FALSE)</f>
        <v>7.0529999999999999</v>
      </c>
      <c r="K530" s="105">
        <f>$F530*J530</f>
        <v>0</v>
      </c>
      <c r="L530" s="105">
        <f>VLOOKUP(A530,Data!$A$2:$Z$179,8,FALSE)</f>
        <v>0</v>
      </c>
      <c r="M530" s="105">
        <f>L530*F530</f>
        <v>0</v>
      </c>
      <c r="N530" s="105">
        <f>VLOOKUP(A530,Data!$A$2:$Z$179,9,FALSE)</f>
        <v>0</v>
      </c>
      <c r="O530" s="105">
        <f>VLOOKUP(A529,Data!$A$2:$Z$179,10,FALSE)</f>
        <v>0</v>
      </c>
      <c r="P530" s="105">
        <f>O530*F530</f>
        <v>0</v>
      </c>
      <c r="Q530" s="105">
        <f>VLOOKUP(A530,Data!$A$2:$Z$179,11,FALSE)</f>
        <v>0</v>
      </c>
      <c r="R530" s="105">
        <f t="shared" si="141"/>
        <v>0</v>
      </c>
      <c r="S530" s="105">
        <f>VLOOKUP(A530,Data!$A$2:$Z$179,12,FALSE)</f>
        <v>2.0270000000000001</v>
      </c>
      <c r="T530" s="105">
        <f>S530*F530</f>
        <v>0</v>
      </c>
      <c r="U530" s="105">
        <f>VLOOKUP(A530,Data!$A$2:$Z$179,13,FALSE)</f>
        <v>0.23828336423548382</v>
      </c>
      <c r="V530" s="91">
        <f t="shared" ref="V530:V593" si="153">U530*F530/1000</f>
        <v>0</v>
      </c>
      <c r="W530" s="105">
        <f>VLOOKUP(A530,Data!$A$2:$Z$179,22,FALSE)</f>
        <v>0</v>
      </c>
      <c r="X530" s="105">
        <f>W530*F530</f>
        <v>0</v>
      </c>
      <c r="Y530" s="105">
        <f>VLOOKUP(A530,Data!$A$2:$Z$179,19,FALSE)</f>
        <v>0</v>
      </c>
      <c r="Z530" s="105">
        <f t="shared" si="142"/>
        <v>0</v>
      </c>
      <c r="AA530" s="105">
        <f>VLOOKUP(A530,Data!$A$2:$Z$179,20,FALSE)</f>
        <v>0</v>
      </c>
      <c r="AB530" s="105">
        <f t="shared" si="152"/>
        <v>0</v>
      </c>
      <c r="AC530" s="105">
        <f>VLOOKUP(A530,Data!$A$2:$Z$179,21,FALSE)</f>
        <v>0</v>
      </c>
      <c r="AD530" s="105">
        <f t="shared" si="139"/>
        <v>0</v>
      </c>
      <c r="AE530" s="105">
        <f>J530+L530+N530+O530+Q530+S530+U530+W530+Y530+AA530+AC530</f>
        <v>9.3182833642354836</v>
      </c>
      <c r="AF530" s="105">
        <f t="shared" si="140"/>
        <v>0</v>
      </c>
      <c r="AG530" s="105"/>
      <c r="AH530" s="106">
        <f>AE530-S530-W530</f>
        <v>7.2912833642354835</v>
      </c>
      <c r="AI530" s="85">
        <f>AH530/AE530</f>
        <v>0.78247066323612435</v>
      </c>
      <c r="AK530" s="106">
        <f t="shared" si="150"/>
        <v>2.0270000000000001</v>
      </c>
      <c r="AL530" s="106">
        <f t="shared" si="151"/>
        <v>2.0270000000000001</v>
      </c>
      <c r="AQ530" s="107"/>
      <c r="AS530" s="108"/>
    </row>
    <row r="531" spans="1:45" x14ac:dyDescent="0.2">
      <c r="B531" s="101"/>
      <c r="C531" s="92"/>
      <c r="D531" s="92"/>
      <c r="F531" s="109"/>
      <c r="G531" s="109"/>
      <c r="H531" s="109"/>
      <c r="I531" s="109"/>
      <c r="J531" s="105"/>
      <c r="K531" s="105"/>
      <c r="L531" s="105"/>
      <c r="M531" s="105">
        <f t="shared" si="147"/>
        <v>0</v>
      </c>
      <c r="N531" s="105"/>
      <c r="O531" s="105"/>
      <c r="P531" s="105">
        <f t="shared" si="144"/>
        <v>0</v>
      </c>
      <c r="Q531" s="105"/>
      <c r="R531" s="105">
        <f t="shared" si="141"/>
        <v>0</v>
      </c>
      <c r="S531" s="105"/>
      <c r="T531" s="105">
        <f t="shared" si="145"/>
        <v>0</v>
      </c>
      <c r="U531" s="105"/>
      <c r="V531" s="91">
        <f t="shared" si="153"/>
        <v>0</v>
      </c>
      <c r="W531" s="105"/>
      <c r="X531" s="105">
        <f t="shared" si="143"/>
        <v>0</v>
      </c>
      <c r="Y531" s="105"/>
      <c r="Z531" s="105">
        <f t="shared" si="142"/>
        <v>0</v>
      </c>
      <c r="AA531" s="105"/>
      <c r="AB531" s="105">
        <f t="shared" si="152"/>
        <v>0</v>
      </c>
      <c r="AC531" s="105"/>
      <c r="AD531" s="105">
        <f t="shared" si="139"/>
        <v>0</v>
      </c>
      <c r="AE531" s="105"/>
      <c r="AF531" s="105">
        <f t="shared" si="140"/>
        <v>0</v>
      </c>
      <c r="AG531" s="105"/>
      <c r="AH531" s="106"/>
      <c r="AK531" s="106">
        <f t="shared" si="150"/>
        <v>0</v>
      </c>
      <c r="AL531" s="106">
        <f t="shared" si="151"/>
        <v>0</v>
      </c>
      <c r="AQ531" s="107"/>
      <c r="AS531" s="108"/>
    </row>
    <row r="532" spans="1:45" x14ac:dyDescent="0.2">
      <c r="A532" s="85" t="s">
        <v>225</v>
      </c>
      <c r="B532" s="101" t="s">
        <v>224</v>
      </c>
      <c r="C532" s="86" t="s">
        <v>818</v>
      </c>
      <c r="D532" s="92"/>
      <c r="F532" s="102">
        <f>E532</f>
        <v>0</v>
      </c>
      <c r="G532" s="102"/>
      <c r="H532" s="102"/>
      <c r="I532" s="102"/>
      <c r="J532" s="105"/>
      <c r="K532" s="105"/>
      <c r="L532" s="105"/>
      <c r="M532" s="105">
        <f t="shared" si="147"/>
        <v>0</v>
      </c>
      <c r="N532" s="105"/>
      <c r="O532" s="105"/>
      <c r="P532" s="105">
        <f t="shared" si="144"/>
        <v>0</v>
      </c>
      <c r="Q532" s="105"/>
      <c r="R532" s="105">
        <f t="shared" si="141"/>
        <v>0</v>
      </c>
      <c r="S532" s="105"/>
      <c r="T532" s="105">
        <f t="shared" si="145"/>
        <v>0</v>
      </c>
      <c r="U532" s="105"/>
      <c r="V532" s="91">
        <f t="shared" si="153"/>
        <v>0</v>
      </c>
      <c r="W532" s="105"/>
      <c r="X532" s="105">
        <f t="shared" si="143"/>
        <v>0</v>
      </c>
      <c r="Y532" s="105"/>
      <c r="Z532" s="105">
        <f t="shared" si="142"/>
        <v>0</v>
      </c>
      <c r="AA532" s="105"/>
      <c r="AB532" s="105">
        <f t="shared" si="152"/>
        <v>0</v>
      </c>
      <c r="AC532" s="105"/>
      <c r="AD532" s="105">
        <f t="shared" si="139"/>
        <v>0</v>
      </c>
      <c r="AE532" s="105"/>
      <c r="AF532" s="105">
        <f t="shared" si="140"/>
        <v>0</v>
      </c>
      <c r="AG532" s="105"/>
      <c r="AH532" s="106"/>
      <c r="AK532" s="106">
        <f t="shared" si="150"/>
        <v>0</v>
      </c>
      <c r="AL532" s="106">
        <f t="shared" si="151"/>
        <v>0</v>
      </c>
      <c r="AQ532" s="107"/>
      <c r="AS532" s="108"/>
    </row>
    <row r="533" spans="1:45" x14ac:dyDescent="0.2">
      <c r="A533" s="85" t="s">
        <v>225</v>
      </c>
      <c r="B533" s="101" t="s">
        <v>173</v>
      </c>
      <c r="C533" s="86" t="s">
        <v>818</v>
      </c>
      <c r="F533" s="102">
        <f>E533</f>
        <v>0</v>
      </c>
      <c r="G533" s="102"/>
      <c r="H533" s="102"/>
      <c r="I533" s="102"/>
      <c r="J533" s="105"/>
      <c r="K533" s="105"/>
      <c r="L533" s="105"/>
      <c r="M533" s="105">
        <f t="shared" si="147"/>
        <v>0</v>
      </c>
      <c r="N533" s="105"/>
      <c r="O533" s="105"/>
      <c r="P533" s="105">
        <f t="shared" si="144"/>
        <v>0</v>
      </c>
      <c r="Q533" s="105"/>
      <c r="R533" s="105">
        <f t="shared" si="141"/>
        <v>0</v>
      </c>
      <c r="S533" s="105"/>
      <c r="T533" s="105">
        <f t="shared" si="145"/>
        <v>0</v>
      </c>
      <c r="U533" s="105"/>
      <c r="V533" s="91">
        <f t="shared" si="153"/>
        <v>0</v>
      </c>
      <c r="W533" s="105"/>
      <c r="X533" s="105">
        <f t="shared" si="143"/>
        <v>0</v>
      </c>
      <c r="Y533" s="105"/>
      <c r="Z533" s="105">
        <f t="shared" si="142"/>
        <v>0</v>
      </c>
      <c r="AA533" s="105"/>
      <c r="AB533" s="105">
        <f t="shared" ref="AB533:AB540" si="154">$F532*AA533</f>
        <v>0</v>
      </c>
      <c r="AC533" s="105"/>
      <c r="AD533" s="105">
        <f t="shared" si="139"/>
        <v>0</v>
      </c>
      <c r="AE533" s="105"/>
      <c r="AF533" s="105">
        <f t="shared" si="140"/>
        <v>0</v>
      </c>
      <c r="AG533" s="105"/>
      <c r="AH533" s="106"/>
      <c r="AK533" s="106">
        <f t="shared" si="150"/>
        <v>0</v>
      </c>
      <c r="AL533" s="106">
        <f t="shared" si="151"/>
        <v>0</v>
      </c>
      <c r="AQ533" s="107"/>
      <c r="AS533" s="108"/>
    </row>
    <row r="534" spans="1:45" x14ac:dyDescent="0.2">
      <c r="A534" s="85" t="s">
        <v>225</v>
      </c>
      <c r="B534" s="101"/>
      <c r="C534" s="92" t="s">
        <v>819</v>
      </c>
      <c r="F534" s="104">
        <f>SUM(F532:F533)</f>
        <v>0</v>
      </c>
      <c r="G534" s="104">
        <f>F534</f>
        <v>0</v>
      </c>
      <c r="H534" s="105">
        <f>VLOOKUP(A534,Data!$A$2:$Z$179,24,FALSE)</f>
        <v>16.998999999999999</v>
      </c>
      <c r="I534" s="105">
        <f>VLOOKUP(A534,Data!$A$2:$Z$179,25,FALSE)</f>
        <v>12.089</v>
      </c>
      <c r="J534" s="105">
        <f>VLOOKUP(A534,Data!$A$2:$Z$179,7,FALSE)</f>
        <v>4.91</v>
      </c>
      <c r="K534" s="105">
        <f>$F534*J534</f>
        <v>0</v>
      </c>
      <c r="L534" s="105">
        <f>VLOOKUP(A534,Data!$A$2:$Z$179,8,FALSE)</f>
        <v>0</v>
      </c>
      <c r="M534" s="105">
        <f>L534*F534</f>
        <v>0</v>
      </c>
      <c r="N534" s="105">
        <f>VLOOKUP(A534,Data!$A$2:$Z$179,9,FALSE)</f>
        <v>0</v>
      </c>
      <c r="O534" s="105">
        <f>VLOOKUP(A533,Data!$A$2:$Z$179,10,FALSE)</f>
        <v>0</v>
      </c>
      <c r="P534" s="105">
        <f>O534*F534</f>
        <v>0</v>
      </c>
      <c r="Q534" s="105">
        <f>VLOOKUP(A534,Data!$A$2:$Z$179,11,FALSE)</f>
        <v>0</v>
      </c>
      <c r="R534" s="105">
        <f t="shared" si="141"/>
        <v>0</v>
      </c>
      <c r="S534" s="105">
        <f>VLOOKUP(A534,Data!$A$2:$Z$179,12,FALSE)</f>
        <v>7.5490000000000004</v>
      </c>
      <c r="T534" s="105">
        <f>S534*F534</f>
        <v>0</v>
      </c>
      <c r="U534" s="105">
        <f>VLOOKUP(A534,Data!$A$2:$Z$179,13,FALSE)</f>
        <v>1.7737219008095714E-2</v>
      </c>
      <c r="V534" s="91">
        <f t="shared" si="153"/>
        <v>0</v>
      </c>
      <c r="W534" s="105">
        <f>VLOOKUP(A534,Data!$A$2:$Z$179,22,FALSE)</f>
        <v>0</v>
      </c>
      <c r="X534" s="105">
        <f>W534*F534</f>
        <v>0</v>
      </c>
      <c r="Y534" s="105">
        <f>VLOOKUP(A534,Data!$A$2:$Z$179,19,FALSE)</f>
        <v>0</v>
      </c>
      <c r="Z534" s="105">
        <f t="shared" si="142"/>
        <v>0</v>
      </c>
      <c r="AA534" s="105">
        <f>VLOOKUP(A534,Data!$A$2:$Z$179,20,FALSE)</f>
        <v>0</v>
      </c>
      <c r="AB534" s="105">
        <f>$F534*AA534</f>
        <v>0</v>
      </c>
      <c r="AC534" s="105">
        <f>VLOOKUP(A534,Data!$A$2:$Z$179,21,FALSE)</f>
        <v>0</v>
      </c>
      <c r="AD534" s="105">
        <f t="shared" si="139"/>
        <v>0</v>
      </c>
      <c r="AE534" s="105">
        <f>J534+L534+N534+O534+Q534+S534+U534+W534+Y534+AA534+AC534</f>
        <v>12.476737219008095</v>
      </c>
      <c r="AF534" s="105">
        <f t="shared" si="140"/>
        <v>0</v>
      </c>
      <c r="AG534" s="105"/>
      <c r="AH534" s="106">
        <f>AE534-S534-W534</f>
        <v>4.9277372190080948</v>
      </c>
      <c r="AI534" s="85">
        <f>AH534/AE534</f>
        <v>0.39495399578511375</v>
      </c>
      <c r="AK534" s="106">
        <f t="shared" si="150"/>
        <v>7.5490000000000004</v>
      </c>
      <c r="AL534" s="106">
        <f t="shared" si="151"/>
        <v>7.5490000000000004</v>
      </c>
      <c r="AQ534" s="107"/>
      <c r="AS534" s="108"/>
    </row>
    <row r="535" spans="1:45" x14ac:dyDescent="0.2">
      <c r="B535" s="101"/>
      <c r="C535" s="92"/>
      <c r="D535" s="92"/>
      <c r="F535" s="109"/>
      <c r="G535" s="109"/>
      <c r="H535" s="109"/>
      <c r="I535" s="109"/>
      <c r="J535" s="105"/>
      <c r="K535" s="105"/>
      <c r="L535" s="105"/>
      <c r="M535" s="105">
        <f t="shared" si="147"/>
        <v>0</v>
      </c>
      <c r="N535" s="105"/>
      <c r="O535" s="105"/>
      <c r="P535" s="105">
        <f t="shared" si="144"/>
        <v>0</v>
      </c>
      <c r="Q535" s="105"/>
      <c r="R535" s="105">
        <f t="shared" si="141"/>
        <v>0</v>
      </c>
      <c r="S535" s="105"/>
      <c r="T535" s="105">
        <f t="shared" si="145"/>
        <v>0</v>
      </c>
      <c r="U535" s="105"/>
      <c r="V535" s="91">
        <f t="shared" si="153"/>
        <v>0</v>
      </c>
      <c r="W535" s="105"/>
      <c r="X535" s="105">
        <f t="shared" si="143"/>
        <v>0</v>
      </c>
      <c r="Y535" s="105"/>
      <c r="Z535" s="105">
        <f t="shared" si="142"/>
        <v>0</v>
      </c>
      <c r="AA535" s="105"/>
      <c r="AB535" s="105">
        <f t="shared" si="154"/>
        <v>0</v>
      </c>
      <c r="AC535" s="105"/>
      <c r="AD535" s="105">
        <f t="shared" si="139"/>
        <v>0</v>
      </c>
      <c r="AE535" s="105"/>
      <c r="AF535" s="105">
        <f t="shared" si="140"/>
        <v>0</v>
      </c>
      <c r="AG535" s="105"/>
      <c r="AH535" s="106"/>
      <c r="AK535" s="106">
        <f t="shared" si="150"/>
        <v>0</v>
      </c>
      <c r="AL535" s="106">
        <f t="shared" si="151"/>
        <v>0</v>
      </c>
      <c r="AQ535" s="107"/>
      <c r="AS535" s="108"/>
    </row>
    <row r="536" spans="1:45" x14ac:dyDescent="0.2">
      <c r="A536" s="85" t="s">
        <v>226</v>
      </c>
      <c r="B536" s="101" t="s">
        <v>194</v>
      </c>
      <c r="C536" s="86" t="s">
        <v>820</v>
      </c>
      <c r="D536" s="92"/>
      <c r="F536" s="102">
        <f>E536</f>
        <v>0</v>
      </c>
      <c r="G536" s="102"/>
      <c r="H536" s="102"/>
      <c r="I536" s="102"/>
      <c r="J536" s="105"/>
      <c r="K536" s="105"/>
      <c r="L536" s="105"/>
      <c r="M536" s="105">
        <f t="shared" si="147"/>
        <v>0</v>
      </c>
      <c r="N536" s="105"/>
      <c r="O536" s="105"/>
      <c r="P536" s="105">
        <f t="shared" si="144"/>
        <v>0</v>
      </c>
      <c r="Q536" s="105"/>
      <c r="R536" s="105">
        <f t="shared" si="141"/>
        <v>0</v>
      </c>
      <c r="S536" s="105"/>
      <c r="T536" s="105">
        <f t="shared" si="145"/>
        <v>0</v>
      </c>
      <c r="U536" s="105"/>
      <c r="V536" s="91">
        <f t="shared" si="153"/>
        <v>0</v>
      </c>
      <c r="W536" s="105"/>
      <c r="X536" s="105">
        <f t="shared" si="143"/>
        <v>0</v>
      </c>
      <c r="Y536" s="105"/>
      <c r="Z536" s="105">
        <f t="shared" si="142"/>
        <v>0</v>
      </c>
      <c r="AA536" s="105"/>
      <c r="AB536" s="105">
        <f t="shared" si="154"/>
        <v>0</v>
      </c>
      <c r="AC536" s="105"/>
      <c r="AD536" s="105">
        <f t="shared" si="139"/>
        <v>0</v>
      </c>
      <c r="AE536" s="105"/>
      <c r="AF536" s="105">
        <f t="shared" si="140"/>
        <v>0</v>
      </c>
      <c r="AG536" s="105"/>
      <c r="AH536" s="106"/>
      <c r="AK536" s="106">
        <f t="shared" si="150"/>
        <v>0</v>
      </c>
      <c r="AL536" s="106">
        <f t="shared" si="151"/>
        <v>0</v>
      </c>
      <c r="AQ536" s="107"/>
      <c r="AS536" s="108"/>
    </row>
    <row r="537" spans="1:45" x14ac:dyDescent="0.2">
      <c r="A537" s="85" t="s">
        <v>226</v>
      </c>
      <c r="B537" s="101" t="s">
        <v>227</v>
      </c>
      <c r="C537" s="86" t="s">
        <v>820</v>
      </c>
      <c r="F537" s="102">
        <f>E537</f>
        <v>0</v>
      </c>
      <c r="G537" s="102"/>
      <c r="H537" s="102"/>
      <c r="I537" s="102"/>
      <c r="J537" s="105"/>
      <c r="K537" s="105"/>
      <c r="L537" s="105"/>
      <c r="M537" s="105">
        <f t="shared" si="147"/>
        <v>0</v>
      </c>
      <c r="N537" s="105"/>
      <c r="O537" s="105"/>
      <c r="P537" s="105">
        <f t="shared" si="144"/>
        <v>0</v>
      </c>
      <c r="Q537" s="105"/>
      <c r="R537" s="105">
        <f t="shared" si="141"/>
        <v>0</v>
      </c>
      <c r="S537" s="105"/>
      <c r="T537" s="105">
        <f t="shared" si="145"/>
        <v>0</v>
      </c>
      <c r="U537" s="105"/>
      <c r="V537" s="91">
        <f t="shared" si="153"/>
        <v>0</v>
      </c>
      <c r="W537" s="105"/>
      <c r="X537" s="105">
        <f t="shared" si="143"/>
        <v>0</v>
      </c>
      <c r="Y537" s="105"/>
      <c r="Z537" s="105">
        <f t="shared" si="142"/>
        <v>0</v>
      </c>
      <c r="AA537" s="105"/>
      <c r="AB537" s="105">
        <f t="shared" si="154"/>
        <v>0</v>
      </c>
      <c r="AC537" s="105"/>
      <c r="AD537" s="105">
        <f t="shared" ref="AD537:AD600" si="155">$F537*AC537</f>
        <v>0</v>
      </c>
      <c r="AE537" s="105"/>
      <c r="AF537" s="105">
        <f t="shared" ref="AF537:AF590" si="156">$F537*AE537</f>
        <v>0</v>
      </c>
      <c r="AG537" s="105"/>
      <c r="AH537" s="106"/>
      <c r="AK537" s="106">
        <f t="shared" si="150"/>
        <v>0</v>
      </c>
      <c r="AL537" s="106">
        <f t="shared" si="151"/>
        <v>0</v>
      </c>
      <c r="AQ537" s="107"/>
      <c r="AS537" s="108"/>
    </row>
    <row r="538" spans="1:45" x14ac:dyDescent="0.2">
      <c r="A538" s="85" t="s">
        <v>226</v>
      </c>
      <c r="B538" s="101"/>
      <c r="C538" s="92" t="s">
        <v>821</v>
      </c>
      <c r="F538" s="104">
        <f>SUM(F536:F537)</f>
        <v>0</v>
      </c>
      <c r="G538" s="104">
        <f>F538</f>
        <v>0</v>
      </c>
      <c r="H538" s="105">
        <f>VLOOKUP(A538,Data!$A$2:$Z$179,24,FALSE)</f>
        <v>27</v>
      </c>
      <c r="I538" s="105">
        <f>VLOOKUP(A538,Data!$A$2:$Z$179,25,FALSE)</f>
        <v>0</v>
      </c>
      <c r="J538" s="105">
        <f>VLOOKUP(A538,Data!$A$2:$Z$179,7,FALSE)</f>
        <v>27</v>
      </c>
      <c r="K538" s="105">
        <f>$F538*J538</f>
        <v>0</v>
      </c>
      <c r="L538" s="105">
        <f>VLOOKUP(A538,Data!$A$2:$Z$179,8,FALSE)</f>
        <v>0</v>
      </c>
      <c r="M538" s="105">
        <f>L538*F538</f>
        <v>0</v>
      </c>
      <c r="N538" s="105">
        <f>VLOOKUP(A538,Data!$A$2:$Z$179,9,FALSE)</f>
        <v>0</v>
      </c>
      <c r="O538" s="105">
        <f>VLOOKUP(A537,Data!$A$2:$Z$179,10,FALSE)</f>
        <v>0</v>
      </c>
      <c r="P538" s="105">
        <f>O538*F538</f>
        <v>0</v>
      </c>
      <c r="Q538" s="105">
        <f>VLOOKUP(A538,Data!$A$2:$Z$179,11,FALSE)</f>
        <v>0</v>
      </c>
      <c r="R538" s="105">
        <f t="shared" ref="R538:R601" si="157">$F538*Q538</f>
        <v>0</v>
      </c>
      <c r="S538" s="105">
        <f>VLOOKUP(A538,Data!$A$2:$Z$179,12,FALSE)</f>
        <v>0</v>
      </c>
      <c r="T538" s="105">
        <f>S538*F538</f>
        <v>0</v>
      </c>
      <c r="U538" s="105">
        <f>VLOOKUP(A538,Data!$A$2:$Z$179,13,FALSE)</f>
        <v>2.489431784867662E-3</v>
      </c>
      <c r="V538" s="91">
        <f t="shared" si="153"/>
        <v>0</v>
      </c>
      <c r="W538" s="105">
        <f>VLOOKUP(A538,Data!$A$2:$Z$179,22,FALSE)</f>
        <v>0</v>
      </c>
      <c r="X538" s="105">
        <f>W538*F538</f>
        <v>0</v>
      </c>
      <c r="Y538" s="105">
        <f>VLOOKUP(A538,Data!$A$2:$Z$179,19,FALSE)</f>
        <v>0</v>
      </c>
      <c r="Z538" s="105">
        <f t="shared" ref="Z538:Z601" si="158">$F538*Y538</f>
        <v>0</v>
      </c>
      <c r="AA538" s="105">
        <f>VLOOKUP(A538,Data!$A$2:$Z$179,20,FALSE)</f>
        <v>0</v>
      </c>
      <c r="AB538" s="105">
        <f>$F538*AA538</f>
        <v>0</v>
      </c>
      <c r="AC538" s="105">
        <f>VLOOKUP(A538,Data!$A$2:$Z$179,21,FALSE)</f>
        <v>0</v>
      </c>
      <c r="AD538" s="105">
        <f t="shared" si="155"/>
        <v>0</v>
      </c>
      <c r="AE538" s="105">
        <f>J538+L538+N538+O538+Q538+S538+U538+W538+Y538+AA538+AC538</f>
        <v>27.002489431784866</v>
      </c>
      <c r="AF538" s="105">
        <f t="shared" si="156"/>
        <v>0</v>
      </c>
      <c r="AG538" s="105"/>
      <c r="AH538" s="106">
        <f>AE538-S538-W538</f>
        <v>27.002489431784866</v>
      </c>
      <c r="AI538" s="85">
        <f>AH538/AE538</f>
        <v>1</v>
      </c>
      <c r="AK538" s="106">
        <f t="shared" si="150"/>
        <v>0</v>
      </c>
      <c r="AL538" s="106">
        <f t="shared" si="151"/>
        <v>0</v>
      </c>
      <c r="AQ538" s="107"/>
      <c r="AS538" s="108"/>
    </row>
    <row r="539" spans="1:45" x14ac:dyDescent="0.2">
      <c r="B539" s="101"/>
      <c r="C539" s="92"/>
      <c r="D539" s="92"/>
      <c r="F539" s="109"/>
      <c r="G539" s="109"/>
      <c r="H539" s="109"/>
      <c r="I539" s="109"/>
      <c r="J539" s="105"/>
      <c r="K539" s="105"/>
      <c r="L539" s="105"/>
      <c r="M539" s="105">
        <f t="shared" si="147"/>
        <v>0</v>
      </c>
      <c r="N539" s="105"/>
      <c r="O539" s="105"/>
      <c r="P539" s="105">
        <f t="shared" si="144"/>
        <v>0</v>
      </c>
      <c r="Q539" s="105"/>
      <c r="R539" s="105">
        <f t="shared" si="157"/>
        <v>0</v>
      </c>
      <c r="S539" s="105"/>
      <c r="T539" s="105">
        <f t="shared" si="145"/>
        <v>0</v>
      </c>
      <c r="U539" s="105"/>
      <c r="V539" s="91">
        <f t="shared" si="153"/>
        <v>0</v>
      </c>
      <c r="W539" s="105"/>
      <c r="X539" s="105">
        <f t="shared" ref="X539:X591" si="159">W539*F539</f>
        <v>0</v>
      </c>
      <c r="Y539" s="105"/>
      <c r="Z539" s="105">
        <f t="shared" si="158"/>
        <v>0</v>
      </c>
      <c r="AA539" s="105"/>
      <c r="AB539" s="105">
        <f t="shared" si="154"/>
        <v>0</v>
      </c>
      <c r="AC539" s="105"/>
      <c r="AD539" s="105">
        <f t="shared" si="155"/>
        <v>0</v>
      </c>
      <c r="AE539" s="105"/>
      <c r="AF539" s="105">
        <f t="shared" si="156"/>
        <v>0</v>
      </c>
      <c r="AG539" s="105"/>
      <c r="AH539" s="106"/>
      <c r="AK539" s="106">
        <f t="shared" si="150"/>
        <v>0</v>
      </c>
      <c r="AL539" s="106">
        <f t="shared" si="151"/>
        <v>0</v>
      </c>
      <c r="AQ539" s="107"/>
      <c r="AS539" s="108"/>
    </row>
    <row r="540" spans="1:45" x14ac:dyDescent="0.2">
      <c r="A540" s="85" t="s">
        <v>228</v>
      </c>
      <c r="B540" s="101" t="s">
        <v>227</v>
      </c>
      <c r="C540" s="86" t="s">
        <v>822</v>
      </c>
      <c r="D540" s="92"/>
      <c r="F540" s="102">
        <f>E540</f>
        <v>0</v>
      </c>
      <c r="G540" s="103"/>
      <c r="H540" s="103"/>
      <c r="I540" s="103"/>
      <c r="J540" s="105"/>
      <c r="K540" s="105"/>
      <c r="L540" s="105"/>
      <c r="M540" s="105">
        <f t="shared" si="147"/>
        <v>0</v>
      </c>
      <c r="N540" s="105"/>
      <c r="O540" s="105"/>
      <c r="P540" s="105">
        <f t="shared" si="144"/>
        <v>0</v>
      </c>
      <c r="Q540" s="105"/>
      <c r="R540" s="105">
        <f t="shared" si="157"/>
        <v>0</v>
      </c>
      <c r="S540" s="105"/>
      <c r="T540" s="105">
        <f t="shared" si="145"/>
        <v>0</v>
      </c>
      <c r="U540" s="105"/>
      <c r="V540" s="91">
        <f t="shared" si="153"/>
        <v>0</v>
      </c>
      <c r="W540" s="105"/>
      <c r="X540" s="105">
        <f t="shared" si="159"/>
        <v>0</v>
      </c>
      <c r="Y540" s="105"/>
      <c r="Z540" s="105">
        <f t="shared" si="158"/>
        <v>0</v>
      </c>
      <c r="AA540" s="105"/>
      <c r="AB540" s="105">
        <f t="shared" si="154"/>
        <v>0</v>
      </c>
      <c r="AC540" s="105"/>
      <c r="AD540" s="105">
        <f t="shared" si="155"/>
        <v>0</v>
      </c>
      <c r="AE540" s="105"/>
      <c r="AF540" s="105">
        <f t="shared" si="156"/>
        <v>0</v>
      </c>
      <c r="AG540" s="105"/>
      <c r="AH540" s="106"/>
      <c r="AK540" s="106">
        <f t="shared" si="150"/>
        <v>0</v>
      </c>
      <c r="AL540" s="106">
        <f t="shared" si="151"/>
        <v>0</v>
      </c>
      <c r="AQ540" s="107"/>
      <c r="AS540" s="108"/>
    </row>
    <row r="541" spans="1:45" x14ac:dyDescent="0.2">
      <c r="A541" s="85" t="s">
        <v>228</v>
      </c>
      <c r="B541" s="101"/>
      <c r="C541" s="92" t="s">
        <v>823</v>
      </c>
      <c r="F541" s="104">
        <f>SUM(F540)</f>
        <v>0</v>
      </c>
      <c r="G541" s="104">
        <f>F541</f>
        <v>0</v>
      </c>
      <c r="H541" s="105">
        <f>VLOOKUP(A541,Data!$A$2:$Z$179,24,FALSE)</f>
        <v>27</v>
      </c>
      <c r="I541" s="105">
        <f>VLOOKUP(A541,Data!$A$2:$Z$179,25,FALSE)</f>
        <v>3.0579999999999998</v>
      </c>
      <c r="J541" s="105">
        <f>VLOOKUP(A541,Data!$A$2:$Z$179,7,FALSE)</f>
        <v>23.942</v>
      </c>
      <c r="K541" s="105">
        <f>$F541*J541</f>
        <v>0</v>
      </c>
      <c r="L541" s="105">
        <f>VLOOKUP(A541,Data!$A$2:$Z$179,8,FALSE)</f>
        <v>0</v>
      </c>
      <c r="M541" s="105">
        <f>L541*F541</f>
        <v>0</v>
      </c>
      <c r="N541" s="105">
        <f>VLOOKUP(A541,Data!$A$2:$Z$179,9,FALSE)</f>
        <v>0</v>
      </c>
      <c r="O541" s="105">
        <f>VLOOKUP(A540,Data!$A$2:$Z$179,10,FALSE)</f>
        <v>2.702</v>
      </c>
      <c r="P541" s="105">
        <f>O541*F541</f>
        <v>0</v>
      </c>
      <c r="Q541" s="105">
        <f>VLOOKUP(A541,Data!$A$2:$Z$179,11,FALSE)</f>
        <v>0</v>
      </c>
      <c r="R541" s="105">
        <f t="shared" si="157"/>
        <v>0</v>
      </c>
      <c r="S541" s="105">
        <f>VLOOKUP(A541,Data!$A$2:$Z$179,12,FALSE)</f>
        <v>0</v>
      </c>
      <c r="T541" s="105">
        <f>S541*F541</f>
        <v>0</v>
      </c>
      <c r="U541" s="105">
        <f>VLOOKUP(A541,Data!$A$2:$Z$179,13,FALSE)</f>
        <v>1.468461553168522E-3</v>
      </c>
      <c r="V541" s="91">
        <f t="shared" si="153"/>
        <v>0</v>
      </c>
      <c r="W541" s="105">
        <f>VLOOKUP(A541,Data!$A$2:$Z$179,22,FALSE)</f>
        <v>0</v>
      </c>
      <c r="X541" s="105">
        <f>W541*F541</f>
        <v>0</v>
      </c>
      <c r="Y541" s="105">
        <f>VLOOKUP(A541,Data!$A$2:$Z$179,19,FALSE)</f>
        <v>0</v>
      </c>
      <c r="Z541" s="105">
        <f t="shared" si="158"/>
        <v>0</v>
      </c>
      <c r="AA541" s="105">
        <f>VLOOKUP(A541,Data!$A$2:$Z$179,20,FALSE)</f>
        <v>0</v>
      </c>
      <c r="AB541" s="105">
        <f>$F541*AA541</f>
        <v>0</v>
      </c>
      <c r="AC541" s="105">
        <f>VLOOKUP(A541,Data!$A$2:$Z$179,21,FALSE)</f>
        <v>0</v>
      </c>
      <c r="AD541" s="105">
        <f t="shared" si="155"/>
        <v>0</v>
      </c>
      <c r="AE541" s="105">
        <f>J541+L541+N541+O541+Q541+S541+U541+W541+Y541+AA541+AC541</f>
        <v>26.645468461553168</v>
      </c>
      <c r="AF541" s="105">
        <f t="shared" si="156"/>
        <v>0</v>
      </c>
      <c r="AG541" s="105"/>
      <c r="AH541" s="106">
        <f>AE541-S541-W541</f>
        <v>26.645468461553168</v>
      </c>
      <c r="AI541" s="85">
        <f>AH541/AE541</f>
        <v>1</v>
      </c>
      <c r="AK541" s="106">
        <f t="shared" si="150"/>
        <v>2.702</v>
      </c>
      <c r="AL541" s="106">
        <f t="shared" si="151"/>
        <v>2.702</v>
      </c>
      <c r="AQ541" s="107"/>
      <c r="AS541" s="108"/>
    </row>
    <row r="542" spans="1:45" x14ac:dyDescent="0.2">
      <c r="B542" s="101"/>
      <c r="C542" s="92"/>
      <c r="D542" s="92"/>
      <c r="F542" s="109"/>
      <c r="G542" s="109"/>
      <c r="H542" s="109"/>
      <c r="I542" s="109"/>
      <c r="J542" s="105"/>
      <c r="K542" s="105"/>
      <c r="L542" s="105"/>
      <c r="M542" s="105">
        <f t="shared" si="147"/>
        <v>0</v>
      </c>
      <c r="N542" s="105"/>
      <c r="O542" s="105"/>
      <c r="P542" s="105">
        <f t="shared" si="144"/>
        <v>0</v>
      </c>
      <c r="Q542" s="105"/>
      <c r="R542" s="105">
        <f t="shared" si="157"/>
        <v>0</v>
      </c>
      <c r="S542" s="105"/>
      <c r="T542" s="105">
        <f t="shared" si="145"/>
        <v>0</v>
      </c>
      <c r="U542" s="105"/>
      <c r="V542" s="91">
        <f t="shared" si="153"/>
        <v>0</v>
      </c>
      <c r="W542" s="105"/>
      <c r="X542" s="105">
        <f t="shared" si="159"/>
        <v>0</v>
      </c>
      <c r="Y542" s="105"/>
      <c r="Z542" s="105">
        <f t="shared" si="158"/>
        <v>0</v>
      </c>
      <c r="AA542" s="105"/>
      <c r="AB542" s="105">
        <f t="shared" ref="AB542:AB573" si="160">$F542*AA542</f>
        <v>0</v>
      </c>
      <c r="AC542" s="105"/>
      <c r="AD542" s="105">
        <f t="shared" si="155"/>
        <v>0</v>
      </c>
      <c r="AE542" s="105"/>
      <c r="AF542" s="105">
        <f t="shared" si="156"/>
        <v>0</v>
      </c>
      <c r="AG542" s="105"/>
      <c r="AH542" s="106"/>
      <c r="AK542" s="106">
        <f t="shared" si="150"/>
        <v>0</v>
      </c>
      <c r="AL542" s="106">
        <f t="shared" si="151"/>
        <v>0</v>
      </c>
      <c r="AQ542" s="107"/>
      <c r="AS542" s="108"/>
    </row>
    <row r="543" spans="1:45" x14ac:dyDescent="0.2">
      <c r="A543" s="85" t="s">
        <v>229</v>
      </c>
      <c r="B543" s="101" t="s">
        <v>230</v>
      </c>
      <c r="C543" s="86" t="s">
        <v>824</v>
      </c>
      <c r="D543" s="92"/>
      <c r="F543" s="102">
        <f>E543</f>
        <v>0</v>
      </c>
      <c r="G543" s="103"/>
      <c r="H543" s="103"/>
      <c r="I543" s="103"/>
      <c r="J543" s="105"/>
      <c r="K543" s="105"/>
      <c r="L543" s="105"/>
      <c r="M543" s="105">
        <f t="shared" si="147"/>
        <v>0</v>
      </c>
      <c r="N543" s="105"/>
      <c r="O543" s="105"/>
      <c r="P543" s="105">
        <f t="shared" si="144"/>
        <v>0</v>
      </c>
      <c r="Q543" s="105"/>
      <c r="R543" s="105">
        <f t="shared" si="157"/>
        <v>0</v>
      </c>
      <c r="S543" s="105"/>
      <c r="T543" s="105">
        <f t="shared" si="145"/>
        <v>0</v>
      </c>
      <c r="U543" s="105"/>
      <c r="V543" s="91">
        <f t="shared" si="153"/>
        <v>0</v>
      </c>
      <c r="W543" s="105"/>
      <c r="X543" s="105">
        <f t="shared" si="159"/>
        <v>0</v>
      </c>
      <c r="Y543" s="105"/>
      <c r="Z543" s="105">
        <f t="shared" si="158"/>
        <v>0</v>
      </c>
      <c r="AA543" s="105"/>
      <c r="AB543" s="105">
        <f t="shared" si="160"/>
        <v>0</v>
      </c>
      <c r="AC543" s="105"/>
      <c r="AD543" s="105">
        <f t="shared" si="155"/>
        <v>0</v>
      </c>
      <c r="AE543" s="105"/>
      <c r="AF543" s="105">
        <f t="shared" si="156"/>
        <v>0</v>
      </c>
      <c r="AG543" s="105"/>
      <c r="AH543" s="106"/>
      <c r="AK543" s="106">
        <f t="shared" si="150"/>
        <v>0</v>
      </c>
      <c r="AL543" s="106">
        <f t="shared" si="151"/>
        <v>0</v>
      </c>
      <c r="AQ543" s="107"/>
      <c r="AS543" s="108"/>
    </row>
    <row r="544" spans="1:45" x14ac:dyDescent="0.2">
      <c r="A544" s="85" t="s">
        <v>229</v>
      </c>
      <c r="B544" s="101"/>
      <c r="C544" s="92" t="s">
        <v>825</v>
      </c>
      <c r="F544" s="104">
        <f>SUM(F543)</f>
        <v>0</v>
      </c>
      <c r="G544" s="104">
        <f>F544</f>
        <v>0</v>
      </c>
      <c r="H544" s="105">
        <f>VLOOKUP(A544,Data!$A$2:$Z$179,24,FALSE)</f>
        <v>10.666</v>
      </c>
      <c r="I544" s="105">
        <f>VLOOKUP(A544,Data!$A$2:$Z$179,25,FALSE)</f>
        <v>0</v>
      </c>
      <c r="J544" s="105">
        <f>VLOOKUP(A544,Data!$A$2:$Z$179,7,FALSE)</f>
        <v>10.666</v>
      </c>
      <c r="K544" s="105">
        <f>$F544*J544</f>
        <v>0</v>
      </c>
      <c r="L544" s="105">
        <f>VLOOKUP(A544,Data!$A$2:$Z$179,8,FALSE)</f>
        <v>0</v>
      </c>
      <c r="M544" s="105">
        <f>L544*F544</f>
        <v>0</v>
      </c>
      <c r="N544" s="105">
        <f>VLOOKUP(A544,Data!$A$2:$Z$179,9,FALSE)</f>
        <v>0</v>
      </c>
      <c r="O544" s="105">
        <f>VLOOKUP(A543,Data!$A$2:$Z$179,10,FALSE)</f>
        <v>0.60400000000000009</v>
      </c>
      <c r="P544" s="105">
        <f>O544*F544</f>
        <v>0</v>
      </c>
      <c r="Q544" s="105">
        <f>VLOOKUP(A544,Data!$A$2:$Z$179,11,FALSE)</f>
        <v>0</v>
      </c>
      <c r="R544" s="105">
        <f t="shared" si="157"/>
        <v>0</v>
      </c>
      <c r="S544" s="105">
        <v>2.5219999999999998</v>
      </c>
      <c r="T544" s="105">
        <f>S544*F544</f>
        <v>0</v>
      </c>
      <c r="U544" s="105">
        <v>0</v>
      </c>
      <c r="V544" s="91">
        <f t="shared" si="153"/>
        <v>0</v>
      </c>
      <c r="W544" s="105">
        <v>4.55</v>
      </c>
      <c r="X544" s="105">
        <f>W544*F544</f>
        <v>0</v>
      </c>
      <c r="Y544" s="105">
        <f>VLOOKUP(A544,Data!$A$2:$Z$179,19,FALSE)</f>
        <v>0</v>
      </c>
      <c r="Z544" s="105">
        <f t="shared" si="158"/>
        <v>0</v>
      </c>
      <c r="AA544" s="105">
        <f>VLOOKUP(A544,Data!$A$2:$Z$179,20,FALSE)</f>
        <v>0</v>
      </c>
      <c r="AB544" s="105">
        <f t="shared" si="160"/>
        <v>0</v>
      </c>
      <c r="AC544" s="105">
        <v>0</v>
      </c>
      <c r="AD544" s="105">
        <f t="shared" si="155"/>
        <v>0</v>
      </c>
      <c r="AE544" s="105">
        <f>J544+L544+N544+O544+Q544+S544+U544+W544+Y544+AA544+AC544</f>
        <v>18.341999999999999</v>
      </c>
      <c r="AF544" s="105">
        <f t="shared" si="156"/>
        <v>0</v>
      </c>
      <c r="AG544" s="105"/>
      <c r="AH544" s="106">
        <f>AE544-S544-W544</f>
        <v>11.27</v>
      </c>
      <c r="AI544" s="85">
        <f>AH544/AE544</f>
        <v>0.61443681168901976</v>
      </c>
      <c r="AK544" s="106">
        <f t="shared" si="150"/>
        <v>3.1259999999999999</v>
      </c>
      <c r="AL544" s="106">
        <f t="shared" si="151"/>
        <v>3.1259999999999999</v>
      </c>
      <c r="AQ544" s="107"/>
      <c r="AR544" s="112"/>
      <c r="AS544" s="108"/>
    </row>
    <row r="545" spans="1:45" x14ac:dyDescent="0.2">
      <c r="B545" s="101"/>
      <c r="C545" s="92"/>
      <c r="D545" s="92"/>
      <c r="F545" s="109"/>
      <c r="G545" s="109"/>
      <c r="H545" s="109"/>
      <c r="I545" s="109"/>
      <c r="J545" s="105"/>
      <c r="K545" s="105"/>
      <c r="L545" s="105"/>
      <c r="M545" s="105">
        <f t="shared" si="147"/>
        <v>0</v>
      </c>
      <c r="N545" s="105"/>
      <c r="O545" s="105"/>
      <c r="P545" s="105">
        <f t="shared" si="144"/>
        <v>0</v>
      </c>
      <c r="Q545" s="105"/>
      <c r="R545" s="105">
        <f t="shared" si="157"/>
        <v>0</v>
      </c>
      <c r="S545" s="105"/>
      <c r="T545" s="105">
        <f t="shared" si="145"/>
        <v>0</v>
      </c>
      <c r="U545" s="105"/>
      <c r="V545" s="91">
        <f t="shared" si="153"/>
        <v>0</v>
      </c>
      <c r="W545" s="105"/>
      <c r="X545" s="105">
        <f t="shared" si="159"/>
        <v>0</v>
      </c>
      <c r="Y545" s="105"/>
      <c r="Z545" s="105">
        <f t="shared" si="158"/>
        <v>0</v>
      </c>
      <c r="AA545" s="105"/>
      <c r="AB545" s="105">
        <f t="shared" si="160"/>
        <v>0</v>
      </c>
      <c r="AC545" s="105"/>
      <c r="AD545" s="105">
        <f t="shared" si="155"/>
        <v>0</v>
      </c>
      <c r="AE545" s="105"/>
      <c r="AF545" s="105">
        <f t="shared" si="156"/>
        <v>0</v>
      </c>
      <c r="AG545" s="105"/>
      <c r="AH545" s="106"/>
      <c r="AK545" s="106">
        <f t="shared" si="150"/>
        <v>0</v>
      </c>
      <c r="AL545" s="106">
        <f t="shared" si="151"/>
        <v>0</v>
      </c>
      <c r="AQ545" s="107"/>
      <c r="AR545" s="112"/>
      <c r="AS545" s="108"/>
    </row>
    <row r="546" spans="1:45" x14ac:dyDescent="0.2">
      <c r="A546" s="112" t="s">
        <v>231</v>
      </c>
      <c r="B546" s="101" t="s">
        <v>232</v>
      </c>
      <c r="C546" s="113" t="s">
        <v>826</v>
      </c>
      <c r="D546" s="92"/>
      <c r="F546" s="102">
        <f>E546</f>
        <v>0</v>
      </c>
      <c r="G546" s="103"/>
      <c r="H546" s="103"/>
      <c r="I546" s="103"/>
      <c r="J546" s="105"/>
      <c r="K546" s="105"/>
      <c r="L546" s="105"/>
      <c r="M546" s="105">
        <f t="shared" si="147"/>
        <v>0</v>
      </c>
      <c r="N546" s="105"/>
      <c r="O546" s="105"/>
      <c r="P546" s="105">
        <f t="shared" ref="P546:P591" si="161">O546*F546</f>
        <v>0</v>
      </c>
      <c r="Q546" s="105"/>
      <c r="R546" s="105">
        <f t="shared" si="157"/>
        <v>0</v>
      </c>
      <c r="S546" s="105"/>
      <c r="T546" s="105">
        <f t="shared" ref="T546:T591" si="162">S546*F546</f>
        <v>0</v>
      </c>
      <c r="U546" s="105"/>
      <c r="V546" s="91">
        <f t="shared" si="153"/>
        <v>0</v>
      </c>
      <c r="W546" s="105"/>
      <c r="X546" s="105">
        <f t="shared" si="159"/>
        <v>0</v>
      </c>
      <c r="Y546" s="105"/>
      <c r="Z546" s="105">
        <f t="shared" si="158"/>
        <v>0</v>
      </c>
      <c r="AA546" s="105"/>
      <c r="AB546" s="105">
        <f t="shared" si="160"/>
        <v>0</v>
      </c>
      <c r="AC546" s="105"/>
      <c r="AD546" s="105">
        <f t="shared" si="155"/>
        <v>0</v>
      </c>
      <c r="AE546" s="105"/>
      <c r="AF546" s="105">
        <f t="shared" si="156"/>
        <v>0</v>
      </c>
      <c r="AG546" s="105"/>
      <c r="AH546" s="106"/>
      <c r="AK546" s="106">
        <f t="shared" si="150"/>
        <v>0</v>
      </c>
      <c r="AL546" s="106">
        <f t="shared" si="151"/>
        <v>0</v>
      </c>
      <c r="AQ546" s="107"/>
      <c r="AR546" s="112"/>
      <c r="AS546" s="108"/>
    </row>
    <row r="547" spans="1:45" x14ac:dyDescent="0.2">
      <c r="A547" s="112" t="s">
        <v>231</v>
      </c>
      <c r="B547" s="101"/>
      <c r="C547" s="92" t="s">
        <v>827</v>
      </c>
      <c r="F547" s="104">
        <f>SUM(F546)</f>
        <v>0</v>
      </c>
      <c r="G547" s="104">
        <f>F547</f>
        <v>0</v>
      </c>
      <c r="H547" s="105">
        <f>VLOOKUP(A547,Data!$A$2:$Z$179,24,FALSE)</f>
        <v>9.6240000000000006</v>
      </c>
      <c r="I547" s="105">
        <f>VLOOKUP(A547,Data!$A$2:$Z$179,25,FALSE)</f>
        <v>0</v>
      </c>
      <c r="J547" s="105">
        <f>VLOOKUP(A547,Data!$A$2:$Z$179,7,FALSE)</f>
        <v>9.6240000000000006</v>
      </c>
      <c r="K547" s="105">
        <f>$F547*J547</f>
        <v>0</v>
      </c>
      <c r="L547" s="105">
        <f>VLOOKUP(A547,Data!$A$2:$Z$179,8,FALSE)</f>
        <v>0</v>
      </c>
      <c r="M547" s="105">
        <f>L547*F547</f>
        <v>0</v>
      </c>
      <c r="N547" s="105">
        <f>VLOOKUP(A547,Data!$A$2:$Z$179,9,FALSE)</f>
        <v>0</v>
      </c>
      <c r="O547" s="105">
        <f>VLOOKUP(A546,Data!$A$2:$Z$179,10,FALSE)</f>
        <v>0</v>
      </c>
      <c r="P547" s="105">
        <f>O547*F547</f>
        <v>0</v>
      </c>
      <c r="Q547" s="105">
        <f>VLOOKUP(A547,Data!$A$2:$Z$179,11,FALSE)</f>
        <v>0</v>
      </c>
      <c r="R547" s="105">
        <f t="shared" si="157"/>
        <v>0</v>
      </c>
      <c r="S547" s="105">
        <f>VLOOKUP(A547,Data!$A$2:$Z$179,12,FALSE)</f>
        <v>1.5620000000000001</v>
      </c>
      <c r="T547" s="105">
        <f>S547*F547</f>
        <v>0</v>
      </c>
      <c r="U547" s="105">
        <f>VLOOKUP(A547,Data!$A$2:$Z$179,13,FALSE)</f>
        <v>1.6043809059929522E-2</v>
      </c>
      <c r="V547" s="91">
        <f t="shared" si="153"/>
        <v>0</v>
      </c>
      <c r="W547" s="105">
        <f>VLOOKUP(A547,Data!$A$2:$Z$179,22,FALSE)</f>
        <v>0</v>
      </c>
      <c r="X547" s="105">
        <f>W547*F547</f>
        <v>0</v>
      </c>
      <c r="Y547" s="105">
        <f>VLOOKUP(A547,Data!$A$2:$Z$179,19,FALSE)</f>
        <v>0</v>
      </c>
      <c r="Z547" s="105">
        <f t="shared" si="158"/>
        <v>0</v>
      </c>
      <c r="AA547" s="105">
        <f>VLOOKUP(A547,Data!$A$2:$Z$179,20,FALSE)</f>
        <v>0</v>
      </c>
      <c r="AB547" s="105">
        <f t="shared" si="160"/>
        <v>0</v>
      </c>
      <c r="AC547" s="105">
        <f>VLOOKUP(A547,Data!$A$2:$Z$179,21,FALSE)</f>
        <v>0</v>
      </c>
      <c r="AD547" s="105">
        <f t="shared" si="155"/>
        <v>0</v>
      </c>
      <c r="AE547" s="105">
        <f>J547+L547+N547+O547+Q547+S547+U547+W547+Y547+AA547+AC547</f>
        <v>11.20204380905993</v>
      </c>
      <c r="AF547" s="105">
        <f t="shared" si="156"/>
        <v>0</v>
      </c>
      <c r="AG547" s="105"/>
      <c r="AH547" s="106">
        <f>AE547-S547-W547</f>
        <v>9.6400438090599305</v>
      </c>
      <c r="AI547" s="85">
        <f>AH547/AE547</f>
        <v>0.86056115949692202</v>
      </c>
      <c r="AK547" s="106">
        <f t="shared" si="150"/>
        <v>1.5620000000000001</v>
      </c>
      <c r="AL547" s="106">
        <f t="shared" si="151"/>
        <v>1.5620000000000001</v>
      </c>
      <c r="AQ547" s="107"/>
      <c r="AR547" s="112"/>
      <c r="AS547" s="108"/>
    </row>
    <row r="548" spans="1:45" x14ac:dyDescent="0.2">
      <c r="B548" s="101"/>
      <c r="C548" s="92"/>
      <c r="D548" s="92"/>
      <c r="F548" s="109"/>
      <c r="G548" s="109"/>
      <c r="H548" s="109"/>
      <c r="I548" s="109"/>
      <c r="J548" s="105"/>
      <c r="K548" s="105"/>
      <c r="L548" s="105"/>
      <c r="M548" s="105">
        <f t="shared" si="147"/>
        <v>0</v>
      </c>
      <c r="N548" s="105"/>
      <c r="O548" s="105"/>
      <c r="P548" s="105">
        <f t="shared" si="161"/>
        <v>0</v>
      </c>
      <c r="Q548" s="105"/>
      <c r="R548" s="105">
        <f t="shared" si="157"/>
        <v>0</v>
      </c>
      <c r="S548" s="105"/>
      <c r="T548" s="105">
        <f t="shared" si="162"/>
        <v>0</v>
      </c>
      <c r="U548" s="105"/>
      <c r="V548" s="91">
        <f t="shared" si="153"/>
        <v>0</v>
      </c>
      <c r="W548" s="105"/>
      <c r="X548" s="105">
        <f t="shared" si="159"/>
        <v>0</v>
      </c>
      <c r="Y548" s="105"/>
      <c r="Z548" s="105">
        <f t="shared" si="158"/>
        <v>0</v>
      </c>
      <c r="AA548" s="105"/>
      <c r="AB548" s="105">
        <f t="shared" si="160"/>
        <v>0</v>
      </c>
      <c r="AC548" s="105"/>
      <c r="AD548" s="105">
        <f t="shared" si="155"/>
        <v>0</v>
      </c>
      <c r="AE548" s="105"/>
      <c r="AF548" s="105">
        <f t="shared" si="156"/>
        <v>0</v>
      </c>
      <c r="AG548" s="105"/>
      <c r="AH548" s="106"/>
      <c r="AK548" s="106">
        <f t="shared" si="150"/>
        <v>0</v>
      </c>
      <c r="AL548" s="106">
        <f t="shared" si="151"/>
        <v>0</v>
      </c>
      <c r="AQ548" s="107"/>
      <c r="AS548" s="108"/>
    </row>
    <row r="549" spans="1:45" x14ac:dyDescent="0.2">
      <c r="A549" s="85" t="s">
        <v>233</v>
      </c>
      <c r="B549" s="101" t="s">
        <v>232</v>
      </c>
      <c r="C549" s="86" t="s">
        <v>828</v>
      </c>
      <c r="D549" s="92"/>
      <c r="F549" s="102">
        <f>E549</f>
        <v>0</v>
      </c>
      <c r="G549" s="103"/>
      <c r="H549" s="103"/>
      <c r="I549" s="103"/>
      <c r="J549" s="105"/>
      <c r="K549" s="105"/>
      <c r="L549" s="105"/>
      <c r="M549" s="105">
        <f t="shared" si="147"/>
        <v>0</v>
      </c>
      <c r="N549" s="105"/>
      <c r="O549" s="105"/>
      <c r="P549" s="105">
        <f t="shared" si="161"/>
        <v>0</v>
      </c>
      <c r="Q549" s="105"/>
      <c r="R549" s="105">
        <f t="shared" si="157"/>
        <v>0</v>
      </c>
      <c r="S549" s="105"/>
      <c r="T549" s="105">
        <f t="shared" si="162"/>
        <v>0</v>
      </c>
      <c r="U549" s="105"/>
      <c r="V549" s="91">
        <f t="shared" si="153"/>
        <v>0</v>
      </c>
      <c r="W549" s="105"/>
      <c r="X549" s="105">
        <f t="shared" si="159"/>
        <v>0</v>
      </c>
      <c r="Y549" s="105"/>
      <c r="Z549" s="105">
        <f t="shared" si="158"/>
        <v>0</v>
      </c>
      <c r="AA549" s="105"/>
      <c r="AB549" s="105">
        <f t="shared" si="160"/>
        <v>0</v>
      </c>
      <c r="AC549" s="105"/>
      <c r="AD549" s="105">
        <f t="shared" si="155"/>
        <v>0</v>
      </c>
      <c r="AE549" s="105"/>
      <c r="AF549" s="105">
        <f t="shared" si="156"/>
        <v>0</v>
      </c>
      <c r="AG549" s="105"/>
      <c r="AH549" s="106"/>
      <c r="AK549" s="106">
        <f t="shared" si="150"/>
        <v>0</v>
      </c>
      <c r="AL549" s="106">
        <f t="shared" si="151"/>
        <v>0</v>
      </c>
      <c r="AQ549" s="107"/>
      <c r="AS549" s="108"/>
    </row>
    <row r="550" spans="1:45" x14ac:dyDescent="0.2">
      <c r="A550" s="85" t="s">
        <v>233</v>
      </c>
      <c r="B550" s="101"/>
      <c r="C550" s="92" t="s">
        <v>829</v>
      </c>
      <c r="F550" s="104">
        <f>SUM(F549)</f>
        <v>0</v>
      </c>
      <c r="G550" s="104">
        <f>F550</f>
        <v>0</v>
      </c>
      <c r="H550" s="105">
        <f>VLOOKUP(A550,Data!$A$2:$Z$179,24,FALSE)</f>
        <v>27</v>
      </c>
      <c r="I550" s="105">
        <f>VLOOKUP(A550,Data!$A$2:$Z$179,25,FALSE)</f>
        <v>3.45</v>
      </c>
      <c r="J550" s="105">
        <f>VLOOKUP(A550,Data!$A$2:$Z$179,7,FALSE)</f>
        <v>23.55</v>
      </c>
      <c r="K550" s="105">
        <f>$F550*J550</f>
        <v>0</v>
      </c>
      <c r="L550" s="105">
        <f>VLOOKUP(A550,Data!$A$2:$Z$179,8,FALSE)</f>
        <v>0</v>
      </c>
      <c r="M550" s="105">
        <f>L550*F550</f>
        <v>0</v>
      </c>
      <c r="N550" s="105">
        <f>VLOOKUP(A550,Data!$A$2:$Z$179,9,FALSE)</f>
        <v>0</v>
      </c>
      <c r="O550" s="105">
        <f>VLOOKUP(A549,Data!$A$2:$Z$179,10,FALSE)</f>
        <v>0</v>
      </c>
      <c r="P550" s="105">
        <f>O550*F550</f>
        <v>0</v>
      </c>
      <c r="Q550" s="105">
        <f>VLOOKUP(A550,Data!$A$2:$Z$179,11,FALSE)</f>
        <v>0</v>
      </c>
      <c r="R550" s="105">
        <f t="shared" si="157"/>
        <v>0</v>
      </c>
      <c r="S550" s="105">
        <f>VLOOKUP(A550,Data!$A$2:$Z$179,12,FALSE)</f>
        <v>3.2929999999999997</v>
      </c>
      <c r="T550" s="105">
        <f>S550*F550</f>
        <v>0</v>
      </c>
      <c r="U550" s="105">
        <f>VLOOKUP(A550,Data!$A$2:$Z$179,13,FALSE)</f>
        <v>0.72863865714382836</v>
      </c>
      <c r="V550" s="91">
        <f t="shared" si="153"/>
        <v>0</v>
      </c>
      <c r="W550" s="105">
        <f>VLOOKUP(A550,Data!$A$2:$Z$179,22,FALSE)</f>
        <v>0</v>
      </c>
      <c r="X550" s="105">
        <f>W550*F550</f>
        <v>0</v>
      </c>
      <c r="Y550" s="105">
        <f>VLOOKUP(A550,Data!$A$2:$Z$179,19,FALSE)</f>
        <v>0</v>
      </c>
      <c r="Z550" s="105">
        <f t="shared" si="158"/>
        <v>0</v>
      </c>
      <c r="AA550" s="105">
        <f>VLOOKUP(A550,Data!$A$2:$Z$179,20,FALSE)</f>
        <v>0</v>
      </c>
      <c r="AB550" s="105">
        <f t="shared" si="160"/>
        <v>0</v>
      </c>
      <c r="AC550" s="105">
        <f>VLOOKUP(A550,Data!$A$2:$Z$179,21,FALSE)</f>
        <v>0</v>
      </c>
      <c r="AD550" s="105">
        <f t="shared" si="155"/>
        <v>0</v>
      </c>
      <c r="AE550" s="105">
        <f>J550+L550+N550+O550+Q550+S550+U550+W550+Y550+AA550+AC550</f>
        <v>27.571638657143829</v>
      </c>
      <c r="AF550" s="105">
        <f t="shared" si="156"/>
        <v>0</v>
      </c>
      <c r="AG550" s="105"/>
      <c r="AH550" s="106">
        <f>AE550-S550-W550</f>
        <v>24.27863865714383</v>
      </c>
      <c r="AI550" s="85">
        <f>AH550/AE550</f>
        <v>0.88056567689179477</v>
      </c>
      <c r="AK550" s="106">
        <f t="shared" si="150"/>
        <v>3.2929999999999997</v>
      </c>
      <c r="AL550" s="106">
        <f t="shared" si="151"/>
        <v>3.2929999999999997</v>
      </c>
      <c r="AQ550" s="107"/>
      <c r="AS550" s="108"/>
    </row>
    <row r="551" spans="1:45" x14ac:dyDescent="0.2">
      <c r="B551" s="101"/>
      <c r="C551" s="92"/>
      <c r="D551" s="92"/>
      <c r="F551" s="109"/>
      <c r="G551" s="109"/>
      <c r="H551" s="109"/>
      <c r="I551" s="109"/>
      <c r="J551" s="105"/>
      <c r="K551" s="105"/>
      <c r="L551" s="105"/>
      <c r="M551" s="105">
        <f t="shared" si="147"/>
        <v>0</v>
      </c>
      <c r="N551" s="105"/>
      <c r="O551" s="105"/>
      <c r="P551" s="105">
        <f t="shared" si="161"/>
        <v>0</v>
      </c>
      <c r="Q551" s="105"/>
      <c r="R551" s="105">
        <f t="shared" si="157"/>
        <v>0</v>
      </c>
      <c r="S551" s="105"/>
      <c r="T551" s="105">
        <f t="shared" si="162"/>
        <v>0</v>
      </c>
      <c r="U551" s="105"/>
      <c r="V551" s="91">
        <f t="shared" si="153"/>
        <v>0</v>
      </c>
      <c r="W551" s="105"/>
      <c r="X551" s="105">
        <f t="shared" si="159"/>
        <v>0</v>
      </c>
      <c r="Y551" s="105"/>
      <c r="Z551" s="105">
        <f t="shared" si="158"/>
        <v>0</v>
      </c>
      <c r="AA551" s="105"/>
      <c r="AB551" s="105">
        <f t="shared" si="160"/>
        <v>0</v>
      </c>
      <c r="AC551" s="105"/>
      <c r="AD551" s="105">
        <f t="shared" si="155"/>
        <v>0</v>
      </c>
      <c r="AE551" s="105"/>
      <c r="AF551" s="105">
        <f t="shared" si="156"/>
        <v>0</v>
      </c>
      <c r="AG551" s="105"/>
      <c r="AH551" s="106"/>
      <c r="AK551" s="106">
        <f t="shared" si="150"/>
        <v>0</v>
      </c>
      <c r="AL551" s="106">
        <f t="shared" si="151"/>
        <v>0</v>
      </c>
      <c r="AQ551" s="107"/>
      <c r="AS551" s="108"/>
    </row>
    <row r="552" spans="1:45" x14ac:dyDescent="0.2">
      <c r="A552" s="85" t="s">
        <v>234</v>
      </c>
      <c r="B552" s="101" t="s">
        <v>235</v>
      </c>
      <c r="C552" s="86" t="s">
        <v>830</v>
      </c>
      <c r="D552" s="92"/>
      <c r="F552" s="102">
        <f>E552</f>
        <v>0</v>
      </c>
      <c r="G552" s="103"/>
      <c r="H552" s="103"/>
      <c r="I552" s="103"/>
      <c r="J552" s="105"/>
      <c r="K552" s="105"/>
      <c r="L552" s="105"/>
      <c r="M552" s="105">
        <f t="shared" si="147"/>
        <v>0</v>
      </c>
      <c r="N552" s="105"/>
      <c r="O552" s="105"/>
      <c r="P552" s="105">
        <f t="shared" si="161"/>
        <v>0</v>
      </c>
      <c r="Q552" s="105"/>
      <c r="R552" s="105">
        <f t="shared" si="157"/>
        <v>0</v>
      </c>
      <c r="S552" s="105"/>
      <c r="T552" s="105">
        <f t="shared" si="162"/>
        <v>0</v>
      </c>
      <c r="U552" s="105"/>
      <c r="V552" s="91">
        <f t="shared" si="153"/>
        <v>0</v>
      </c>
      <c r="W552" s="105"/>
      <c r="X552" s="105">
        <f t="shared" si="159"/>
        <v>0</v>
      </c>
      <c r="Y552" s="105"/>
      <c r="Z552" s="105">
        <f t="shared" si="158"/>
        <v>0</v>
      </c>
      <c r="AA552" s="105"/>
      <c r="AB552" s="105">
        <f t="shared" si="160"/>
        <v>0</v>
      </c>
      <c r="AC552" s="105"/>
      <c r="AD552" s="105">
        <f t="shared" si="155"/>
        <v>0</v>
      </c>
      <c r="AE552" s="105"/>
      <c r="AF552" s="105">
        <f t="shared" si="156"/>
        <v>0</v>
      </c>
      <c r="AG552" s="105"/>
      <c r="AH552" s="106"/>
      <c r="AK552" s="106">
        <f t="shared" si="150"/>
        <v>0</v>
      </c>
      <c r="AL552" s="106">
        <f t="shared" si="151"/>
        <v>0</v>
      </c>
      <c r="AQ552" s="107"/>
      <c r="AS552" s="108"/>
    </row>
    <row r="553" spans="1:45" x14ac:dyDescent="0.2">
      <c r="A553" s="85" t="s">
        <v>234</v>
      </c>
      <c r="B553" s="101"/>
      <c r="C553" s="92" t="s">
        <v>831</v>
      </c>
      <c r="F553" s="104">
        <f>SUM(F552)</f>
        <v>0</v>
      </c>
      <c r="G553" s="104">
        <f>F553</f>
        <v>0</v>
      </c>
      <c r="H553" s="105">
        <f>VLOOKUP(A553,Data!$A$2:$Z$179,24,FALSE)</f>
        <v>27</v>
      </c>
      <c r="I553" s="105">
        <f>VLOOKUP(A553,Data!$A$2:$Z$179,25,FALSE)</f>
        <v>1.5619999999999998</v>
      </c>
      <c r="J553" s="105">
        <f>VLOOKUP(A553,Data!$A$2:$Z$179,7,FALSE)</f>
        <v>25.437999999999999</v>
      </c>
      <c r="K553" s="105">
        <f>$F553*J553</f>
        <v>0</v>
      </c>
      <c r="L553" s="105">
        <f>VLOOKUP(A553,Data!$A$2:$Z$179,8,FALSE)</f>
        <v>0</v>
      </c>
      <c r="M553" s="105">
        <f>L553*F553</f>
        <v>0</v>
      </c>
      <c r="N553" s="105">
        <f>VLOOKUP(A553,Data!$A$2:$Z$179,9,FALSE)</f>
        <v>0</v>
      </c>
      <c r="O553" s="105">
        <f>VLOOKUP(A552,Data!$A$2:$Z$179,10,FALSE)</f>
        <v>0</v>
      </c>
      <c r="P553" s="105">
        <f>O553*F553</f>
        <v>0</v>
      </c>
      <c r="Q553" s="105">
        <f>VLOOKUP(A553,Data!$A$2:$Z$179,11,FALSE)</f>
        <v>0</v>
      </c>
      <c r="R553" s="105">
        <f t="shared" si="157"/>
        <v>0</v>
      </c>
      <c r="S553" s="105">
        <f>VLOOKUP(A553,Data!$A$2:$Z$179,12,FALSE)</f>
        <v>0</v>
      </c>
      <c r="T553" s="105">
        <f>S553*F553</f>
        <v>0</v>
      </c>
      <c r="U553" s="105">
        <f>VLOOKUP(A553,Data!$A$2:$Z$179,13,FALSE)</f>
        <v>0.1673415463261857</v>
      </c>
      <c r="V553" s="91">
        <f t="shared" si="153"/>
        <v>0</v>
      </c>
      <c r="W553" s="105">
        <f>VLOOKUP(A553,Data!$A$2:$Z$179,22,FALSE)</f>
        <v>0</v>
      </c>
      <c r="X553" s="105">
        <f>W553*F553</f>
        <v>0</v>
      </c>
      <c r="Y553" s="105">
        <f>VLOOKUP(A553,Data!$A$2:$Z$179,19,FALSE)</f>
        <v>0</v>
      </c>
      <c r="Z553" s="105">
        <f t="shared" si="158"/>
        <v>0</v>
      </c>
      <c r="AA553" s="105">
        <f>VLOOKUP(A553,Data!$A$2:$Z$179,20,FALSE)</f>
        <v>0</v>
      </c>
      <c r="AB553" s="105">
        <f t="shared" si="160"/>
        <v>0</v>
      </c>
      <c r="AC553" s="105">
        <f>VLOOKUP(A553,Data!$A$2:$Z$179,21,FALSE)</f>
        <v>0</v>
      </c>
      <c r="AD553" s="105">
        <f t="shared" si="155"/>
        <v>0</v>
      </c>
      <c r="AE553" s="105">
        <f>J553+L553+N553+O553+Q553+S553+U553+W553+Y553+AA553+AC553</f>
        <v>25.605341546326184</v>
      </c>
      <c r="AF553" s="105">
        <f t="shared" si="156"/>
        <v>0</v>
      </c>
      <c r="AG553" s="105"/>
      <c r="AH553" s="106">
        <f>AE553-S553-W553</f>
        <v>25.605341546326184</v>
      </c>
      <c r="AI553" s="85">
        <f>AH553/AE553</f>
        <v>1</v>
      </c>
      <c r="AK553" s="106">
        <f t="shared" si="150"/>
        <v>0</v>
      </c>
      <c r="AL553" s="106">
        <f t="shared" si="151"/>
        <v>0</v>
      </c>
      <c r="AQ553" s="107"/>
      <c r="AS553" s="108"/>
    </row>
    <row r="554" spans="1:45" x14ac:dyDescent="0.2">
      <c r="B554" s="101"/>
      <c r="C554" s="92"/>
      <c r="D554" s="92"/>
      <c r="F554" s="109"/>
      <c r="G554" s="109"/>
      <c r="H554" s="109"/>
      <c r="I554" s="109"/>
      <c r="J554" s="105"/>
      <c r="K554" s="105"/>
      <c r="L554" s="105"/>
      <c r="M554" s="105">
        <f t="shared" si="147"/>
        <v>0</v>
      </c>
      <c r="N554" s="105"/>
      <c r="O554" s="105"/>
      <c r="P554" s="105">
        <f t="shared" si="161"/>
        <v>0</v>
      </c>
      <c r="Q554" s="105"/>
      <c r="R554" s="105">
        <f t="shared" si="157"/>
        <v>0</v>
      </c>
      <c r="S554" s="105"/>
      <c r="T554" s="105">
        <f t="shared" si="162"/>
        <v>0</v>
      </c>
      <c r="U554" s="105"/>
      <c r="V554" s="91">
        <f t="shared" si="153"/>
        <v>0</v>
      </c>
      <c r="W554" s="105"/>
      <c r="X554" s="105">
        <f t="shared" si="159"/>
        <v>0</v>
      </c>
      <c r="Y554" s="105"/>
      <c r="Z554" s="105">
        <f t="shared" si="158"/>
        <v>0</v>
      </c>
      <c r="AA554" s="105"/>
      <c r="AB554" s="105">
        <f t="shared" si="160"/>
        <v>0</v>
      </c>
      <c r="AC554" s="105"/>
      <c r="AD554" s="105">
        <f t="shared" si="155"/>
        <v>0</v>
      </c>
      <c r="AE554" s="105"/>
      <c r="AF554" s="105">
        <f t="shared" si="156"/>
        <v>0</v>
      </c>
      <c r="AG554" s="105"/>
      <c r="AH554" s="106"/>
      <c r="AK554" s="106">
        <f t="shared" si="150"/>
        <v>0</v>
      </c>
      <c r="AL554" s="106">
        <f t="shared" si="151"/>
        <v>0</v>
      </c>
      <c r="AQ554" s="107"/>
      <c r="AS554" s="108"/>
    </row>
    <row r="555" spans="1:45" x14ac:dyDescent="0.2">
      <c r="A555" s="85" t="s">
        <v>236</v>
      </c>
      <c r="B555" s="101" t="s">
        <v>235</v>
      </c>
      <c r="C555" s="86" t="s">
        <v>832</v>
      </c>
      <c r="D555" s="92"/>
      <c r="F555" s="102">
        <f>E555</f>
        <v>0</v>
      </c>
      <c r="G555" s="103"/>
      <c r="H555" s="103"/>
      <c r="I555" s="103"/>
      <c r="J555" s="105"/>
      <c r="K555" s="105"/>
      <c r="L555" s="105"/>
      <c r="M555" s="105">
        <f t="shared" si="147"/>
        <v>0</v>
      </c>
      <c r="N555" s="105"/>
      <c r="O555" s="105"/>
      <c r="P555" s="105">
        <f t="shared" si="161"/>
        <v>0</v>
      </c>
      <c r="Q555" s="105"/>
      <c r="R555" s="105">
        <f t="shared" si="157"/>
        <v>0</v>
      </c>
      <c r="S555" s="105"/>
      <c r="T555" s="105">
        <f t="shared" si="162"/>
        <v>0</v>
      </c>
      <c r="U555" s="105"/>
      <c r="V555" s="91">
        <f t="shared" si="153"/>
        <v>0</v>
      </c>
      <c r="W555" s="105"/>
      <c r="X555" s="105">
        <f t="shared" si="159"/>
        <v>0</v>
      </c>
      <c r="Y555" s="105"/>
      <c r="Z555" s="105">
        <f t="shared" si="158"/>
        <v>0</v>
      </c>
      <c r="AA555" s="105"/>
      <c r="AB555" s="105">
        <f t="shared" si="160"/>
        <v>0</v>
      </c>
      <c r="AC555" s="105"/>
      <c r="AD555" s="105">
        <f t="shared" si="155"/>
        <v>0</v>
      </c>
      <c r="AE555" s="105"/>
      <c r="AF555" s="105">
        <f t="shared" si="156"/>
        <v>0</v>
      </c>
      <c r="AG555" s="105"/>
      <c r="AH555" s="106"/>
      <c r="AK555" s="106">
        <f t="shared" si="150"/>
        <v>0</v>
      </c>
      <c r="AL555" s="106">
        <f t="shared" si="151"/>
        <v>0</v>
      </c>
      <c r="AQ555" s="107"/>
      <c r="AS555" s="108"/>
    </row>
    <row r="556" spans="1:45" x14ac:dyDescent="0.2">
      <c r="A556" s="85" t="s">
        <v>236</v>
      </c>
      <c r="B556" s="101"/>
      <c r="C556" s="92" t="s">
        <v>833</v>
      </c>
      <c r="F556" s="104">
        <f>SUM(F555)</f>
        <v>0</v>
      </c>
      <c r="G556" s="104">
        <f>F556</f>
        <v>0</v>
      </c>
      <c r="H556" s="105">
        <f>VLOOKUP(A556,Data!$A$2:$Z$179,24,FALSE)</f>
        <v>27</v>
      </c>
      <c r="I556" s="105">
        <f>VLOOKUP(A556,Data!$A$2:$Z$179,25,FALSE)</f>
        <v>11.819000000000001</v>
      </c>
      <c r="J556" s="105">
        <f>VLOOKUP(A556,Data!$A$2:$Z$179,7,FALSE)</f>
        <v>15.180999999999999</v>
      </c>
      <c r="K556" s="105">
        <f>$F556*J556</f>
        <v>0</v>
      </c>
      <c r="L556" s="105">
        <f>VLOOKUP(A556,Data!$A$2:$Z$179,8,FALSE)</f>
        <v>0</v>
      </c>
      <c r="M556" s="105">
        <f>L556*F556</f>
        <v>0</v>
      </c>
      <c r="N556" s="105">
        <f>VLOOKUP(A556,Data!$A$2:$Z$179,9,FALSE)</f>
        <v>0</v>
      </c>
      <c r="O556" s="105">
        <f>VLOOKUP(A555,Data!$A$2:$Z$179,10,FALSE)</f>
        <v>0.255</v>
      </c>
      <c r="P556" s="105">
        <f>O556*F556</f>
        <v>0</v>
      </c>
      <c r="Q556" s="105">
        <f>VLOOKUP(A556,Data!$A$2:$Z$179,11,FALSE)</f>
        <v>0</v>
      </c>
      <c r="R556" s="105">
        <f t="shared" si="157"/>
        <v>0</v>
      </c>
      <c r="S556" s="105">
        <f>VLOOKUP(A556,Data!$A$2:$Z$179,12,FALSE)</f>
        <v>8.1639999999999997</v>
      </c>
      <c r="T556" s="105">
        <f>S556*F556</f>
        <v>0</v>
      </c>
      <c r="U556" s="105">
        <f>VLOOKUP(A556,Data!$A$2:$Z$179,13,FALSE)</f>
        <v>4.4717178378045834E-2</v>
      </c>
      <c r="V556" s="91">
        <f t="shared" si="153"/>
        <v>0</v>
      </c>
      <c r="W556" s="105">
        <f>VLOOKUP(A556,Data!$A$2:$Z$179,22,FALSE)</f>
        <v>0</v>
      </c>
      <c r="X556" s="105">
        <f>W556*F556</f>
        <v>0</v>
      </c>
      <c r="Y556" s="105">
        <f>VLOOKUP(A556,Data!$A$2:$Z$179,19,FALSE)</f>
        <v>0</v>
      </c>
      <c r="Z556" s="105">
        <f t="shared" si="158"/>
        <v>0</v>
      </c>
      <c r="AA556" s="105">
        <f>VLOOKUP(A556,Data!$A$2:$Z$179,20,FALSE)</f>
        <v>0</v>
      </c>
      <c r="AB556" s="105">
        <f t="shared" si="160"/>
        <v>0</v>
      </c>
      <c r="AC556" s="105">
        <f>VLOOKUP(A556,Data!$A$2:$Z$179,21,FALSE)</f>
        <v>0</v>
      </c>
      <c r="AD556" s="105">
        <f t="shared" si="155"/>
        <v>0</v>
      </c>
      <c r="AE556" s="105">
        <f>J556+L556+N556+O556+Q556+S556+U556+W556+Y556+AA556+AC556</f>
        <v>23.644717178378048</v>
      </c>
      <c r="AF556" s="105">
        <f t="shared" si="156"/>
        <v>0</v>
      </c>
      <c r="AG556" s="105"/>
      <c r="AH556" s="106">
        <f>AE556-S556-W556</f>
        <v>15.480717178378049</v>
      </c>
      <c r="AI556" s="85">
        <f>AH556/AE556</f>
        <v>0.65472202782507449</v>
      </c>
      <c r="AK556" s="106">
        <f t="shared" si="150"/>
        <v>8.4190000000000005</v>
      </c>
      <c r="AL556" s="106">
        <f t="shared" si="151"/>
        <v>8.4190000000000005</v>
      </c>
      <c r="AQ556" s="107"/>
      <c r="AS556" s="108"/>
    </row>
    <row r="557" spans="1:45" x14ac:dyDescent="0.2">
      <c r="B557" s="101"/>
      <c r="C557" s="92"/>
      <c r="D557" s="92"/>
      <c r="F557" s="109"/>
      <c r="G557" s="109"/>
      <c r="H557" s="109"/>
      <c r="I557" s="109"/>
      <c r="J557" s="105"/>
      <c r="K557" s="105"/>
      <c r="L557" s="105"/>
      <c r="M557" s="105">
        <f t="shared" si="147"/>
        <v>0</v>
      </c>
      <c r="N557" s="105"/>
      <c r="O557" s="105"/>
      <c r="P557" s="105">
        <f t="shared" si="161"/>
        <v>0</v>
      </c>
      <c r="Q557" s="105"/>
      <c r="R557" s="105">
        <f t="shared" si="157"/>
        <v>0</v>
      </c>
      <c r="S557" s="105"/>
      <c r="T557" s="105">
        <f t="shared" si="162"/>
        <v>0</v>
      </c>
      <c r="U557" s="105"/>
      <c r="V557" s="91">
        <f t="shared" si="153"/>
        <v>0</v>
      </c>
      <c r="W557" s="105"/>
      <c r="X557" s="105">
        <f t="shared" si="159"/>
        <v>0</v>
      </c>
      <c r="Y557" s="105"/>
      <c r="Z557" s="105">
        <f t="shared" si="158"/>
        <v>0</v>
      </c>
      <c r="AA557" s="105"/>
      <c r="AB557" s="105">
        <f t="shared" si="160"/>
        <v>0</v>
      </c>
      <c r="AC557" s="105"/>
      <c r="AD557" s="105">
        <f t="shared" si="155"/>
        <v>0</v>
      </c>
      <c r="AE557" s="105"/>
      <c r="AF557" s="105">
        <f t="shared" si="156"/>
        <v>0</v>
      </c>
      <c r="AG557" s="105"/>
      <c r="AH557" s="106"/>
      <c r="AK557" s="106">
        <f t="shared" si="150"/>
        <v>0</v>
      </c>
      <c r="AL557" s="106">
        <f t="shared" si="151"/>
        <v>0</v>
      </c>
      <c r="AQ557" s="107"/>
      <c r="AS557" s="108"/>
    </row>
    <row r="558" spans="1:45" x14ac:dyDescent="0.2">
      <c r="A558" s="85" t="s">
        <v>237</v>
      </c>
      <c r="B558" s="101" t="s">
        <v>235</v>
      </c>
      <c r="C558" s="86" t="s">
        <v>834</v>
      </c>
      <c r="D558" s="92"/>
      <c r="F558" s="102">
        <f>E558</f>
        <v>0</v>
      </c>
      <c r="G558" s="103"/>
      <c r="H558" s="103"/>
      <c r="I558" s="103"/>
      <c r="J558" s="105"/>
      <c r="K558" s="105"/>
      <c r="L558" s="105"/>
      <c r="M558" s="105">
        <f t="shared" si="147"/>
        <v>0</v>
      </c>
      <c r="N558" s="105"/>
      <c r="O558" s="105"/>
      <c r="P558" s="105">
        <f t="shared" si="161"/>
        <v>0</v>
      </c>
      <c r="Q558" s="105"/>
      <c r="R558" s="105">
        <f t="shared" si="157"/>
        <v>0</v>
      </c>
      <c r="S558" s="105"/>
      <c r="T558" s="105">
        <f t="shared" si="162"/>
        <v>0</v>
      </c>
      <c r="U558" s="105"/>
      <c r="V558" s="91">
        <f t="shared" si="153"/>
        <v>0</v>
      </c>
      <c r="W558" s="105"/>
      <c r="X558" s="105">
        <f t="shared" si="159"/>
        <v>0</v>
      </c>
      <c r="Y558" s="105"/>
      <c r="Z558" s="105">
        <f t="shared" si="158"/>
        <v>0</v>
      </c>
      <c r="AA558" s="105"/>
      <c r="AB558" s="105">
        <f t="shared" si="160"/>
        <v>0</v>
      </c>
      <c r="AC558" s="105"/>
      <c r="AD558" s="105">
        <f t="shared" si="155"/>
        <v>0</v>
      </c>
      <c r="AE558" s="105"/>
      <c r="AF558" s="105">
        <f t="shared" si="156"/>
        <v>0</v>
      </c>
      <c r="AG558" s="105"/>
      <c r="AH558" s="106"/>
      <c r="AK558" s="106">
        <f t="shared" si="150"/>
        <v>0</v>
      </c>
      <c r="AL558" s="106">
        <f t="shared" si="151"/>
        <v>0</v>
      </c>
      <c r="AQ558" s="107"/>
      <c r="AS558" s="108"/>
    </row>
    <row r="559" spans="1:45" x14ac:dyDescent="0.2">
      <c r="A559" s="85" t="s">
        <v>237</v>
      </c>
      <c r="B559" s="101"/>
      <c r="C559" s="92" t="s">
        <v>835</v>
      </c>
      <c r="F559" s="104">
        <f>SUM(F558)</f>
        <v>0</v>
      </c>
      <c r="G559" s="104">
        <f>F559</f>
        <v>0</v>
      </c>
      <c r="H559" s="105">
        <f>VLOOKUP(A559,Data!$A$2:$Z$179,24,FALSE)</f>
        <v>27</v>
      </c>
      <c r="I559" s="105">
        <f>VLOOKUP(A559,Data!$A$2:$Z$179,25,FALSE)</f>
        <v>0</v>
      </c>
      <c r="J559" s="105">
        <f>VLOOKUP(A559,Data!$A$2:$Z$179,7,FALSE)</f>
        <v>27</v>
      </c>
      <c r="K559" s="105">
        <f>$F559*J559</f>
        <v>0</v>
      </c>
      <c r="L559" s="105">
        <f>VLOOKUP(A559,Data!$A$2:$Z$179,8,FALSE)</f>
        <v>0</v>
      </c>
      <c r="M559" s="105">
        <f>L559*F559</f>
        <v>0</v>
      </c>
      <c r="N559" s="105">
        <f>VLOOKUP(A559,Data!$A$2:$Z$179,9,FALSE)</f>
        <v>0</v>
      </c>
      <c r="O559" s="105">
        <f>VLOOKUP(A558,Data!$A$2:$Z$179,10,FALSE)</f>
        <v>0</v>
      </c>
      <c r="P559" s="105">
        <f>O559*F559</f>
        <v>0</v>
      </c>
      <c r="Q559" s="105">
        <f>VLOOKUP(A559,Data!$A$2:$Z$179,11,FALSE)</f>
        <v>0</v>
      </c>
      <c r="R559" s="105">
        <f t="shared" si="157"/>
        <v>0</v>
      </c>
      <c r="S559" s="105">
        <f>VLOOKUP(A559,Data!$A$2:$Z$179,12,FALSE)</f>
        <v>0</v>
      </c>
      <c r="T559" s="105">
        <f>S559*F559</f>
        <v>0</v>
      </c>
      <c r="U559" s="105">
        <f>VLOOKUP(A559,Data!$A$2:$Z$179,13,FALSE)</f>
        <v>0</v>
      </c>
      <c r="V559" s="91">
        <f t="shared" si="153"/>
        <v>0</v>
      </c>
      <c r="W559" s="105">
        <f>VLOOKUP(A559,Data!$A$2:$Z$179,22,FALSE)</f>
        <v>0</v>
      </c>
      <c r="X559" s="105">
        <f>W559*F559</f>
        <v>0</v>
      </c>
      <c r="Y559" s="105">
        <f>VLOOKUP(A559,Data!$A$2:$Z$179,19,FALSE)</f>
        <v>0</v>
      </c>
      <c r="Z559" s="105">
        <f t="shared" si="158"/>
        <v>0</v>
      </c>
      <c r="AA559" s="105">
        <f>VLOOKUP(A559,Data!$A$2:$Z$179,20,FALSE)</f>
        <v>0</v>
      </c>
      <c r="AB559" s="105">
        <f t="shared" si="160"/>
        <v>0</v>
      </c>
      <c r="AC559" s="105">
        <f>VLOOKUP(A559,Data!$A$2:$Z$179,21,FALSE)</f>
        <v>0</v>
      </c>
      <c r="AD559" s="105">
        <f t="shared" si="155"/>
        <v>0</v>
      </c>
      <c r="AE559" s="105">
        <f>J559+L559+N559+O559+Q559+S559+U559+W559+Y559+AA559+AC559</f>
        <v>27</v>
      </c>
      <c r="AF559" s="105">
        <f t="shared" si="156"/>
        <v>0</v>
      </c>
      <c r="AG559" s="105"/>
      <c r="AH559" s="106">
        <f>AE559-S559-W559</f>
        <v>27</v>
      </c>
      <c r="AI559" s="85">
        <f>AH559/AE559</f>
        <v>1</v>
      </c>
      <c r="AK559" s="106">
        <f t="shared" si="150"/>
        <v>0</v>
      </c>
      <c r="AL559" s="106">
        <f t="shared" si="151"/>
        <v>0</v>
      </c>
      <c r="AQ559" s="107"/>
      <c r="AS559" s="108"/>
    </row>
    <row r="560" spans="1:45" x14ac:dyDescent="0.2">
      <c r="B560" s="101"/>
      <c r="C560" s="92"/>
      <c r="D560" s="92"/>
      <c r="F560" s="109"/>
      <c r="G560" s="109"/>
      <c r="H560" s="109"/>
      <c r="I560" s="109"/>
      <c r="J560" s="105"/>
      <c r="K560" s="105"/>
      <c r="L560" s="105"/>
      <c r="M560" s="105">
        <f t="shared" si="147"/>
        <v>0</v>
      </c>
      <c r="N560" s="105"/>
      <c r="O560" s="105"/>
      <c r="P560" s="105">
        <f t="shared" si="161"/>
        <v>0</v>
      </c>
      <c r="Q560" s="105"/>
      <c r="R560" s="105">
        <f t="shared" si="157"/>
        <v>0</v>
      </c>
      <c r="S560" s="105"/>
      <c r="T560" s="105">
        <f t="shared" si="162"/>
        <v>0</v>
      </c>
      <c r="U560" s="105"/>
      <c r="V560" s="91">
        <f t="shared" si="153"/>
        <v>0</v>
      </c>
      <c r="W560" s="105"/>
      <c r="X560" s="105">
        <f t="shared" si="159"/>
        <v>0</v>
      </c>
      <c r="Y560" s="105"/>
      <c r="Z560" s="105">
        <f t="shared" si="158"/>
        <v>0</v>
      </c>
      <c r="AA560" s="105"/>
      <c r="AB560" s="105">
        <f t="shared" si="160"/>
        <v>0</v>
      </c>
      <c r="AC560" s="105"/>
      <c r="AD560" s="105">
        <f t="shared" si="155"/>
        <v>0</v>
      </c>
      <c r="AE560" s="105"/>
      <c r="AF560" s="105">
        <f t="shared" si="156"/>
        <v>0</v>
      </c>
      <c r="AG560" s="105"/>
      <c r="AH560" s="106"/>
      <c r="AK560" s="106">
        <f t="shared" si="150"/>
        <v>0</v>
      </c>
      <c r="AL560" s="106">
        <f t="shared" si="151"/>
        <v>0</v>
      </c>
      <c r="AQ560" s="107"/>
      <c r="AS560" s="108"/>
    </row>
    <row r="561" spans="1:45" x14ac:dyDescent="0.2">
      <c r="A561" s="85" t="s">
        <v>238</v>
      </c>
      <c r="B561" s="101" t="s">
        <v>235</v>
      </c>
      <c r="C561" s="86" t="s">
        <v>836</v>
      </c>
      <c r="D561" s="92"/>
      <c r="F561" s="102">
        <f>E561</f>
        <v>0</v>
      </c>
      <c r="G561" s="103"/>
      <c r="H561" s="103"/>
      <c r="I561" s="103"/>
      <c r="J561" s="105"/>
      <c r="K561" s="105"/>
      <c r="L561" s="105"/>
      <c r="M561" s="105">
        <f t="shared" si="147"/>
        <v>0</v>
      </c>
      <c r="N561" s="105"/>
      <c r="O561" s="105"/>
      <c r="P561" s="105">
        <f t="shared" si="161"/>
        <v>0</v>
      </c>
      <c r="Q561" s="105"/>
      <c r="R561" s="105">
        <f t="shared" si="157"/>
        <v>0</v>
      </c>
      <c r="S561" s="105"/>
      <c r="T561" s="105">
        <f t="shared" si="162"/>
        <v>0</v>
      </c>
      <c r="U561" s="105"/>
      <c r="V561" s="91">
        <f t="shared" si="153"/>
        <v>0</v>
      </c>
      <c r="W561" s="105"/>
      <c r="X561" s="105">
        <f t="shared" si="159"/>
        <v>0</v>
      </c>
      <c r="Y561" s="105"/>
      <c r="Z561" s="105">
        <f t="shared" si="158"/>
        <v>0</v>
      </c>
      <c r="AA561" s="105"/>
      <c r="AB561" s="105">
        <f t="shared" si="160"/>
        <v>0</v>
      </c>
      <c r="AC561" s="105"/>
      <c r="AD561" s="105">
        <f t="shared" si="155"/>
        <v>0</v>
      </c>
      <c r="AE561" s="105"/>
      <c r="AF561" s="105">
        <f t="shared" si="156"/>
        <v>0</v>
      </c>
      <c r="AG561" s="105"/>
      <c r="AH561" s="106"/>
      <c r="AK561" s="106">
        <f t="shared" si="150"/>
        <v>0</v>
      </c>
      <c r="AL561" s="106">
        <f t="shared" si="151"/>
        <v>0</v>
      </c>
      <c r="AQ561" s="107"/>
      <c r="AS561" s="108"/>
    </row>
    <row r="562" spans="1:45" x14ac:dyDescent="0.2">
      <c r="A562" s="85" t="s">
        <v>238</v>
      </c>
      <c r="B562" s="101"/>
      <c r="C562" s="92" t="s">
        <v>837</v>
      </c>
      <c r="F562" s="104">
        <f>SUM(F561)</f>
        <v>0</v>
      </c>
      <c r="G562" s="104">
        <f>F562</f>
        <v>0</v>
      </c>
      <c r="H562" s="105">
        <f>VLOOKUP(A562,Data!$A$2:$Z$179,24,FALSE)</f>
        <v>27</v>
      </c>
      <c r="I562" s="105">
        <f>VLOOKUP(A562,Data!$A$2:$Z$179,25,FALSE)</f>
        <v>0</v>
      </c>
      <c r="J562" s="105">
        <f>VLOOKUP(A562,Data!$A$2:$Z$179,7,FALSE)</f>
        <v>27</v>
      </c>
      <c r="K562" s="105">
        <f>$F562*J562</f>
        <v>0</v>
      </c>
      <c r="L562" s="105">
        <f>VLOOKUP(A562,Data!$A$2:$Z$179,8,FALSE)</f>
        <v>0</v>
      </c>
      <c r="M562" s="105">
        <f>L562*F562</f>
        <v>0</v>
      </c>
      <c r="N562" s="105">
        <f>VLOOKUP(A562,Data!$A$2:$Z$179,9,FALSE)</f>
        <v>0</v>
      </c>
      <c r="O562" s="105">
        <f>VLOOKUP(A561,Data!$A$2:$Z$179,10,FALSE)</f>
        <v>0</v>
      </c>
      <c r="P562" s="105">
        <f>O562*F562</f>
        <v>0</v>
      </c>
      <c r="Q562" s="105">
        <f>VLOOKUP(A562,Data!$A$2:$Z$179,11,FALSE)</f>
        <v>0</v>
      </c>
      <c r="R562" s="105">
        <f t="shared" si="157"/>
        <v>0</v>
      </c>
      <c r="S562" s="105">
        <f>VLOOKUP(A562,Data!$A$2:$Z$179,12,FALSE)</f>
        <v>0</v>
      </c>
      <c r="T562" s="105">
        <f>S562*F562</f>
        <v>0</v>
      </c>
      <c r="U562" s="105">
        <f>VLOOKUP(A562,Data!$A$2:$Z$179,13,FALSE)</f>
        <v>7.0431725145979715E-2</v>
      </c>
      <c r="V562" s="91">
        <f t="shared" si="153"/>
        <v>0</v>
      </c>
      <c r="W562" s="105">
        <f>VLOOKUP(A562,Data!$A$2:$Z$179,22,FALSE)</f>
        <v>0</v>
      </c>
      <c r="X562" s="105">
        <f>W562*F562</f>
        <v>0</v>
      </c>
      <c r="Y562" s="105">
        <f>VLOOKUP(A562,Data!$A$2:$Z$179,19,FALSE)</f>
        <v>0</v>
      </c>
      <c r="Z562" s="105">
        <f t="shared" si="158"/>
        <v>0</v>
      </c>
      <c r="AA562" s="105">
        <f>VLOOKUP(A562,Data!$A$2:$Z$179,20,FALSE)</f>
        <v>0</v>
      </c>
      <c r="AB562" s="105">
        <f t="shared" si="160"/>
        <v>0</v>
      </c>
      <c r="AC562" s="105">
        <f>VLOOKUP(A562,Data!$A$2:$Z$179,21,FALSE)</f>
        <v>0</v>
      </c>
      <c r="AD562" s="105">
        <f t="shared" si="155"/>
        <v>0</v>
      </c>
      <c r="AE562" s="105">
        <f>J562+L562+N562+O562+Q562+S562+U562+W562+Y562+AA562+AC562</f>
        <v>27.07043172514598</v>
      </c>
      <c r="AF562" s="105">
        <f t="shared" si="156"/>
        <v>0</v>
      </c>
      <c r="AG562" s="105"/>
      <c r="AH562" s="106">
        <f>AE562-S562-W562</f>
        <v>27.07043172514598</v>
      </c>
      <c r="AI562" s="85">
        <f>AH562/AE562</f>
        <v>1</v>
      </c>
      <c r="AK562" s="106">
        <f t="shared" si="150"/>
        <v>0</v>
      </c>
      <c r="AL562" s="106">
        <f t="shared" si="151"/>
        <v>0</v>
      </c>
      <c r="AQ562" s="107"/>
      <c r="AS562" s="108"/>
    </row>
    <row r="563" spans="1:45" x14ac:dyDescent="0.2">
      <c r="B563" s="101"/>
      <c r="C563" s="92"/>
      <c r="D563" s="92"/>
      <c r="F563" s="109"/>
      <c r="G563" s="109"/>
      <c r="H563" s="109"/>
      <c r="I563" s="109"/>
      <c r="J563" s="105"/>
      <c r="K563" s="105"/>
      <c r="L563" s="105"/>
      <c r="M563" s="105">
        <f t="shared" si="147"/>
        <v>0</v>
      </c>
      <c r="N563" s="105"/>
      <c r="O563" s="105"/>
      <c r="P563" s="105">
        <f t="shared" si="161"/>
        <v>0</v>
      </c>
      <c r="Q563" s="105"/>
      <c r="R563" s="105">
        <f t="shared" si="157"/>
        <v>0</v>
      </c>
      <c r="S563" s="105"/>
      <c r="T563" s="105">
        <f t="shared" si="162"/>
        <v>0</v>
      </c>
      <c r="U563" s="105"/>
      <c r="V563" s="91">
        <f t="shared" si="153"/>
        <v>0</v>
      </c>
      <c r="W563" s="105"/>
      <c r="X563" s="105">
        <f t="shared" si="159"/>
        <v>0</v>
      </c>
      <c r="Y563" s="105"/>
      <c r="Z563" s="105">
        <f t="shared" si="158"/>
        <v>0</v>
      </c>
      <c r="AA563" s="105"/>
      <c r="AB563" s="105">
        <f t="shared" si="160"/>
        <v>0</v>
      </c>
      <c r="AC563" s="105"/>
      <c r="AD563" s="105">
        <f t="shared" si="155"/>
        <v>0</v>
      </c>
      <c r="AE563" s="105"/>
      <c r="AF563" s="105">
        <f t="shared" si="156"/>
        <v>0</v>
      </c>
      <c r="AG563" s="105"/>
      <c r="AH563" s="106"/>
      <c r="AK563" s="106">
        <f t="shared" si="150"/>
        <v>0</v>
      </c>
      <c r="AL563" s="106">
        <f t="shared" si="151"/>
        <v>0</v>
      </c>
      <c r="AQ563" s="107"/>
      <c r="AS563" s="108"/>
    </row>
    <row r="564" spans="1:45" x14ac:dyDescent="0.2">
      <c r="A564" s="85" t="s">
        <v>239</v>
      </c>
      <c r="B564" s="101" t="s">
        <v>235</v>
      </c>
      <c r="C564" s="86" t="s">
        <v>838</v>
      </c>
      <c r="D564" s="92"/>
      <c r="F564" s="102">
        <f>E564</f>
        <v>0</v>
      </c>
      <c r="G564" s="103"/>
      <c r="H564" s="103"/>
      <c r="I564" s="103"/>
      <c r="J564" s="105"/>
      <c r="K564" s="105"/>
      <c r="L564" s="105"/>
      <c r="M564" s="105">
        <f t="shared" si="147"/>
        <v>0</v>
      </c>
      <c r="N564" s="105"/>
      <c r="O564" s="105"/>
      <c r="P564" s="105">
        <f t="shared" si="161"/>
        <v>0</v>
      </c>
      <c r="Q564" s="105"/>
      <c r="R564" s="105">
        <f t="shared" si="157"/>
        <v>0</v>
      </c>
      <c r="S564" s="105"/>
      <c r="T564" s="105">
        <f t="shared" si="162"/>
        <v>0</v>
      </c>
      <c r="U564" s="105"/>
      <c r="V564" s="91">
        <f t="shared" si="153"/>
        <v>0</v>
      </c>
      <c r="W564" s="105"/>
      <c r="X564" s="105">
        <f t="shared" si="159"/>
        <v>0</v>
      </c>
      <c r="Y564" s="105"/>
      <c r="Z564" s="105">
        <f t="shared" si="158"/>
        <v>0</v>
      </c>
      <c r="AA564" s="105"/>
      <c r="AB564" s="105">
        <f t="shared" si="160"/>
        <v>0</v>
      </c>
      <c r="AC564" s="105"/>
      <c r="AD564" s="105">
        <f t="shared" si="155"/>
        <v>0</v>
      </c>
      <c r="AE564" s="105"/>
      <c r="AF564" s="105">
        <f t="shared" si="156"/>
        <v>0</v>
      </c>
      <c r="AG564" s="105"/>
      <c r="AH564" s="106"/>
      <c r="AK564" s="106">
        <f t="shared" si="150"/>
        <v>0</v>
      </c>
      <c r="AL564" s="106">
        <f t="shared" si="151"/>
        <v>0</v>
      </c>
      <c r="AQ564" s="107"/>
      <c r="AS564" s="108"/>
    </row>
    <row r="565" spans="1:45" x14ac:dyDescent="0.2">
      <c r="A565" s="85" t="s">
        <v>239</v>
      </c>
      <c r="B565" s="101"/>
      <c r="C565" s="92" t="s">
        <v>839</v>
      </c>
      <c r="F565" s="104">
        <f>SUM(F564)</f>
        <v>0</v>
      </c>
      <c r="G565" s="104">
        <f>F565</f>
        <v>0</v>
      </c>
      <c r="H565" s="105">
        <f>VLOOKUP(A565,Data!$A$2:$Z$179,24,FALSE)</f>
        <v>27</v>
      </c>
      <c r="I565" s="105">
        <f>VLOOKUP(A565,Data!$A$2:$Z$179,25,FALSE)</f>
        <v>6.2279999999999998</v>
      </c>
      <c r="J565" s="105">
        <f>VLOOKUP(A565,Data!$A$2:$Z$179,7,FALSE)</f>
        <v>20.771999999999998</v>
      </c>
      <c r="K565" s="105">
        <f>$F565*J565</f>
        <v>0</v>
      </c>
      <c r="L565" s="105">
        <f>VLOOKUP(A565,Data!$A$2:$Z$179,8,FALSE)</f>
        <v>0</v>
      </c>
      <c r="M565" s="105">
        <f>L565*F565</f>
        <v>0</v>
      </c>
      <c r="N565" s="105">
        <f>VLOOKUP(A565,Data!$A$2:$Z$179,9,FALSE)</f>
        <v>0</v>
      </c>
      <c r="O565" s="105">
        <f>VLOOKUP(A564,Data!$A$2:$Z$179,10,FALSE)</f>
        <v>1.9369999999999998</v>
      </c>
      <c r="P565" s="105">
        <f>O565*F565</f>
        <v>0</v>
      </c>
      <c r="Q565" s="105">
        <f>VLOOKUP(A565,Data!$A$2:$Z$179,11,FALSE)</f>
        <v>0</v>
      </c>
      <c r="R565" s="105">
        <f t="shared" si="157"/>
        <v>0</v>
      </c>
      <c r="S565" s="105">
        <f>VLOOKUP(A565,Data!$A$2:$Z$179,12,FALSE)</f>
        <v>3.9009999999999998</v>
      </c>
      <c r="T565" s="105">
        <f>S565*F565</f>
        <v>0</v>
      </c>
      <c r="U565" s="105">
        <f>VLOOKUP(A565,Data!$A$2:$Z$179,13,FALSE)</f>
        <v>8.903481724779308E-2</v>
      </c>
      <c r="V565" s="91">
        <f t="shared" si="153"/>
        <v>0</v>
      </c>
      <c r="W565" s="105">
        <f>VLOOKUP(A565,Data!$A$2:$Z$179,22,FALSE)</f>
        <v>0</v>
      </c>
      <c r="X565" s="105">
        <f>W565*F565</f>
        <v>0</v>
      </c>
      <c r="Y565" s="105">
        <f>VLOOKUP(A565,Data!$A$2:$Z$179,19,FALSE)</f>
        <v>0</v>
      </c>
      <c r="Z565" s="105">
        <f t="shared" si="158"/>
        <v>0</v>
      </c>
      <c r="AA565" s="105">
        <f>VLOOKUP(A565,Data!$A$2:$Z$179,20,FALSE)</f>
        <v>0</v>
      </c>
      <c r="AB565" s="105">
        <f t="shared" si="160"/>
        <v>0</v>
      </c>
      <c r="AC565" s="105">
        <f>VLOOKUP(A565,Data!$A$2:$Z$179,21,FALSE)</f>
        <v>0</v>
      </c>
      <c r="AD565" s="105">
        <f t="shared" si="155"/>
        <v>0</v>
      </c>
      <c r="AE565" s="105">
        <f>J565+L565+N565+O565+Q565+S565+U565+W565+Y565+AA565+AC565</f>
        <v>26.699034817247792</v>
      </c>
      <c r="AF565" s="105">
        <f t="shared" si="156"/>
        <v>0</v>
      </c>
      <c r="AG565" s="105"/>
      <c r="AH565" s="106">
        <f>AE565-S565-W565</f>
        <v>22.798034817247792</v>
      </c>
      <c r="AI565" s="85">
        <f>AH565/AE565</f>
        <v>0.85388984932594181</v>
      </c>
      <c r="AK565" s="106">
        <f t="shared" si="150"/>
        <v>5.8379999999999992</v>
      </c>
      <c r="AL565" s="106">
        <f t="shared" si="151"/>
        <v>5.8379999999999992</v>
      </c>
      <c r="AQ565" s="107"/>
      <c r="AR565" s="112"/>
      <c r="AS565" s="108"/>
    </row>
    <row r="566" spans="1:45" x14ac:dyDescent="0.2">
      <c r="B566" s="101"/>
      <c r="C566" s="92"/>
      <c r="D566" s="92"/>
      <c r="F566" s="109"/>
      <c r="G566" s="109"/>
      <c r="H566" s="109"/>
      <c r="I566" s="109"/>
      <c r="J566" s="105"/>
      <c r="K566" s="105"/>
      <c r="L566" s="105"/>
      <c r="M566" s="105">
        <f t="shared" ref="M566:M591" si="163">L566*F566</f>
        <v>0</v>
      </c>
      <c r="N566" s="105"/>
      <c r="O566" s="105"/>
      <c r="P566" s="105">
        <f t="shared" si="161"/>
        <v>0</v>
      </c>
      <c r="Q566" s="105"/>
      <c r="R566" s="105">
        <f t="shared" si="157"/>
        <v>0</v>
      </c>
      <c r="S566" s="105"/>
      <c r="T566" s="105">
        <f t="shared" si="162"/>
        <v>0</v>
      </c>
      <c r="U566" s="105"/>
      <c r="V566" s="91">
        <f t="shared" si="153"/>
        <v>0</v>
      </c>
      <c r="W566" s="105"/>
      <c r="X566" s="105">
        <f t="shared" si="159"/>
        <v>0</v>
      </c>
      <c r="Y566" s="105"/>
      <c r="Z566" s="105">
        <f t="shared" si="158"/>
        <v>0</v>
      </c>
      <c r="AA566" s="105"/>
      <c r="AB566" s="105">
        <f t="shared" si="160"/>
        <v>0</v>
      </c>
      <c r="AC566" s="105"/>
      <c r="AD566" s="105">
        <f t="shared" si="155"/>
        <v>0</v>
      </c>
      <c r="AE566" s="105"/>
      <c r="AF566" s="105">
        <f t="shared" si="156"/>
        <v>0</v>
      </c>
      <c r="AG566" s="105"/>
      <c r="AH566" s="106"/>
      <c r="AK566" s="106">
        <f t="shared" si="150"/>
        <v>0</v>
      </c>
      <c r="AL566" s="106">
        <f t="shared" si="151"/>
        <v>0</v>
      </c>
      <c r="AQ566" s="107"/>
      <c r="AS566" s="108"/>
    </row>
    <row r="567" spans="1:45" x14ac:dyDescent="0.2">
      <c r="A567" s="112" t="s">
        <v>240</v>
      </c>
      <c r="B567" s="101" t="s">
        <v>241</v>
      </c>
      <c r="C567" s="86" t="s">
        <v>840</v>
      </c>
      <c r="D567" s="92"/>
      <c r="F567" s="102">
        <f>E567</f>
        <v>0</v>
      </c>
      <c r="G567" s="103"/>
      <c r="H567" s="103"/>
      <c r="I567" s="103"/>
      <c r="J567" s="105"/>
      <c r="K567" s="105"/>
      <c r="L567" s="105"/>
      <c r="M567" s="105">
        <f t="shared" si="163"/>
        <v>0</v>
      </c>
      <c r="N567" s="105"/>
      <c r="O567" s="105"/>
      <c r="P567" s="105">
        <f t="shared" si="161"/>
        <v>0</v>
      </c>
      <c r="Q567" s="105"/>
      <c r="R567" s="105">
        <f t="shared" si="157"/>
        <v>0</v>
      </c>
      <c r="S567" s="105"/>
      <c r="T567" s="105">
        <f t="shared" si="162"/>
        <v>0</v>
      </c>
      <c r="U567" s="105"/>
      <c r="V567" s="91">
        <f t="shared" si="153"/>
        <v>0</v>
      </c>
      <c r="W567" s="105"/>
      <c r="X567" s="105">
        <f t="shared" si="159"/>
        <v>0</v>
      </c>
      <c r="Y567" s="105"/>
      <c r="Z567" s="105">
        <f t="shared" si="158"/>
        <v>0</v>
      </c>
      <c r="AA567" s="105"/>
      <c r="AB567" s="105">
        <f t="shared" si="160"/>
        <v>0</v>
      </c>
      <c r="AC567" s="105"/>
      <c r="AD567" s="105">
        <f t="shared" si="155"/>
        <v>0</v>
      </c>
      <c r="AE567" s="105"/>
      <c r="AF567" s="105">
        <f t="shared" si="156"/>
        <v>0</v>
      </c>
      <c r="AG567" s="105"/>
      <c r="AH567" s="106"/>
      <c r="AK567" s="106">
        <f t="shared" si="150"/>
        <v>0</v>
      </c>
      <c r="AL567" s="106">
        <f t="shared" si="151"/>
        <v>0</v>
      </c>
      <c r="AQ567" s="107"/>
      <c r="AS567" s="108"/>
    </row>
    <row r="568" spans="1:45" x14ac:dyDescent="0.2">
      <c r="A568" s="112" t="s">
        <v>240</v>
      </c>
      <c r="B568" s="101"/>
      <c r="C568" s="92" t="s">
        <v>841</v>
      </c>
      <c r="F568" s="104">
        <f>SUM(F567)</f>
        <v>0</v>
      </c>
      <c r="G568" s="104">
        <f>F568</f>
        <v>0</v>
      </c>
      <c r="H568" s="105">
        <f>VLOOKUP(A568,Data!$A$2:$Z$179,24,FALSE)</f>
        <v>9.6389999999999993</v>
      </c>
      <c r="I568" s="105">
        <f>VLOOKUP(A568,Data!$A$2:$Z$179,25,FALSE)</f>
        <v>2.4390000000000001</v>
      </c>
      <c r="J568" s="105">
        <f>VLOOKUP(A568,Data!$A$2:$Z$179,7,FALSE)</f>
        <v>7.2</v>
      </c>
      <c r="K568" s="105">
        <f>$F568*J568</f>
        <v>0</v>
      </c>
      <c r="L568" s="105">
        <f>VLOOKUP(A568,Data!$A$2:$Z$179,8,FALSE)</f>
        <v>0</v>
      </c>
      <c r="M568" s="105">
        <f>L568*F568</f>
        <v>0</v>
      </c>
      <c r="N568" s="105">
        <f>VLOOKUP(A568,Data!$A$2:$Z$179,9,FALSE)</f>
        <v>0</v>
      </c>
      <c r="O568" s="105">
        <f>VLOOKUP(A567,Data!$A$2:$Z$179,10,FALSE)</f>
        <v>0</v>
      </c>
      <c r="P568" s="105">
        <f>O568*F568</f>
        <v>0</v>
      </c>
      <c r="Q568" s="105">
        <f>VLOOKUP(A568,Data!$A$2:$Z$179,11,FALSE)</f>
        <v>0</v>
      </c>
      <c r="R568" s="105">
        <f t="shared" si="157"/>
        <v>0</v>
      </c>
      <c r="S568" s="105">
        <f>VLOOKUP(A568,Data!$A$2:$Z$179,12,FALSE)</f>
        <v>3.9220000000000002</v>
      </c>
      <c r="T568" s="105">
        <f>S568*F568</f>
        <v>0</v>
      </c>
      <c r="U568" s="105">
        <f>VLOOKUP(A568,Data!$A$2:$Z$179,13,FALSE)</f>
        <v>4.2688270004112919E-2</v>
      </c>
      <c r="V568" s="91">
        <f t="shared" si="153"/>
        <v>0</v>
      </c>
      <c r="W568" s="105">
        <f>VLOOKUP(A568,Data!$A$2:$Z$179,22,FALSE)</f>
        <v>0</v>
      </c>
      <c r="X568" s="105">
        <f>W568*F568</f>
        <v>0</v>
      </c>
      <c r="Y568" s="105">
        <f>VLOOKUP(A568,Data!$A$2:$Z$179,19,FALSE)</f>
        <v>0</v>
      </c>
      <c r="Z568" s="105">
        <f t="shared" si="158"/>
        <v>0</v>
      </c>
      <c r="AA568" s="105">
        <f>VLOOKUP(A568,Data!$A$2:$Z$179,20,FALSE)</f>
        <v>0</v>
      </c>
      <c r="AB568" s="105">
        <f t="shared" si="160"/>
        <v>0</v>
      </c>
      <c r="AC568" s="105">
        <f>VLOOKUP(A568,Data!$A$2:$Z$179,21,FALSE)</f>
        <v>0</v>
      </c>
      <c r="AD568" s="105">
        <f t="shared" si="155"/>
        <v>0</v>
      </c>
      <c r="AE568" s="105">
        <f>J568+L568+N568+O568+Q568+S568+U568+W568+Y568+AA568+AC568</f>
        <v>11.164688270004113</v>
      </c>
      <c r="AF568" s="105">
        <f t="shared" si="156"/>
        <v>0</v>
      </c>
      <c r="AG568" s="105"/>
      <c r="AH568" s="106">
        <f>AE568-S568-W568</f>
        <v>7.2426882700041126</v>
      </c>
      <c r="AI568" s="85">
        <f>AH568/AE568</f>
        <v>0.6487138820940358</v>
      </c>
      <c r="AK568" s="106">
        <f t="shared" si="150"/>
        <v>3.9220000000000002</v>
      </c>
      <c r="AL568" s="106">
        <f t="shared" si="151"/>
        <v>3.9220000000000002</v>
      </c>
      <c r="AQ568" s="107"/>
      <c r="AS568" s="108"/>
    </row>
    <row r="569" spans="1:45" x14ac:dyDescent="0.2">
      <c r="B569" s="101"/>
      <c r="C569" s="92"/>
      <c r="D569" s="92"/>
      <c r="F569" s="109"/>
      <c r="G569" s="109"/>
      <c r="H569" s="109"/>
      <c r="I569" s="109"/>
      <c r="J569" s="105"/>
      <c r="K569" s="105"/>
      <c r="L569" s="105"/>
      <c r="M569" s="105">
        <f t="shared" si="163"/>
        <v>0</v>
      </c>
      <c r="N569" s="105"/>
      <c r="O569" s="105"/>
      <c r="P569" s="105">
        <f t="shared" si="161"/>
        <v>0</v>
      </c>
      <c r="Q569" s="105"/>
      <c r="R569" s="105">
        <f t="shared" si="157"/>
        <v>0</v>
      </c>
      <c r="S569" s="105"/>
      <c r="T569" s="105">
        <f t="shared" si="162"/>
        <v>0</v>
      </c>
      <c r="U569" s="105"/>
      <c r="V569" s="91">
        <f t="shared" si="153"/>
        <v>0</v>
      </c>
      <c r="W569" s="105"/>
      <c r="X569" s="105">
        <f t="shared" si="159"/>
        <v>0</v>
      </c>
      <c r="Y569" s="105"/>
      <c r="Z569" s="105">
        <f t="shared" si="158"/>
        <v>0</v>
      </c>
      <c r="AA569" s="105"/>
      <c r="AB569" s="105">
        <f t="shared" si="160"/>
        <v>0</v>
      </c>
      <c r="AC569" s="105"/>
      <c r="AD569" s="105">
        <f t="shared" si="155"/>
        <v>0</v>
      </c>
      <c r="AE569" s="105"/>
      <c r="AF569" s="105">
        <f t="shared" si="156"/>
        <v>0</v>
      </c>
      <c r="AG569" s="105"/>
      <c r="AH569" s="106"/>
      <c r="AK569" s="106">
        <f t="shared" si="150"/>
        <v>0</v>
      </c>
      <c r="AL569" s="106">
        <f t="shared" si="151"/>
        <v>0</v>
      </c>
      <c r="AQ569" s="107"/>
      <c r="AS569" s="108"/>
    </row>
    <row r="570" spans="1:45" x14ac:dyDescent="0.2">
      <c r="A570" s="85" t="s">
        <v>242</v>
      </c>
      <c r="B570" s="101" t="s">
        <v>241</v>
      </c>
      <c r="C570" s="86" t="s">
        <v>842</v>
      </c>
      <c r="D570" s="92"/>
      <c r="F570" s="102">
        <f>E570</f>
        <v>0</v>
      </c>
      <c r="G570" s="103"/>
      <c r="H570" s="103"/>
      <c r="I570" s="103"/>
      <c r="J570" s="105"/>
      <c r="K570" s="105"/>
      <c r="L570" s="105"/>
      <c r="M570" s="105">
        <f t="shared" si="163"/>
        <v>0</v>
      </c>
      <c r="N570" s="105"/>
      <c r="O570" s="105"/>
      <c r="P570" s="105">
        <f t="shared" si="161"/>
        <v>0</v>
      </c>
      <c r="Q570" s="105"/>
      <c r="R570" s="105">
        <f t="shared" si="157"/>
        <v>0</v>
      </c>
      <c r="S570" s="105"/>
      <c r="T570" s="105">
        <f t="shared" si="162"/>
        <v>0</v>
      </c>
      <c r="U570" s="105"/>
      <c r="V570" s="91">
        <f t="shared" si="153"/>
        <v>0</v>
      </c>
      <c r="W570" s="105"/>
      <c r="X570" s="105">
        <f t="shared" si="159"/>
        <v>0</v>
      </c>
      <c r="Y570" s="105"/>
      <c r="Z570" s="105">
        <f t="shared" si="158"/>
        <v>0</v>
      </c>
      <c r="AA570" s="105"/>
      <c r="AB570" s="105">
        <f t="shared" si="160"/>
        <v>0</v>
      </c>
      <c r="AC570" s="105"/>
      <c r="AD570" s="105">
        <f t="shared" si="155"/>
        <v>0</v>
      </c>
      <c r="AE570" s="105"/>
      <c r="AF570" s="105">
        <f t="shared" si="156"/>
        <v>0</v>
      </c>
      <c r="AG570" s="105"/>
      <c r="AH570" s="106"/>
      <c r="AK570" s="106">
        <f t="shared" si="150"/>
        <v>0</v>
      </c>
      <c r="AL570" s="106">
        <f t="shared" si="151"/>
        <v>0</v>
      </c>
      <c r="AQ570" s="107"/>
      <c r="AS570" s="108"/>
    </row>
    <row r="571" spans="1:45" x14ac:dyDescent="0.2">
      <c r="A571" s="85" t="s">
        <v>242</v>
      </c>
      <c r="B571" s="101"/>
      <c r="C571" s="92" t="s">
        <v>843</v>
      </c>
      <c r="F571" s="104">
        <f>SUM(F570)</f>
        <v>0</v>
      </c>
      <c r="G571" s="104">
        <f>F571</f>
        <v>0</v>
      </c>
      <c r="H571" s="105">
        <f>VLOOKUP(A571,Data!$A$2:$Z$179,24,FALSE)</f>
        <v>22.207999999999998</v>
      </c>
      <c r="I571" s="105">
        <f>VLOOKUP(A571,Data!$A$2:$Z$179,25,FALSE)</f>
        <v>1.77</v>
      </c>
      <c r="J571" s="105">
        <f>VLOOKUP(A571,Data!$A$2:$Z$179,7,FALSE)</f>
        <v>20.437999999999999</v>
      </c>
      <c r="K571" s="105">
        <f>$F571*J571</f>
        <v>0</v>
      </c>
      <c r="L571" s="105">
        <f>VLOOKUP(A571,Data!$A$2:$Z$179,8,FALSE)</f>
        <v>0</v>
      </c>
      <c r="M571" s="105">
        <f>L571*F571</f>
        <v>0</v>
      </c>
      <c r="N571" s="105">
        <f>VLOOKUP(A571,Data!$A$2:$Z$179,9,FALSE)</f>
        <v>0</v>
      </c>
      <c r="O571" s="105">
        <f>VLOOKUP(A570,Data!$A$2:$Z$179,10,FALSE)</f>
        <v>0</v>
      </c>
      <c r="P571" s="105">
        <f>O571*F571</f>
        <v>0</v>
      </c>
      <c r="Q571" s="105">
        <f>VLOOKUP(A571,Data!$A$2:$Z$179,11,FALSE)</f>
        <v>0</v>
      </c>
      <c r="R571" s="105">
        <f t="shared" si="157"/>
        <v>0</v>
      </c>
      <c r="S571" s="105">
        <f>VLOOKUP(A571,Data!$A$2:$Z$179,12,FALSE)</f>
        <v>2.2160000000000002</v>
      </c>
      <c r="T571" s="105">
        <f>S571*F571</f>
        <v>0</v>
      </c>
      <c r="U571" s="105">
        <f>VLOOKUP(A571,Data!$A$2:$Z$179,13,FALSE)</f>
        <v>0</v>
      </c>
      <c r="V571" s="91">
        <f t="shared" si="153"/>
        <v>0</v>
      </c>
      <c r="W571" s="105">
        <f>VLOOKUP(A571,Data!$A$2:$Z$179,22,FALSE)</f>
        <v>0</v>
      </c>
      <c r="X571" s="105">
        <f>W571*F571</f>
        <v>0</v>
      </c>
      <c r="Y571" s="105">
        <f>VLOOKUP(A571,Data!$A$2:$Z$179,19,FALSE)</f>
        <v>0</v>
      </c>
      <c r="Z571" s="105">
        <f t="shared" si="158"/>
        <v>0</v>
      </c>
      <c r="AA571" s="105">
        <f>VLOOKUP(A571,Data!$A$2:$Z$179,20,FALSE)</f>
        <v>0</v>
      </c>
      <c r="AB571" s="105">
        <f t="shared" si="160"/>
        <v>0</v>
      </c>
      <c r="AC571" s="105">
        <f>VLOOKUP(A571,Data!$A$2:$Z$179,21,FALSE)</f>
        <v>0</v>
      </c>
      <c r="AD571" s="105">
        <f t="shared" si="155"/>
        <v>0</v>
      </c>
      <c r="AE571" s="105">
        <f>J571+L571+N571+O571+Q571+S571+U571+W571+Y571+AA571+AC571</f>
        <v>22.654</v>
      </c>
      <c r="AF571" s="105">
        <f t="shared" si="156"/>
        <v>0</v>
      </c>
      <c r="AG571" s="105"/>
      <c r="AH571" s="106">
        <f>AE571-S571-W571</f>
        <v>20.437999999999999</v>
      </c>
      <c r="AI571" s="85">
        <f>AH571/AE571</f>
        <v>0.9021806303522556</v>
      </c>
      <c r="AK571" s="106">
        <f t="shared" si="150"/>
        <v>2.2160000000000002</v>
      </c>
      <c r="AL571" s="106">
        <f t="shared" si="151"/>
        <v>2.2160000000000002</v>
      </c>
      <c r="AQ571" s="107"/>
      <c r="AS571" s="108"/>
    </row>
    <row r="572" spans="1:45" x14ac:dyDescent="0.2">
      <c r="B572" s="101"/>
      <c r="C572" s="92"/>
      <c r="D572" s="92"/>
      <c r="F572" s="109"/>
      <c r="G572" s="109"/>
      <c r="H572" s="109"/>
      <c r="I572" s="109"/>
      <c r="J572" s="105"/>
      <c r="K572" s="105"/>
      <c r="L572" s="105"/>
      <c r="M572" s="105">
        <f t="shared" si="163"/>
        <v>0</v>
      </c>
      <c r="N572" s="105"/>
      <c r="O572" s="105"/>
      <c r="P572" s="105">
        <f t="shared" si="161"/>
        <v>0</v>
      </c>
      <c r="Q572" s="105"/>
      <c r="R572" s="105">
        <f t="shared" si="157"/>
        <v>0</v>
      </c>
      <c r="S572" s="105"/>
      <c r="T572" s="105">
        <f t="shared" si="162"/>
        <v>0</v>
      </c>
      <c r="U572" s="105"/>
      <c r="V572" s="91">
        <f t="shared" si="153"/>
        <v>0</v>
      </c>
      <c r="W572" s="105"/>
      <c r="X572" s="105">
        <f t="shared" si="159"/>
        <v>0</v>
      </c>
      <c r="Y572" s="105"/>
      <c r="Z572" s="105">
        <f t="shared" si="158"/>
        <v>0</v>
      </c>
      <c r="AA572" s="105"/>
      <c r="AB572" s="105">
        <f t="shared" si="160"/>
        <v>0</v>
      </c>
      <c r="AC572" s="105"/>
      <c r="AD572" s="105">
        <f t="shared" si="155"/>
        <v>0</v>
      </c>
      <c r="AE572" s="105"/>
      <c r="AF572" s="105">
        <f t="shared" si="156"/>
        <v>0</v>
      </c>
      <c r="AG572" s="105"/>
      <c r="AH572" s="106"/>
      <c r="AK572" s="106">
        <f t="shared" si="150"/>
        <v>0</v>
      </c>
      <c r="AL572" s="106">
        <f t="shared" si="151"/>
        <v>0</v>
      </c>
      <c r="AQ572" s="107"/>
      <c r="AS572" s="108"/>
    </row>
    <row r="573" spans="1:45" x14ac:dyDescent="0.2">
      <c r="A573" s="112" t="s">
        <v>243</v>
      </c>
      <c r="B573" s="101" t="s">
        <v>241</v>
      </c>
      <c r="C573" s="86" t="s">
        <v>844</v>
      </c>
      <c r="D573" s="92"/>
      <c r="F573" s="102">
        <f>E573</f>
        <v>0</v>
      </c>
      <c r="G573" s="102"/>
      <c r="H573" s="102"/>
      <c r="I573" s="102"/>
      <c r="J573" s="105"/>
      <c r="K573" s="105"/>
      <c r="L573" s="105"/>
      <c r="M573" s="105">
        <f t="shared" si="163"/>
        <v>0</v>
      </c>
      <c r="N573" s="105"/>
      <c r="O573" s="105"/>
      <c r="P573" s="105">
        <f t="shared" si="161"/>
        <v>0</v>
      </c>
      <c r="Q573" s="105"/>
      <c r="R573" s="105">
        <f t="shared" si="157"/>
        <v>0</v>
      </c>
      <c r="S573" s="105"/>
      <c r="T573" s="105">
        <f t="shared" si="162"/>
        <v>0</v>
      </c>
      <c r="U573" s="105"/>
      <c r="V573" s="91">
        <f t="shared" si="153"/>
        <v>0</v>
      </c>
      <c r="W573" s="105"/>
      <c r="X573" s="105">
        <f t="shared" si="159"/>
        <v>0</v>
      </c>
      <c r="Y573" s="105"/>
      <c r="Z573" s="105">
        <f t="shared" si="158"/>
        <v>0</v>
      </c>
      <c r="AA573" s="105"/>
      <c r="AB573" s="105">
        <f t="shared" si="160"/>
        <v>0</v>
      </c>
      <c r="AC573" s="105"/>
      <c r="AD573" s="105">
        <f t="shared" si="155"/>
        <v>0</v>
      </c>
      <c r="AE573" s="105"/>
      <c r="AF573" s="105">
        <f t="shared" si="156"/>
        <v>0</v>
      </c>
      <c r="AG573" s="105"/>
      <c r="AH573" s="106"/>
      <c r="AK573" s="106">
        <f t="shared" si="150"/>
        <v>0</v>
      </c>
      <c r="AL573" s="106">
        <f t="shared" si="151"/>
        <v>0</v>
      </c>
      <c r="AQ573" s="107"/>
      <c r="AS573" s="108"/>
    </row>
    <row r="574" spans="1:45" x14ac:dyDescent="0.2">
      <c r="A574" s="112" t="s">
        <v>243</v>
      </c>
      <c r="B574" s="101" t="s">
        <v>16</v>
      </c>
      <c r="C574" s="86" t="s">
        <v>844</v>
      </c>
      <c r="F574" s="102">
        <f>E574</f>
        <v>0</v>
      </c>
      <c r="G574" s="102"/>
      <c r="H574" s="102"/>
      <c r="I574" s="102"/>
      <c r="J574" s="105"/>
      <c r="K574" s="105"/>
      <c r="L574" s="105"/>
      <c r="M574" s="105">
        <f t="shared" si="163"/>
        <v>0</v>
      </c>
      <c r="N574" s="105"/>
      <c r="O574" s="105"/>
      <c r="P574" s="105">
        <f t="shared" si="161"/>
        <v>0</v>
      </c>
      <c r="Q574" s="105"/>
      <c r="R574" s="105">
        <f t="shared" si="157"/>
        <v>0</v>
      </c>
      <c r="S574" s="105"/>
      <c r="T574" s="105">
        <f t="shared" si="162"/>
        <v>0</v>
      </c>
      <c r="U574" s="105"/>
      <c r="V574" s="91">
        <f t="shared" si="153"/>
        <v>0</v>
      </c>
      <c r="W574" s="105"/>
      <c r="X574" s="105">
        <f t="shared" si="159"/>
        <v>0</v>
      </c>
      <c r="Y574" s="105"/>
      <c r="Z574" s="105">
        <f t="shared" si="158"/>
        <v>0</v>
      </c>
      <c r="AA574" s="105"/>
      <c r="AB574" s="105">
        <f>$F573*AA574</f>
        <v>0</v>
      </c>
      <c r="AC574" s="105"/>
      <c r="AD574" s="105">
        <f t="shared" si="155"/>
        <v>0</v>
      </c>
      <c r="AE574" s="105"/>
      <c r="AF574" s="105">
        <f t="shared" si="156"/>
        <v>0</v>
      </c>
      <c r="AG574" s="105"/>
      <c r="AH574" s="106"/>
      <c r="AK574" s="106">
        <f t="shared" si="150"/>
        <v>0</v>
      </c>
      <c r="AL574" s="106">
        <f t="shared" si="151"/>
        <v>0</v>
      </c>
      <c r="AN574" s="116"/>
      <c r="AQ574" s="107"/>
      <c r="AS574" s="108"/>
    </row>
    <row r="575" spans="1:45" x14ac:dyDescent="0.2">
      <c r="A575" s="112" t="s">
        <v>243</v>
      </c>
      <c r="B575" s="101"/>
      <c r="C575" s="92" t="s">
        <v>845</v>
      </c>
      <c r="F575" s="104">
        <f>SUM(F573:F574)</f>
        <v>0</v>
      </c>
      <c r="G575" s="104">
        <f>F575</f>
        <v>0</v>
      </c>
      <c r="H575" s="105">
        <f>VLOOKUP(A575,Data!$A$2:$Z$179,24,FALSE)</f>
        <v>10.845000000000001</v>
      </c>
      <c r="I575" s="105">
        <f>VLOOKUP(A575,Data!$A$2:$Z$179,25,FALSE)</f>
        <v>0</v>
      </c>
      <c r="J575" s="105">
        <f>VLOOKUP(A575,Data!$A$2:$Z$179,7,FALSE)</f>
        <v>10.845000000000001</v>
      </c>
      <c r="K575" s="105">
        <f>$F575*J575</f>
        <v>0</v>
      </c>
      <c r="L575" s="105">
        <f>VLOOKUP(A575,Data!$A$2:$Z$179,8,FALSE)</f>
        <v>0</v>
      </c>
      <c r="M575" s="105">
        <f>L575*F575</f>
        <v>0</v>
      </c>
      <c r="N575" s="105">
        <f>VLOOKUP(A575,Data!$A$2:$Z$179,9,FALSE)</f>
        <v>0</v>
      </c>
      <c r="O575" s="105">
        <f>VLOOKUP(A574,Data!$A$2:$Z$179,10,FALSE)</f>
        <v>3.6000000000000004E-2</v>
      </c>
      <c r="P575" s="105">
        <f>O575*F575</f>
        <v>0</v>
      </c>
      <c r="Q575" s="105">
        <f>VLOOKUP(A575,Data!$A$2:$Z$179,11,FALSE)</f>
        <v>0</v>
      </c>
      <c r="R575" s="105">
        <f t="shared" si="157"/>
        <v>0</v>
      </c>
      <c r="S575" s="105">
        <f>VLOOKUP(A575,Data!$A$2:$Z$179,12,FALSE)</f>
        <v>3.4880000000000004</v>
      </c>
      <c r="T575" s="105">
        <f>S575*F575</f>
        <v>0</v>
      </c>
      <c r="U575" s="105">
        <f>VLOOKUP(A575,Data!$A$2:$Z$179,13,FALSE)</f>
        <v>1.0549907864327662E-2</v>
      </c>
      <c r="V575" s="91">
        <f t="shared" si="153"/>
        <v>0</v>
      </c>
      <c r="W575" s="105">
        <f>VLOOKUP(A575,Data!$A$2:$Z$179,22,FALSE)</f>
        <v>0</v>
      </c>
      <c r="X575" s="105">
        <f>W575*F575</f>
        <v>0</v>
      </c>
      <c r="Y575" s="105">
        <f>VLOOKUP(A575,Data!$A$2:$Z$179,19,FALSE)</f>
        <v>0</v>
      </c>
      <c r="Z575" s="105">
        <f t="shared" si="158"/>
        <v>0</v>
      </c>
      <c r="AA575" s="105">
        <f>VLOOKUP(A575,Data!$A$2:$Z$179,20,FALSE)</f>
        <v>0</v>
      </c>
      <c r="AB575" s="105">
        <f>$F575*AA575</f>
        <v>0</v>
      </c>
      <c r="AC575" s="105">
        <f>VLOOKUP(A575,Data!$A$2:$Z$179,21,FALSE)</f>
        <v>0</v>
      </c>
      <c r="AD575" s="105">
        <f t="shared" si="155"/>
        <v>0</v>
      </c>
      <c r="AE575" s="105">
        <f>J575+L575+N575+O575+Q575+S575+U575+W575+Y575+AA575+AC575</f>
        <v>14.379549907864327</v>
      </c>
      <c r="AF575" s="105">
        <f t="shared" si="156"/>
        <v>0</v>
      </c>
      <c r="AG575" s="105"/>
      <c r="AH575" s="106">
        <f>AE575-S575-W575</f>
        <v>10.891549907864327</v>
      </c>
      <c r="AI575" s="85">
        <f>AH575/AE575</f>
        <v>0.75743329781884372</v>
      </c>
      <c r="AK575" s="106">
        <f t="shared" si="150"/>
        <v>3.5240000000000005</v>
      </c>
      <c r="AL575" s="106">
        <f t="shared" si="151"/>
        <v>3.5240000000000005</v>
      </c>
      <c r="AQ575" s="107"/>
      <c r="AS575" s="108"/>
    </row>
    <row r="576" spans="1:45" x14ac:dyDescent="0.2">
      <c r="B576" s="101"/>
      <c r="C576" s="92"/>
      <c r="D576" s="92"/>
      <c r="F576" s="109"/>
      <c r="G576" s="109"/>
      <c r="H576" s="109"/>
      <c r="I576" s="109"/>
      <c r="J576" s="105"/>
      <c r="K576" s="105"/>
      <c r="L576" s="105"/>
      <c r="M576" s="105">
        <f t="shared" si="163"/>
        <v>0</v>
      </c>
      <c r="N576" s="105"/>
      <c r="O576" s="105"/>
      <c r="P576" s="105">
        <f t="shared" si="161"/>
        <v>0</v>
      </c>
      <c r="Q576" s="105"/>
      <c r="R576" s="105">
        <f t="shared" si="157"/>
        <v>0</v>
      </c>
      <c r="S576" s="105"/>
      <c r="T576" s="105">
        <f t="shared" si="162"/>
        <v>0</v>
      </c>
      <c r="U576" s="105"/>
      <c r="V576" s="91">
        <f t="shared" si="153"/>
        <v>0</v>
      </c>
      <c r="W576" s="105"/>
      <c r="X576" s="105">
        <f t="shared" si="159"/>
        <v>0</v>
      </c>
      <c r="Y576" s="105"/>
      <c r="Z576" s="105">
        <f t="shared" si="158"/>
        <v>0</v>
      </c>
      <c r="AA576" s="105"/>
      <c r="AB576" s="105">
        <f>$F575*AA576</f>
        <v>0</v>
      </c>
      <c r="AC576" s="105"/>
      <c r="AD576" s="105">
        <f t="shared" si="155"/>
        <v>0</v>
      </c>
      <c r="AE576" s="105"/>
      <c r="AF576" s="105">
        <f t="shared" si="156"/>
        <v>0</v>
      </c>
      <c r="AG576" s="105"/>
      <c r="AH576" s="106"/>
      <c r="AK576" s="106">
        <f t="shared" si="150"/>
        <v>0</v>
      </c>
      <c r="AL576" s="106">
        <f t="shared" si="151"/>
        <v>0</v>
      </c>
      <c r="AQ576" s="107"/>
      <c r="AS576" s="108"/>
    </row>
    <row r="577" spans="1:45" x14ac:dyDescent="0.2">
      <c r="A577" s="85" t="s">
        <v>244</v>
      </c>
      <c r="B577" s="101" t="s">
        <v>241</v>
      </c>
      <c r="C577" s="86" t="s">
        <v>846</v>
      </c>
      <c r="D577" s="92"/>
      <c r="F577" s="102">
        <f>E577</f>
        <v>0</v>
      </c>
      <c r="G577" s="103"/>
      <c r="H577" s="103"/>
      <c r="I577" s="103"/>
      <c r="J577" s="105"/>
      <c r="K577" s="105"/>
      <c r="L577" s="105"/>
      <c r="M577" s="105">
        <f t="shared" si="163"/>
        <v>0</v>
      </c>
      <c r="N577" s="105"/>
      <c r="O577" s="105"/>
      <c r="P577" s="105">
        <f t="shared" si="161"/>
        <v>0</v>
      </c>
      <c r="Q577" s="105"/>
      <c r="R577" s="105">
        <f t="shared" si="157"/>
        <v>0</v>
      </c>
      <c r="S577" s="105"/>
      <c r="T577" s="105">
        <f t="shared" si="162"/>
        <v>0</v>
      </c>
      <c r="U577" s="105"/>
      <c r="V577" s="91">
        <f t="shared" si="153"/>
        <v>0</v>
      </c>
      <c r="W577" s="105"/>
      <c r="X577" s="105">
        <f t="shared" si="159"/>
        <v>0</v>
      </c>
      <c r="Y577" s="105"/>
      <c r="Z577" s="105">
        <f t="shared" si="158"/>
        <v>0</v>
      </c>
      <c r="AA577" s="105"/>
      <c r="AB577" s="105">
        <f>$F576*AA577</f>
        <v>0</v>
      </c>
      <c r="AC577" s="105"/>
      <c r="AD577" s="105">
        <f t="shared" si="155"/>
        <v>0</v>
      </c>
      <c r="AE577" s="105"/>
      <c r="AF577" s="105">
        <f t="shared" si="156"/>
        <v>0</v>
      </c>
      <c r="AG577" s="105"/>
      <c r="AH577" s="106"/>
      <c r="AK577" s="106">
        <f t="shared" si="150"/>
        <v>0</v>
      </c>
      <c r="AL577" s="106">
        <f t="shared" si="151"/>
        <v>0</v>
      </c>
      <c r="AQ577" s="107"/>
      <c r="AS577" s="108"/>
    </row>
    <row r="578" spans="1:45" x14ac:dyDescent="0.2">
      <c r="A578" s="85" t="s">
        <v>244</v>
      </c>
      <c r="B578" s="101"/>
      <c r="C578" s="92" t="s">
        <v>847</v>
      </c>
      <c r="F578" s="104">
        <f>SUM(F577)</f>
        <v>0</v>
      </c>
      <c r="G578" s="104">
        <f>F578</f>
        <v>0</v>
      </c>
      <c r="H578" s="105">
        <f>VLOOKUP(A578,Data!$A$2:$Z$179,24,FALSE)</f>
        <v>27</v>
      </c>
      <c r="I578" s="105">
        <f>VLOOKUP(A578,Data!$A$2:$Z$179,25,FALSE)</f>
        <v>0</v>
      </c>
      <c r="J578" s="105">
        <f>VLOOKUP(A578,Data!$A$2:$Z$179,7,FALSE)</f>
        <v>27</v>
      </c>
      <c r="K578" s="105">
        <f>$F578*J578</f>
        <v>0</v>
      </c>
      <c r="L578" s="105">
        <f>VLOOKUP(A578,Data!$A$2:$Z$179,8,FALSE)</f>
        <v>0</v>
      </c>
      <c r="M578" s="105">
        <f>L578*F578</f>
        <v>0</v>
      </c>
      <c r="N578" s="105">
        <f>VLOOKUP(A578,Data!$A$2:$Z$179,9,FALSE)</f>
        <v>0</v>
      </c>
      <c r="O578" s="105">
        <f>VLOOKUP(A577,Data!$A$2:$Z$179,10,FALSE)</f>
        <v>0</v>
      </c>
      <c r="P578" s="105">
        <f>O578*F578</f>
        <v>0</v>
      </c>
      <c r="Q578" s="105">
        <f>VLOOKUP(A578,Data!$A$2:$Z$179,11,FALSE)</f>
        <v>0</v>
      </c>
      <c r="R578" s="105">
        <f t="shared" si="157"/>
        <v>0</v>
      </c>
      <c r="S578" s="105">
        <f>VLOOKUP(A578,Data!$A$2:$Z$179,12,FALSE)</f>
        <v>5.2459999999999996</v>
      </c>
      <c r="T578" s="105">
        <f>S578*F578</f>
        <v>0</v>
      </c>
      <c r="U578" s="105">
        <f>VLOOKUP(A578,Data!$A$2:$Z$179,13,FALSE)</f>
        <v>0</v>
      </c>
      <c r="V578" s="91">
        <f t="shared" si="153"/>
        <v>0</v>
      </c>
      <c r="W578" s="105">
        <f>VLOOKUP(A578,Data!$A$2:$Z$179,22,FALSE)</f>
        <v>0</v>
      </c>
      <c r="X578" s="105">
        <f>W578*F578</f>
        <v>0</v>
      </c>
      <c r="Y578" s="105">
        <f>VLOOKUP(A578,Data!$A$2:$Z$179,19,FALSE)</f>
        <v>0</v>
      </c>
      <c r="Z578" s="105">
        <f t="shared" si="158"/>
        <v>0</v>
      </c>
      <c r="AA578" s="105">
        <f>VLOOKUP(A578,Data!$A$2:$Z$179,20,FALSE)</f>
        <v>0</v>
      </c>
      <c r="AB578" s="105">
        <f>$F578*AA578</f>
        <v>0</v>
      </c>
      <c r="AC578" s="105">
        <f>VLOOKUP(A578,Data!$A$2:$Z$179,21,FALSE)</f>
        <v>0</v>
      </c>
      <c r="AD578" s="105">
        <f t="shared" si="155"/>
        <v>0</v>
      </c>
      <c r="AE578" s="105">
        <f>J578+L578+N578+O578+Q578+S578+U578+W578+Y578+AA578+AC578</f>
        <v>32.246000000000002</v>
      </c>
      <c r="AF578" s="105">
        <f t="shared" si="156"/>
        <v>0</v>
      </c>
      <c r="AG578" s="105"/>
      <c r="AH578" s="106">
        <f>AE578-S578-W578</f>
        <v>27.000000000000004</v>
      </c>
      <c r="AI578" s="85">
        <f>AH578/AE578</f>
        <v>0.83731315512001492</v>
      </c>
      <c r="AK578" s="106">
        <f t="shared" si="150"/>
        <v>5.2459999999999996</v>
      </c>
      <c r="AL578" s="106">
        <f t="shared" si="151"/>
        <v>5.2459999999999996</v>
      </c>
      <c r="AQ578" s="107"/>
      <c r="AS578" s="108"/>
    </row>
    <row r="579" spans="1:45" x14ac:dyDescent="0.2">
      <c r="B579" s="101"/>
      <c r="C579" s="92"/>
      <c r="D579" s="92"/>
      <c r="F579" s="109"/>
      <c r="G579" s="109"/>
      <c r="H579" s="109"/>
      <c r="I579" s="109"/>
      <c r="J579" s="105"/>
      <c r="K579" s="105"/>
      <c r="L579" s="105"/>
      <c r="M579" s="105">
        <f t="shared" si="163"/>
        <v>0</v>
      </c>
      <c r="N579" s="105"/>
      <c r="O579" s="105"/>
      <c r="P579" s="105">
        <f t="shared" si="161"/>
        <v>0</v>
      </c>
      <c r="Q579" s="105"/>
      <c r="R579" s="105">
        <f t="shared" si="157"/>
        <v>0</v>
      </c>
      <c r="S579" s="105"/>
      <c r="T579" s="105">
        <f t="shared" si="162"/>
        <v>0</v>
      </c>
      <c r="U579" s="105"/>
      <c r="V579" s="91">
        <f t="shared" si="153"/>
        <v>0</v>
      </c>
      <c r="W579" s="105"/>
      <c r="X579" s="105">
        <f t="shared" si="159"/>
        <v>0</v>
      </c>
      <c r="Y579" s="105"/>
      <c r="Z579" s="105">
        <f t="shared" si="158"/>
        <v>0</v>
      </c>
      <c r="AA579" s="105"/>
      <c r="AB579" s="105">
        <f>$F579*AA579</f>
        <v>0</v>
      </c>
      <c r="AC579" s="105"/>
      <c r="AD579" s="105">
        <f t="shared" si="155"/>
        <v>0</v>
      </c>
      <c r="AE579" s="105"/>
      <c r="AF579" s="105">
        <f t="shared" si="156"/>
        <v>0</v>
      </c>
      <c r="AG579" s="105"/>
      <c r="AH579" s="106"/>
      <c r="AK579" s="106">
        <f t="shared" si="150"/>
        <v>0</v>
      </c>
      <c r="AL579" s="106">
        <f t="shared" si="151"/>
        <v>0</v>
      </c>
      <c r="AQ579" s="107"/>
      <c r="AS579" s="108"/>
    </row>
    <row r="580" spans="1:45" x14ac:dyDescent="0.2">
      <c r="A580" s="112" t="s">
        <v>245</v>
      </c>
      <c r="B580" s="101" t="s">
        <v>241</v>
      </c>
      <c r="C580" s="86" t="s">
        <v>848</v>
      </c>
      <c r="D580" s="92"/>
      <c r="F580" s="102">
        <f>E580</f>
        <v>0</v>
      </c>
      <c r="G580" s="102"/>
      <c r="H580" s="102"/>
      <c r="I580" s="102"/>
      <c r="J580" s="105"/>
      <c r="K580" s="105"/>
      <c r="L580" s="105"/>
      <c r="M580" s="105">
        <f t="shared" si="163"/>
        <v>0</v>
      </c>
      <c r="N580" s="105"/>
      <c r="O580" s="105"/>
      <c r="P580" s="105">
        <f t="shared" si="161"/>
        <v>0</v>
      </c>
      <c r="Q580" s="105"/>
      <c r="R580" s="105">
        <f t="shared" si="157"/>
        <v>0</v>
      </c>
      <c r="S580" s="105"/>
      <c r="T580" s="105">
        <f t="shared" si="162"/>
        <v>0</v>
      </c>
      <c r="U580" s="105"/>
      <c r="V580" s="91">
        <f t="shared" si="153"/>
        <v>0</v>
      </c>
      <c r="W580" s="105"/>
      <c r="X580" s="105">
        <f t="shared" si="159"/>
        <v>0</v>
      </c>
      <c r="Y580" s="105"/>
      <c r="Z580" s="105">
        <f t="shared" si="158"/>
        <v>0</v>
      </c>
      <c r="AA580" s="105"/>
      <c r="AB580" s="105">
        <f>$F580*AA580</f>
        <v>0</v>
      </c>
      <c r="AC580" s="105"/>
      <c r="AD580" s="105">
        <f t="shared" si="155"/>
        <v>0</v>
      </c>
      <c r="AE580" s="105"/>
      <c r="AF580" s="105">
        <f t="shared" si="156"/>
        <v>0</v>
      </c>
      <c r="AG580" s="105"/>
      <c r="AH580" s="106"/>
      <c r="AK580" s="106">
        <f t="shared" si="150"/>
        <v>0</v>
      </c>
      <c r="AL580" s="106">
        <f t="shared" si="151"/>
        <v>0</v>
      </c>
      <c r="AQ580" s="107"/>
      <c r="AS580" s="108"/>
    </row>
    <row r="581" spans="1:45" x14ac:dyDescent="0.2">
      <c r="A581" s="112" t="s">
        <v>245</v>
      </c>
      <c r="B581" s="101" t="s">
        <v>142</v>
      </c>
      <c r="C581" s="86" t="s">
        <v>848</v>
      </c>
      <c r="F581" s="102">
        <f>E581</f>
        <v>0</v>
      </c>
      <c r="G581" s="102"/>
      <c r="H581" s="102"/>
      <c r="I581" s="102"/>
      <c r="J581" s="105"/>
      <c r="K581" s="105"/>
      <c r="L581" s="105"/>
      <c r="M581" s="105">
        <f t="shared" si="163"/>
        <v>0</v>
      </c>
      <c r="N581" s="105"/>
      <c r="O581" s="105"/>
      <c r="P581" s="105">
        <f t="shared" si="161"/>
        <v>0</v>
      </c>
      <c r="Q581" s="105"/>
      <c r="R581" s="105">
        <f t="shared" si="157"/>
        <v>0</v>
      </c>
      <c r="S581" s="105"/>
      <c r="T581" s="105">
        <f t="shared" si="162"/>
        <v>0</v>
      </c>
      <c r="U581" s="105"/>
      <c r="V581" s="91">
        <f t="shared" si="153"/>
        <v>0</v>
      </c>
      <c r="W581" s="105"/>
      <c r="X581" s="105">
        <f t="shared" si="159"/>
        <v>0</v>
      </c>
      <c r="Y581" s="105"/>
      <c r="Z581" s="105">
        <f t="shared" si="158"/>
        <v>0</v>
      </c>
      <c r="AA581" s="105"/>
      <c r="AB581" s="105">
        <f>$F580*AA581</f>
        <v>0</v>
      </c>
      <c r="AC581" s="105"/>
      <c r="AD581" s="105">
        <f t="shared" si="155"/>
        <v>0</v>
      </c>
      <c r="AE581" s="105"/>
      <c r="AF581" s="105">
        <f t="shared" si="156"/>
        <v>0</v>
      </c>
      <c r="AG581" s="105"/>
      <c r="AH581" s="106"/>
      <c r="AK581" s="106">
        <f t="shared" si="150"/>
        <v>0</v>
      </c>
      <c r="AL581" s="106">
        <f t="shared" si="151"/>
        <v>0</v>
      </c>
      <c r="AQ581" s="107"/>
      <c r="AS581" s="108"/>
    </row>
    <row r="582" spans="1:45" x14ac:dyDescent="0.2">
      <c r="A582" s="112" t="s">
        <v>245</v>
      </c>
      <c r="B582" s="101"/>
      <c r="C582" s="92" t="s">
        <v>849</v>
      </c>
      <c r="F582" s="104">
        <f>SUM(F580:F581)</f>
        <v>0</v>
      </c>
      <c r="G582" s="104">
        <f>F582</f>
        <v>0</v>
      </c>
      <c r="H582" s="105">
        <f>VLOOKUP(A582,Data!$A$2:$Z$179,24,FALSE)</f>
        <v>27</v>
      </c>
      <c r="I582" s="105">
        <f>VLOOKUP(A582,Data!$A$2:$Z$179,25,FALSE)</f>
        <v>7.5860000000000003</v>
      </c>
      <c r="J582" s="105">
        <f>VLOOKUP(A582,Data!$A$2:$Z$179,7,FALSE)</f>
        <v>19.414000000000001</v>
      </c>
      <c r="K582" s="105">
        <f>$F582*J582</f>
        <v>0</v>
      </c>
      <c r="L582" s="105">
        <f>VLOOKUP(A582,Data!$A$2:$Z$179,8,FALSE)</f>
        <v>0</v>
      </c>
      <c r="M582" s="105">
        <f>L582*F582</f>
        <v>0</v>
      </c>
      <c r="N582" s="105">
        <f>VLOOKUP(A582,Data!$A$2:$Z$179,9,FALSE)</f>
        <v>0</v>
      </c>
      <c r="O582" s="105">
        <f>VLOOKUP(A581,Data!$A$2:$Z$179,10,FALSE)</f>
        <v>0</v>
      </c>
      <c r="P582" s="105">
        <f>O582*F582</f>
        <v>0</v>
      </c>
      <c r="Q582" s="105">
        <f>VLOOKUP(A582,Data!$A$2:$Z$179,11,FALSE)</f>
        <v>0</v>
      </c>
      <c r="R582" s="105">
        <f t="shared" si="157"/>
        <v>0</v>
      </c>
      <c r="S582" s="105">
        <f>VLOOKUP(A582,Data!$A$2:$Z$179,12,FALSE)</f>
        <v>1.0430000000000001</v>
      </c>
      <c r="T582" s="105">
        <f>S582*F582</f>
        <v>0</v>
      </c>
      <c r="U582" s="105">
        <f>VLOOKUP(A582,Data!$A$2:$Z$179,13,FALSE)</f>
        <v>5.6721243065096016E-2</v>
      </c>
      <c r="V582" s="91">
        <f t="shared" si="153"/>
        <v>0</v>
      </c>
      <c r="W582" s="105">
        <f>VLOOKUP(A582,Data!$A$2:$Z$179,22,FALSE)</f>
        <v>0</v>
      </c>
      <c r="X582" s="105">
        <f>W582*F582</f>
        <v>0</v>
      </c>
      <c r="Y582" s="105">
        <f>VLOOKUP(A582,Data!$A$2:$Z$179,19,FALSE)</f>
        <v>0</v>
      </c>
      <c r="Z582" s="105">
        <f t="shared" si="158"/>
        <v>0</v>
      </c>
      <c r="AA582" s="105">
        <f>VLOOKUP(A582,Data!$A$2:$Z$179,20,FALSE)</f>
        <v>0</v>
      </c>
      <c r="AB582" s="105">
        <f>$F582*AA582</f>
        <v>0</v>
      </c>
      <c r="AC582" s="105">
        <f>VLOOKUP(A582,Data!$A$2:$Z$179,21,FALSE)</f>
        <v>0</v>
      </c>
      <c r="AD582" s="105">
        <f t="shared" si="155"/>
        <v>0</v>
      </c>
      <c r="AE582" s="105">
        <f>J582+L582+N582+O582+Q582+S582+U582+W582+Y582+AA582+AC582</f>
        <v>20.513721243065095</v>
      </c>
      <c r="AF582" s="105">
        <f t="shared" si="156"/>
        <v>0</v>
      </c>
      <c r="AG582" s="105"/>
      <c r="AH582" s="106">
        <f>AE582-S582-W582</f>
        <v>19.470721243065096</v>
      </c>
      <c r="AI582" s="85">
        <f>AH582/AE582</f>
        <v>0.94915598259128153</v>
      </c>
      <c r="AK582" s="106">
        <f t="shared" si="150"/>
        <v>1.0430000000000001</v>
      </c>
      <c r="AL582" s="106">
        <f t="shared" si="151"/>
        <v>1.0430000000000001</v>
      </c>
      <c r="AQ582" s="107"/>
      <c r="AR582" s="112"/>
      <c r="AS582" s="108"/>
    </row>
    <row r="583" spans="1:45" x14ac:dyDescent="0.2">
      <c r="B583" s="101"/>
      <c r="C583" s="92"/>
      <c r="D583" s="92"/>
      <c r="F583" s="109"/>
      <c r="G583" s="109"/>
      <c r="H583" s="109"/>
      <c r="I583" s="109"/>
      <c r="J583" s="105"/>
      <c r="K583" s="105"/>
      <c r="L583" s="105"/>
      <c r="M583" s="105">
        <f t="shared" si="163"/>
        <v>0</v>
      </c>
      <c r="N583" s="105"/>
      <c r="O583" s="105"/>
      <c r="P583" s="105">
        <f t="shared" si="161"/>
        <v>0</v>
      </c>
      <c r="Q583" s="105"/>
      <c r="R583" s="105">
        <f t="shared" si="157"/>
        <v>0</v>
      </c>
      <c r="S583" s="105"/>
      <c r="T583" s="105">
        <f t="shared" si="162"/>
        <v>0</v>
      </c>
      <c r="U583" s="105"/>
      <c r="V583" s="91">
        <f t="shared" si="153"/>
        <v>0</v>
      </c>
      <c r="W583" s="105"/>
      <c r="X583" s="105">
        <f t="shared" si="159"/>
        <v>0</v>
      </c>
      <c r="Y583" s="105"/>
      <c r="Z583" s="105">
        <f t="shared" si="158"/>
        <v>0</v>
      </c>
      <c r="AA583" s="105"/>
      <c r="AB583" s="105">
        <f>$F582*AA583</f>
        <v>0</v>
      </c>
      <c r="AC583" s="105"/>
      <c r="AD583" s="105">
        <f t="shared" si="155"/>
        <v>0</v>
      </c>
      <c r="AE583" s="105"/>
      <c r="AF583" s="105">
        <f t="shared" si="156"/>
        <v>0</v>
      </c>
      <c r="AG583" s="105"/>
      <c r="AH583" s="106"/>
      <c r="AK583" s="106">
        <f t="shared" si="150"/>
        <v>0</v>
      </c>
      <c r="AL583" s="106">
        <f t="shared" si="151"/>
        <v>0</v>
      </c>
      <c r="AQ583" s="107"/>
      <c r="AS583" s="108"/>
    </row>
    <row r="584" spans="1:45" x14ac:dyDescent="0.2">
      <c r="A584" s="112" t="s">
        <v>246</v>
      </c>
      <c r="B584" s="101" t="s">
        <v>241</v>
      </c>
      <c r="C584" s="113" t="s">
        <v>850</v>
      </c>
      <c r="D584" s="92"/>
      <c r="F584" s="102">
        <f>E584</f>
        <v>0</v>
      </c>
      <c r="G584" s="103"/>
      <c r="H584" s="103"/>
      <c r="I584" s="103"/>
      <c r="J584" s="105"/>
      <c r="K584" s="105"/>
      <c r="L584" s="105"/>
      <c r="M584" s="105">
        <f t="shared" si="163"/>
        <v>0</v>
      </c>
      <c r="N584" s="105"/>
      <c r="O584" s="105"/>
      <c r="P584" s="105">
        <f t="shared" si="161"/>
        <v>0</v>
      </c>
      <c r="Q584" s="105"/>
      <c r="R584" s="105">
        <f t="shared" si="157"/>
        <v>0</v>
      </c>
      <c r="S584" s="105"/>
      <c r="T584" s="105">
        <f t="shared" si="162"/>
        <v>0</v>
      </c>
      <c r="U584" s="105"/>
      <c r="V584" s="91">
        <f t="shared" si="153"/>
        <v>0</v>
      </c>
      <c r="W584" s="105"/>
      <c r="X584" s="105">
        <f t="shared" si="159"/>
        <v>0</v>
      </c>
      <c r="Y584" s="105"/>
      <c r="Z584" s="105">
        <f t="shared" si="158"/>
        <v>0</v>
      </c>
      <c r="AA584" s="105"/>
      <c r="AB584" s="105">
        <f>$F583*AA584</f>
        <v>0</v>
      </c>
      <c r="AC584" s="105"/>
      <c r="AD584" s="105">
        <f t="shared" si="155"/>
        <v>0</v>
      </c>
      <c r="AE584" s="105"/>
      <c r="AF584" s="105">
        <f t="shared" si="156"/>
        <v>0</v>
      </c>
      <c r="AG584" s="105"/>
      <c r="AH584" s="106"/>
      <c r="AK584" s="106">
        <f t="shared" ref="AK584:AK618" si="164">O584+Q584+S584</f>
        <v>0</v>
      </c>
      <c r="AL584" s="106">
        <f t="shared" ref="AL584:AL618" si="165">O584+Q584+S584</f>
        <v>0</v>
      </c>
      <c r="AQ584" s="107"/>
      <c r="AS584" s="108"/>
    </row>
    <row r="585" spans="1:45" x14ac:dyDescent="0.2">
      <c r="A585" s="112" t="s">
        <v>246</v>
      </c>
      <c r="B585" s="101"/>
      <c r="C585" s="92" t="s">
        <v>851</v>
      </c>
      <c r="F585" s="104">
        <f>SUM(F584)</f>
        <v>0</v>
      </c>
      <c r="G585" s="104">
        <f>F585</f>
        <v>0</v>
      </c>
      <c r="H585" s="105">
        <f>VLOOKUP(A585,Data!$A$2:$Z$179,24,FALSE)</f>
        <v>27</v>
      </c>
      <c r="I585" s="105">
        <f>VLOOKUP(A585,Data!$A$2:$Z$179,25,FALSE)</f>
        <v>0</v>
      </c>
      <c r="J585" s="105">
        <f>VLOOKUP(A585,Data!$A$2:$Z$179,7,FALSE)</f>
        <v>27</v>
      </c>
      <c r="K585" s="105">
        <f>$F585*J585</f>
        <v>0</v>
      </c>
      <c r="L585" s="105">
        <f>VLOOKUP(A585,Data!$A$2:$Z$179,8,FALSE)</f>
        <v>0</v>
      </c>
      <c r="M585" s="105">
        <f>L585*F585</f>
        <v>0</v>
      </c>
      <c r="N585" s="105">
        <f>VLOOKUP(A585,Data!$A$2:$Z$179,9,FALSE)</f>
        <v>0</v>
      </c>
      <c r="O585" s="105">
        <f>VLOOKUP(A584,Data!$A$2:$Z$179,10,FALSE)</f>
        <v>0</v>
      </c>
      <c r="P585" s="105">
        <f>O585*F585</f>
        <v>0</v>
      </c>
      <c r="Q585" s="105">
        <f>VLOOKUP(A585,Data!$A$2:$Z$179,11,FALSE)</f>
        <v>0</v>
      </c>
      <c r="R585" s="105">
        <f t="shared" si="157"/>
        <v>0</v>
      </c>
      <c r="S585" s="105">
        <f>VLOOKUP(A585,Data!$A$2:$Z$179,12,FALSE)</f>
        <v>0</v>
      </c>
      <c r="T585" s="105">
        <f>S585*F585</f>
        <v>0</v>
      </c>
      <c r="U585" s="105">
        <f>VLOOKUP(A585,Data!$A$2:$Z$179,13,FALSE)</f>
        <v>0.33008032977268381</v>
      </c>
      <c r="V585" s="91">
        <f t="shared" si="153"/>
        <v>0</v>
      </c>
      <c r="W585" s="105">
        <f>VLOOKUP(A585,Data!$A$2:$Z$179,22,FALSE)</f>
        <v>0</v>
      </c>
      <c r="X585" s="105">
        <f>W585*F585</f>
        <v>0</v>
      </c>
      <c r="Y585" s="105">
        <f>VLOOKUP(A585,Data!$A$2:$Z$179,19,FALSE)</f>
        <v>0</v>
      </c>
      <c r="Z585" s="105">
        <f t="shared" si="158"/>
        <v>0</v>
      </c>
      <c r="AA585" s="105">
        <f>VLOOKUP(A585,Data!$A$2:$Z$179,20,FALSE)</f>
        <v>0</v>
      </c>
      <c r="AB585" s="105">
        <f>$F585*AA585</f>
        <v>0</v>
      </c>
      <c r="AC585" s="105">
        <f>VLOOKUP(A585,Data!$A$2:$Z$179,21,FALSE)</f>
        <v>0</v>
      </c>
      <c r="AD585" s="105">
        <f t="shared" si="155"/>
        <v>0</v>
      </c>
      <c r="AE585" s="105">
        <f>J585+L585+N585+O585+Q585+S585+U585+W585+Y585+AA585+AC585</f>
        <v>27.330080329772684</v>
      </c>
      <c r="AF585" s="105">
        <f t="shared" si="156"/>
        <v>0</v>
      </c>
      <c r="AG585" s="105"/>
      <c r="AH585" s="106">
        <f>AE585-S585-W585</f>
        <v>27.330080329772684</v>
      </c>
      <c r="AI585" s="85">
        <f>AH585/AE585</f>
        <v>1</v>
      </c>
      <c r="AK585" s="106">
        <f t="shared" si="164"/>
        <v>0</v>
      </c>
      <c r="AL585" s="106">
        <f t="shared" si="165"/>
        <v>0</v>
      </c>
      <c r="AQ585" s="107"/>
      <c r="AS585" s="108"/>
    </row>
    <row r="586" spans="1:45" x14ac:dyDescent="0.2">
      <c r="B586" s="101"/>
      <c r="C586" s="92"/>
      <c r="D586" s="92"/>
      <c r="F586" s="109"/>
      <c r="G586" s="109"/>
      <c r="H586" s="109"/>
      <c r="I586" s="109"/>
      <c r="J586" s="105"/>
      <c r="K586" s="105"/>
      <c r="L586" s="105"/>
      <c r="M586" s="105">
        <f t="shared" si="163"/>
        <v>0</v>
      </c>
      <c r="N586" s="105"/>
      <c r="O586" s="105"/>
      <c r="P586" s="105">
        <f t="shared" si="161"/>
        <v>0</v>
      </c>
      <c r="Q586" s="105"/>
      <c r="R586" s="105">
        <f t="shared" si="157"/>
        <v>0</v>
      </c>
      <c r="S586" s="105"/>
      <c r="T586" s="105">
        <f t="shared" si="162"/>
        <v>0</v>
      </c>
      <c r="U586" s="105"/>
      <c r="V586" s="91">
        <f t="shared" si="153"/>
        <v>0</v>
      </c>
      <c r="W586" s="105"/>
      <c r="X586" s="105">
        <f t="shared" si="159"/>
        <v>0</v>
      </c>
      <c r="Y586" s="105"/>
      <c r="Z586" s="105">
        <f t="shared" si="158"/>
        <v>0</v>
      </c>
      <c r="AA586" s="105"/>
      <c r="AB586" s="105">
        <f t="shared" ref="AB586:AB597" si="166">$F586*AA586</f>
        <v>0</v>
      </c>
      <c r="AC586" s="105"/>
      <c r="AD586" s="105">
        <f t="shared" si="155"/>
        <v>0</v>
      </c>
      <c r="AE586" s="105"/>
      <c r="AF586" s="105">
        <f t="shared" si="156"/>
        <v>0</v>
      </c>
      <c r="AG586" s="105"/>
      <c r="AH586" s="106"/>
      <c r="AK586" s="106">
        <f t="shared" si="164"/>
        <v>0</v>
      </c>
      <c r="AL586" s="106">
        <f t="shared" si="165"/>
        <v>0</v>
      </c>
      <c r="AQ586" s="107"/>
      <c r="AR586" s="112"/>
      <c r="AS586" s="108"/>
    </row>
    <row r="587" spans="1:45" x14ac:dyDescent="0.2">
      <c r="A587" s="85" t="s">
        <v>247</v>
      </c>
      <c r="B587" s="101" t="s">
        <v>241</v>
      </c>
      <c r="C587" s="86" t="s">
        <v>852</v>
      </c>
      <c r="D587" s="92"/>
      <c r="F587" s="102">
        <f>E587</f>
        <v>0</v>
      </c>
      <c r="G587" s="103"/>
      <c r="H587" s="103"/>
      <c r="I587" s="103"/>
      <c r="J587" s="105"/>
      <c r="K587" s="105"/>
      <c r="L587" s="105"/>
      <c r="M587" s="105">
        <f t="shared" si="163"/>
        <v>0</v>
      </c>
      <c r="N587" s="105"/>
      <c r="O587" s="105"/>
      <c r="P587" s="105">
        <f t="shared" si="161"/>
        <v>0</v>
      </c>
      <c r="Q587" s="105"/>
      <c r="R587" s="105">
        <f t="shared" si="157"/>
        <v>0</v>
      </c>
      <c r="S587" s="105"/>
      <c r="T587" s="105">
        <f t="shared" si="162"/>
        <v>0</v>
      </c>
      <c r="U587" s="105"/>
      <c r="V587" s="91">
        <f t="shared" si="153"/>
        <v>0</v>
      </c>
      <c r="W587" s="105"/>
      <c r="X587" s="105">
        <f t="shared" si="159"/>
        <v>0</v>
      </c>
      <c r="Y587" s="105"/>
      <c r="Z587" s="105">
        <f t="shared" si="158"/>
        <v>0</v>
      </c>
      <c r="AA587" s="105"/>
      <c r="AB587" s="105">
        <f t="shared" si="166"/>
        <v>0</v>
      </c>
      <c r="AC587" s="105"/>
      <c r="AD587" s="105">
        <f t="shared" si="155"/>
        <v>0</v>
      </c>
      <c r="AE587" s="105"/>
      <c r="AF587" s="105">
        <f t="shared" si="156"/>
        <v>0</v>
      </c>
      <c r="AG587" s="105"/>
      <c r="AH587" s="106"/>
      <c r="AK587" s="106">
        <f t="shared" si="164"/>
        <v>0</v>
      </c>
      <c r="AL587" s="106">
        <f t="shared" si="165"/>
        <v>0</v>
      </c>
      <c r="AQ587" s="107"/>
      <c r="AR587" s="112"/>
      <c r="AS587" s="108"/>
    </row>
    <row r="588" spans="1:45" x14ac:dyDescent="0.2">
      <c r="A588" s="85" t="s">
        <v>247</v>
      </c>
      <c r="B588" s="101"/>
      <c r="C588" s="92" t="s">
        <v>853</v>
      </c>
      <c r="F588" s="104">
        <f>SUM(F587)</f>
        <v>0</v>
      </c>
      <c r="G588" s="104">
        <f>F588</f>
        <v>0</v>
      </c>
      <c r="H588" s="105">
        <f>VLOOKUP(A588,Data!$A$2:$Z$179,24,FALSE)</f>
        <v>5.6239999999999997</v>
      </c>
      <c r="I588" s="105">
        <f>VLOOKUP(A588,Data!$A$2:$Z$179,25,FALSE)</f>
        <v>0</v>
      </c>
      <c r="J588" s="105">
        <f>VLOOKUP(A588,Data!$A$2:$Z$179,7,FALSE)</f>
        <v>5.6239999999999997</v>
      </c>
      <c r="K588" s="105">
        <f>$F588*J588</f>
        <v>0</v>
      </c>
      <c r="L588" s="105">
        <f>VLOOKUP(A588,Data!$A$2:$Z$179,8,FALSE)</f>
        <v>0</v>
      </c>
      <c r="M588" s="105">
        <f>L588*F588</f>
        <v>0</v>
      </c>
      <c r="N588" s="105">
        <f>VLOOKUP(A588,Data!$A$2:$Z$179,9,FALSE)</f>
        <v>0</v>
      </c>
      <c r="O588" s="105">
        <f>VLOOKUP(A587,Data!$A$2:$Z$179,10,FALSE)</f>
        <v>0</v>
      </c>
      <c r="P588" s="105">
        <f>O588*F588</f>
        <v>0</v>
      </c>
      <c r="Q588" s="105">
        <f>VLOOKUP(A588,Data!$A$2:$Z$179,11,FALSE)</f>
        <v>0</v>
      </c>
      <c r="R588" s="105">
        <f t="shared" si="157"/>
        <v>0</v>
      </c>
      <c r="S588" s="105">
        <f>VLOOKUP(A588,Data!$A$2:$Z$179,12,FALSE)</f>
        <v>1.7769999999999999</v>
      </c>
      <c r="T588" s="105">
        <f>S588*F588</f>
        <v>0</v>
      </c>
      <c r="U588" s="105">
        <f>VLOOKUP(A588,Data!$A$2:$Z$179,13,FALSE)</f>
        <v>7.7553110582502085E-3</v>
      </c>
      <c r="V588" s="91">
        <f t="shared" si="153"/>
        <v>0</v>
      </c>
      <c r="W588" s="105">
        <f>VLOOKUP(A588,Data!$A$2:$Z$179,22,FALSE)</f>
        <v>0</v>
      </c>
      <c r="X588" s="105">
        <f>W588*F588</f>
        <v>0</v>
      </c>
      <c r="Y588" s="105">
        <f>VLOOKUP(A588,Data!$A$2:$Z$179,19,FALSE)</f>
        <v>0</v>
      </c>
      <c r="Z588" s="105">
        <f t="shared" si="158"/>
        <v>0</v>
      </c>
      <c r="AA588" s="105">
        <f>VLOOKUP(A588,Data!$A$2:$Z$179,20,FALSE)</f>
        <v>0</v>
      </c>
      <c r="AB588" s="105">
        <f t="shared" si="166"/>
        <v>0</v>
      </c>
      <c r="AC588" s="105">
        <f>VLOOKUP(A588,Data!$A$2:$Z$179,21,FALSE)</f>
        <v>0</v>
      </c>
      <c r="AD588" s="105">
        <f t="shared" si="155"/>
        <v>0</v>
      </c>
      <c r="AE588" s="105">
        <f>J588+L588+N588+O588+Q588+S588+U588+W588+Y588+AA588+AC588</f>
        <v>7.4087553110582496</v>
      </c>
      <c r="AF588" s="105">
        <f t="shared" si="156"/>
        <v>0</v>
      </c>
      <c r="AG588" s="105"/>
      <c r="AH588" s="106">
        <f>AE588-S588-W588</f>
        <v>5.6317553110582494</v>
      </c>
      <c r="AI588" s="85">
        <f>AH588/AE588</f>
        <v>0.76014864502979818</v>
      </c>
      <c r="AK588" s="106">
        <f t="shared" si="164"/>
        <v>1.7769999999999999</v>
      </c>
      <c r="AL588" s="106">
        <f t="shared" si="165"/>
        <v>1.7769999999999999</v>
      </c>
      <c r="AQ588" s="107"/>
      <c r="AS588" s="108"/>
    </row>
    <row r="589" spans="1:45" x14ac:dyDescent="0.2">
      <c r="B589" s="101"/>
      <c r="C589" s="92"/>
      <c r="D589" s="92"/>
      <c r="F589" s="109"/>
      <c r="G589" s="109"/>
      <c r="H589" s="109"/>
      <c r="I589" s="109"/>
      <c r="J589" s="105"/>
      <c r="K589" s="105"/>
      <c r="L589" s="105"/>
      <c r="M589" s="105">
        <f t="shared" si="163"/>
        <v>0</v>
      </c>
      <c r="N589" s="105"/>
      <c r="O589" s="105"/>
      <c r="P589" s="105">
        <f t="shared" si="161"/>
        <v>0</v>
      </c>
      <c r="Q589" s="105"/>
      <c r="R589" s="105">
        <f t="shared" si="157"/>
        <v>0</v>
      </c>
      <c r="S589" s="105"/>
      <c r="T589" s="105">
        <f t="shared" si="162"/>
        <v>0</v>
      </c>
      <c r="U589" s="105"/>
      <c r="V589" s="91">
        <f t="shared" si="153"/>
        <v>0</v>
      </c>
      <c r="W589" s="105"/>
      <c r="X589" s="105">
        <f t="shared" si="159"/>
        <v>0</v>
      </c>
      <c r="Y589" s="105"/>
      <c r="Z589" s="105">
        <f t="shared" si="158"/>
        <v>0</v>
      </c>
      <c r="AA589" s="105"/>
      <c r="AB589" s="105">
        <f t="shared" si="166"/>
        <v>0</v>
      </c>
      <c r="AC589" s="105"/>
      <c r="AD589" s="105">
        <f t="shared" si="155"/>
        <v>0</v>
      </c>
      <c r="AE589" s="105"/>
      <c r="AF589" s="105">
        <f t="shared" si="156"/>
        <v>0</v>
      </c>
      <c r="AG589" s="105"/>
      <c r="AH589" s="106"/>
      <c r="AK589" s="106">
        <f t="shared" si="164"/>
        <v>0</v>
      </c>
      <c r="AL589" s="106">
        <f t="shared" si="165"/>
        <v>0</v>
      </c>
      <c r="AQ589" s="107"/>
      <c r="AS589" s="108"/>
    </row>
    <row r="590" spans="1:45" x14ac:dyDescent="0.2">
      <c r="A590" s="112" t="s">
        <v>248</v>
      </c>
      <c r="B590" s="113" t="s">
        <v>241</v>
      </c>
      <c r="C590" s="113" t="s">
        <v>854</v>
      </c>
      <c r="D590" s="92"/>
      <c r="F590" s="102">
        <f>E590</f>
        <v>0</v>
      </c>
      <c r="G590" s="103"/>
      <c r="H590" s="103"/>
      <c r="I590" s="103"/>
      <c r="J590" s="105"/>
      <c r="K590" s="105"/>
      <c r="L590" s="105"/>
      <c r="M590" s="105">
        <f t="shared" si="163"/>
        <v>0</v>
      </c>
      <c r="N590" s="105"/>
      <c r="O590" s="105"/>
      <c r="P590" s="105">
        <f t="shared" si="161"/>
        <v>0</v>
      </c>
      <c r="Q590" s="105"/>
      <c r="R590" s="105">
        <f t="shared" si="157"/>
        <v>0</v>
      </c>
      <c r="S590" s="105"/>
      <c r="T590" s="105">
        <f t="shared" si="162"/>
        <v>0</v>
      </c>
      <c r="U590" s="105"/>
      <c r="V590" s="91">
        <f t="shared" si="153"/>
        <v>0</v>
      </c>
      <c r="W590" s="105"/>
      <c r="X590" s="105">
        <f t="shared" si="159"/>
        <v>0</v>
      </c>
      <c r="Y590" s="105"/>
      <c r="Z590" s="105">
        <f t="shared" si="158"/>
        <v>0</v>
      </c>
      <c r="AA590" s="105"/>
      <c r="AB590" s="105">
        <f t="shared" si="166"/>
        <v>0</v>
      </c>
      <c r="AC590" s="105"/>
      <c r="AD590" s="105">
        <f t="shared" si="155"/>
        <v>0</v>
      </c>
      <c r="AE590" s="105"/>
      <c r="AF590" s="105">
        <f t="shared" si="156"/>
        <v>0</v>
      </c>
      <c r="AG590" s="105"/>
      <c r="AH590" s="106"/>
      <c r="AK590" s="106">
        <f t="shared" si="164"/>
        <v>0</v>
      </c>
      <c r="AL590" s="106">
        <f t="shared" si="165"/>
        <v>0</v>
      </c>
      <c r="AQ590" s="107"/>
      <c r="AS590" s="108"/>
    </row>
    <row r="591" spans="1:45" x14ac:dyDescent="0.2">
      <c r="A591" s="112" t="s">
        <v>248</v>
      </c>
      <c r="B591" s="101" t="s">
        <v>519</v>
      </c>
      <c r="C591" s="113" t="s">
        <v>854</v>
      </c>
      <c r="D591" s="92"/>
      <c r="F591" s="102">
        <f>E591</f>
        <v>0</v>
      </c>
      <c r="G591" s="103"/>
      <c r="H591" s="103"/>
      <c r="I591" s="103"/>
      <c r="J591" s="105"/>
      <c r="K591" s="105"/>
      <c r="L591" s="105"/>
      <c r="M591" s="105">
        <f t="shared" si="163"/>
        <v>0</v>
      </c>
      <c r="N591" s="105"/>
      <c r="O591" s="105"/>
      <c r="P591" s="105">
        <f t="shared" si="161"/>
        <v>0</v>
      </c>
      <c r="Q591" s="105"/>
      <c r="R591" s="105">
        <f t="shared" si="157"/>
        <v>0</v>
      </c>
      <c r="S591" s="105"/>
      <c r="T591" s="105">
        <f t="shared" si="162"/>
        <v>0</v>
      </c>
      <c r="U591" s="105"/>
      <c r="V591" s="91">
        <f t="shared" si="153"/>
        <v>0</v>
      </c>
      <c r="W591" s="105"/>
      <c r="X591" s="105">
        <f t="shared" si="159"/>
        <v>0</v>
      </c>
      <c r="Y591" s="105"/>
      <c r="Z591" s="105">
        <f t="shared" si="158"/>
        <v>0</v>
      </c>
      <c r="AA591" s="105"/>
      <c r="AB591" s="105">
        <f t="shared" si="166"/>
        <v>0</v>
      </c>
      <c r="AC591" s="105"/>
      <c r="AD591" s="105">
        <f t="shared" si="155"/>
        <v>0</v>
      </c>
      <c r="AE591" s="105"/>
      <c r="AF591" s="105"/>
      <c r="AG591" s="105"/>
      <c r="AH591" s="106"/>
      <c r="AK591" s="106">
        <f t="shared" si="164"/>
        <v>0</v>
      </c>
      <c r="AL591" s="106">
        <f t="shared" si="165"/>
        <v>0</v>
      </c>
      <c r="AQ591" s="107"/>
      <c r="AR591" s="112"/>
      <c r="AS591" s="108"/>
    </row>
    <row r="592" spans="1:45" x14ac:dyDescent="0.2">
      <c r="A592" s="112" t="s">
        <v>248</v>
      </c>
      <c r="B592" s="101"/>
      <c r="C592" s="92" t="s">
        <v>855</v>
      </c>
      <c r="F592" s="104">
        <f>SUM(F590:F591)</f>
        <v>0</v>
      </c>
      <c r="G592" s="104">
        <f>F592</f>
        <v>0</v>
      </c>
      <c r="H592" s="105">
        <f>VLOOKUP(A592,Data!$A$2:$Z$179,24,FALSE)</f>
        <v>12.143000000000001</v>
      </c>
      <c r="I592" s="105">
        <f>VLOOKUP(A592,Data!$A$2:$Z$179,25,FALSE)</f>
        <v>0</v>
      </c>
      <c r="J592" s="105">
        <f>VLOOKUP(A592,Data!$A$2:$Z$179,7,FALSE)</f>
        <v>12.143000000000001</v>
      </c>
      <c r="K592" s="105">
        <f>$F592*J592</f>
        <v>0</v>
      </c>
      <c r="L592" s="105">
        <f>VLOOKUP(A592,Data!$A$2:$Z$179,8,FALSE)</f>
        <v>0</v>
      </c>
      <c r="M592" s="105">
        <f>L592*F592</f>
        <v>0</v>
      </c>
      <c r="N592" s="105">
        <f>VLOOKUP(A592,Data!$A$2:$Z$179,9,FALSE)</f>
        <v>0</v>
      </c>
      <c r="O592" s="105">
        <f>VLOOKUP(A591,Data!$A$2:$Z$179,10,FALSE)</f>
        <v>0</v>
      </c>
      <c r="P592" s="105">
        <f>O592*F592</f>
        <v>0</v>
      </c>
      <c r="Q592" s="105">
        <f>VLOOKUP(A592,Data!$A$2:$Z$179,11,FALSE)</f>
        <v>0</v>
      </c>
      <c r="R592" s="105">
        <f t="shared" si="157"/>
        <v>0</v>
      </c>
      <c r="S592" s="105">
        <f>VLOOKUP(A592,Data!$A$2:$Z$179,12,FALSE)</f>
        <v>2.44</v>
      </c>
      <c r="T592" s="105">
        <f>S592*F592</f>
        <v>0</v>
      </c>
      <c r="U592" s="105">
        <f>VLOOKUP(A592,Data!$A$2:$Z$179,13,FALSE)</f>
        <v>4.3071026509921055E-2</v>
      </c>
      <c r="V592" s="91">
        <f t="shared" si="153"/>
        <v>0</v>
      </c>
      <c r="W592" s="105">
        <f>VLOOKUP(A592,Data!$A$2:$Z$179,22,FALSE)</f>
        <v>0</v>
      </c>
      <c r="X592" s="105">
        <f>W592*F592</f>
        <v>0</v>
      </c>
      <c r="Y592" s="105">
        <f>VLOOKUP(A592,Data!$A$2:$Z$179,19,FALSE)</f>
        <v>0</v>
      </c>
      <c r="Z592" s="105">
        <f t="shared" si="158"/>
        <v>0</v>
      </c>
      <c r="AA592" s="105">
        <f>VLOOKUP(A592,Data!$A$2:$Z$179,20,FALSE)</f>
        <v>0</v>
      </c>
      <c r="AB592" s="105">
        <f t="shared" si="166"/>
        <v>0</v>
      </c>
      <c r="AC592" s="105">
        <f>VLOOKUP(A592,Data!$A$2:$Z$179,21,FALSE)</f>
        <v>0</v>
      </c>
      <c r="AD592" s="105">
        <f t="shared" si="155"/>
        <v>0</v>
      </c>
      <c r="AE592" s="105">
        <f>J592+L592+N592+O592+Q592+S592+U592+W592+Y592+AA592+AC592</f>
        <v>14.626071026509921</v>
      </c>
      <c r="AF592" s="105">
        <f t="shared" ref="AF592:AF612" si="167">$F592*AE592</f>
        <v>0</v>
      </c>
      <c r="AG592" s="105"/>
      <c r="AH592" s="106">
        <f>AE592-S592-W592</f>
        <v>12.186071026509921</v>
      </c>
      <c r="AI592" s="85">
        <f>AH592/AE592</f>
        <v>0.83317461021640937</v>
      </c>
      <c r="AK592" s="106">
        <f t="shared" si="164"/>
        <v>2.44</v>
      </c>
      <c r="AL592" s="106">
        <f t="shared" si="165"/>
        <v>2.44</v>
      </c>
      <c r="AQ592" s="107"/>
      <c r="AR592" s="112"/>
      <c r="AS592" s="108"/>
    </row>
    <row r="593" spans="1:45" x14ac:dyDescent="0.2">
      <c r="B593" s="101"/>
      <c r="C593" s="92"/>
      <c r="D593" s="92"/>
      <c r="F593" s="109"/>
      <c r="G593" s="109"/>
      <c r="H593" s="109"/>
      <c r="I593" s="109"/>
      <c r="J593" s="105"/>
      <c r="K593" s="105"/>
      <c r="L593" s="105"/>
      <c r="M593" s="105">
        <f t="shared" ref="M593:M619" si="168">L593*F593</f>
        <v>0</v>
      </c>
      <c r="N593" s="105"/>
      <c r="O593" s="105"/>
      <c r="P593" s="105">
        <f t="shared" ref="P593:P619" si="169">O593*F593</f>
        <v>0</v>
      </c>
      <c r="Q593" s="105"/>
      <c r="R593" s="105">
        <f t="shared" si="157"/>
        <v>0</v>
      </c>
      <c r="S593" s="105"/>
      <c r="T593" s="105">
        <f t="shared" ref="T593:T619" si="170">S593*F593</f>
        <v>0</v>
      </c>
      <c r="U593" s="105"/>
      <c r="V593" s="91">
        <f t="shared" si="153"/>
        <v>0</v>
      </c>
      <c r="W593" s="105"/>
      <c r="X593" s="105">
        <f t="shared" ref="X593:X619" si="171">W593*F593</f>
        <v>0</v>
      </c>
      <c r="Y593" s="105"/>
      <c r="Z593" s="105">
        <f t="shared" si="158"/>
        <v>0</v>
      </c>
      <c r="AA593" s="105"/>
      <c r="AB593" s="105">
        <f t="shared" si="166"/>
        <v>0</v>
      </c>
      <c r="AC593" s="105"/>
      <c r="AD593" s="105">
        <f t="shared" si="155"/>
        <v>0</v>
      </c>
      <c r="AE593" s="105"/>
      <c r="AF593" s="105">
        <f t="shared" si="167"/>
        <v>0</v>
      </c>
      <c r="AG593" s="105"/>
      <c r="AH593" s="106"/>
      <c r="AK593" s="106">
        <f t="shared" si="164"/>
        <v>0</v>
      </c>
      <c r="AL593" s="106">
        <f t="shared" si="165"/>
        <v>0</v>
      </c>
      <c r="AQ593" s="107"/>
      <c r="AS593" s="108"/>
    </row>
    <row r="594" spans="1:45" x14ac:dyDescent="0.2">
      <c r="A594" s="85" t="s">
        <v>249</v>
      </c>
      <c r="B594" s="101" t="s">
        <v>241</v>
      </c>
      <c r="C594" s="86" t="s">
        <v>856</v>
      </c>
      <c r="D594" s="92"/>
      <c r="F594" s="102">
        <f>E594</f>
        <v>0</v>
      </c>
      <c r="G594" s="103"/>
      <c r="H594" s="103"/>
      <c r="I594" s="103"/>
      <c r="J594" s="105"/>
      <c r="K594" s="105"/>
      <c r="L594" s="105"/>
      <c r="M594" s="105">
        <f t="shared" si="168"/>
        <v>0</v>
      </c>
      <c r="N594" s="105"/>
      <c r="O594" s="105"/>
      <c r="P594" s="105">
        <f t="shared" si="169"/>
        <v>0</v>
      </c>
      <c r="Q594" s="105"/>
      <c r="R594" s="105">
        <f t="shared" si="157"/>
        <v>0</v>
      </c>
      <c r="S594" s="105"/>
      <c r="T594" s="105">
        <f t="shared" si="170"/>
        <v>0</v>
      </c>
      <c r="U594" s="105"/>
      <c r="V594" s="91">
        <f t="shared" ref="V594:V620" si="172">U594*F594/1000</f>
        <v>0</v>
      </c>
      <c r="W594" s="105"/>
      <c r="X594" s="105">
        <f t="shared" si="171"/>
        <v>0</v>
      </c>
      <c r="Y594" s="105"/>
      <c r="Z594" s="105">
        <f t="shared" si="158"/>
        <v>0</v>
      </c>
      <c r="AA594" s="105"/>
      <c r="AB594" s="105">
        <f t="shared" si="166"/>
        <v>0</v>
      </c>
      <c r="AC594" s="105"/>
      <c r="AD594" s="105">
        <f t="shared" si="155"/>
        <v>0</v>
      </c>
      <c r="AE594" s="105"/>
      <c r="AF594" s="105">
        <f t="shared" si="167"/>
        <v>0</v>
      </c>
      <c r="AG594" s="105"/>
      <c r="AH594" s="106"/>
      <c r="AK594" s="106">
        <f t="shared" si="164"/>
        <v>0</v>
      </c>
      <c r="AL594" s="106">
        <f t="shared" si="165"/>
        <v>0</v>
      </c>
      <c r="AQ594" s="107"/>
      <c r="AR594" s="112"/>
      <c r="AS594" s="108"/>
    </row>
    <row r="595" spans="1:45" x14ac:dyDescent="0.2">
      <c r="A595" s="85" t="s">
        <v>249</v>
      </c>
      <c r="B595" s="101"/>
      <c r="C595" s="92" t="s">
        <v>857</v>
      </c>
      <c r="F595" s="104">
        <f>SUM(F594)</f>
        <v>0</v>
      </c>
      <c r="G595" s="104">
        <f>F595</f>
        <v>0</v>
      </c>
      <c r="H595" s="105">
        <f>VLOOKUP(A595,Data!$A$2:$Z$179,24,FALSE)</f>
        <v>27</v>
      </c>
      <c r="I595" s="105">
        <f>VLOOKUP(A595,Data!$A$2:$Z$179,25,FALSE)</f>
        <v>9.1199999999999992</v>
      </c>
      <c r="J595" s="105">
        <f>VLOOKUP(A595,Data!$A$2:$Z$179,7,FALSE)</f>
        <v>17.88</v>
      </c>
      <c r="K595" s="105">
        <f>$F595*J595</f>
        <v>0</v>
      </c>
      <c r="L595" s="105">
        <f>VLOOKUP(A595,Data!$A$2:$Z$179,8,FALSE)</f>
        <v>0</v>
      </c>
      <c r="M595" s="105">
        <f>L595*F595</f>
        <v>0</v>
      </c>
      <c r="N595" s="105">
        <f>VLOOKUP(A595,Data!$A$2:$Z$179,9,FALSE)</f>
        <v>0</v>
      </c>
      <c r="O595" s="105">
        <f>VLOOKUP(A594,Data!$A$2:$Z$179,10,FALSE)</f>
        <v>0</v>
      </c>
      <c r="P595" s="105">
        <f>O595*F595</f>
        <v>0</v>
      </c>
      <c r="Q595" s="105">
        <f>VLOOKUP(A595,Data!$A$2:$Z$179,11,FALSE)</f>
        <v>0</v>
      </c>
      <c r="R595" s="105">
        <f t="shared" si="157"/>
        <v>0</v>
      </c>
      <c r="S595" s="105">
        <f>VLOOKUP(A595,Data!$A$2:$Z$179,12,FALSE)</f>
        <v>2.786</v>
      </c>
      <c r="T595" s="105">
        <f>S595*F595</f>
        <v>0</v>
      </c>
      <c r="U595" s="105">
        <f>VLOOKUP(A595,Data!$A$2:$Z$179,13,FALSE)</f>
        <v>3.1761278297824762E-2</v>
      </c>
      <c r="V595" s="91">
        <f t="shared" si="172"/>
        <v>0</v>
      </c>
      <c r="W595" s="105">
        <f>VLOOKUP(A595,Data!$A$2:$Z$179,22,FALSE)</f>
        <v>0</v>
      </c>
      <c r="X595" s="105">
        <f>W595*F595</f>
        <v>0</v>
      </c>
      <c r="Y595" s="105">
        <f>VLOOKUP(A595,Data!$A$2:$Z$179,19,FALSE)</f>
        <v>0</v>
      </c>
      <c r="Z595" s="105">
        <f t="shared" si="158"/>
        <v>0</v>
      </c>
      <c r="AA595" s="105">
        <f>VLOOKUP(A595,Data!$A$2:$Z$179,20,FALSE)</f>
        <v>0</v>
      </c>
      <c r="AB595" s="105">
        <f t="shared" si="166"/>
        <v>0</v>
      </c>
      <c r="AC595" s="105">
        <f>VLOOKUP(A595,Data!$A$2:$Z$179,21,FALSE)</f>
        <v>0</v>
      </c>
      <c r="AD595" s="105">
        <f t="shared" si="155"/>
        <v>0</v>
      </c>
      <c r="AE595" s="105">
        <f>J595+L595+N595+O595+Q595+S595+U595+W595+Y595+AA595+AC595</f>
        <v>20.697761278297826</v>
      </c>
      <c r="AF595" s="105">
        <f t="shared" si="167"/>
        <v>0</v>
      </c>
      <c r="AG595" s="105"/>
      <c r="AH595" s="106">
        <f>AE595-S595-W595</f>
        <v>17.911761278297824</v>
      </c>
      <c r="AI595" s="85">
        <f>AH595/AE595</f>
        <v>0.86539607049574008</v>
      </c>
      <c r="AK595" s="106">
        <f t="shared" si="164"/>
        <v>2.786</v>
      </c>
      <c r="AL595" s="106">
        <f t="shared" si="165"/>
        <v>2.786</v>
      </c>
      <c r="AQ595" s="107"/>
      <c r="AS595" s="108"/>
    </row>
    <row r="596" spans="1:45" x14ac:dyDescent="0.2">
      <c r="B596" s="101"/>
      <c r="C596" s="92"/>
      <c r="D596" s="92"/>
      <c r="F596" s="109"/>
      <c r="G596" s="109"/>
      <c r="H596" s="109"/>
      <c r="I596" s="109"/>
      <c r="J596" s="105"/>
      <c r="K596" s="105"/>
      <c r="L596" s="105"/>
      <c r="M596" s="105">
        <f t="shared" si="168"/>
        <v>0</v>
      </c>
      <c r="N596" s="105"/>
      <c r="O596" s="105"/>
      <c r="P596" s="105">
        <f t="shared" si="169"/>
        <v>0</v>
      </c>
      <c r="Q596" s="105"/>
      <c r="R596" s="105">
        <f t="shared" si="157"/>
        <v>0</v>
      </c>
      <c r="S596" s="105"/>
      <c r="T596" s="105">
        <f t="shared" si="170"/>
        <v>0</v>
      </c>
      <c r="U596" s="105"/>
      <c r="V596" s="91">
        <f t="shared" si="172"/>
        <v>0</v>
      </c>
      <c r="W596" s="105"/>
      <c r="X596" s="105">
        <f t="shared" si="171"/>
        <v>0</v>
      </c>
      <c r="Y596" s="105"/>
      <c r="Z596" s="105">
        <f t="shared" si="158"/>
        <v>0</v>
      </c>
      <c r="AA596" s="105"/>
      <c r="AB596" s="105">
        <f t="shared" si="166"/>
        <v>0</v>
      </c>
      <c r="AC596" s="105"/>
      <c r="AD596" s="105">
        <f t="shared" si="155"/>
        <v>0</v>
      </c>
      <c r="AE596" s="105"/>
      <c r="AF596" s="105">
        <f t="shared" si="167"/>
        <v>0</v>
      </c>
      <c r="AG596" s="105"/>
      <c r="AH596" s="106"/>
      <c r="AK596" s="106">
        <f t="shared" si="164"/>
        <v>0</v>
      </c>
      <c r="AL596" s="106">
        <f t="shared" si="165"/>
        <v>0</v>
      </c>
      <c r="AQ596" s="107"/>
      <c r="AS596" s="108"/>
    </row>
    <row r="597" spans="1:45" x14ac:dyDescent="0.2">
      <c r="A597" s="85" t="s">
        <v>250</v>
      </c>
      <c r="B597" s="101" t="s">
        <v>241</v>
      </c>
      <c r="C597" s="86" t="s">
        <v>858</v>
      </c>
      <c r="D597" s="92"/>
      <c r="F597" s="102">
        <f>E597</f>
        <v>0</v>
      </c>
      <c r="G597" s="102"/>
      <c r="H597" s="102"/>
      <c r="I597" s="102"/>
      <c r="J597" s="105"/>
      <c r="K597" s="105"/>
      <c r="L597" s="105"/>
      <c r="M597" s="105">
        <f t="shared" si="168"/>
        <v>0</v>
      </c>
      <c r="N597" s="105"/>
      <c r="O597" s="105"/>
      <c r="P597" s="105">
        <f t="shared" si="169"/>
        <v>0</v>
      </c>
      <c r="Q597" s="105"/>
      <c r="R597" s="105">
        <f t="shared" si="157"/>
        <v>0</v>
      </c>
      <c r="S597" s="105"/>
      <c r="T597" s="105">
        <f t="shared" si="170"/>
        <v>0</v>
      </c>
      <c r="U597" s="105"/>
      <c r="V597" s="91">
        <f t="shared" si="172"/>
        <v>0</v>
      </c>
      <c r="W597" s="105"/>
      <c r="X597" s="105">
        <f t="shared" si="171"/>
        <v>0</v>
      </c>
      <c r="Y597" s="105"/>
      <c r="Z597" s="105">
        <f t="shared" si="158"/>
        <v>0</v>
      </c>
      <c r="AA597" s="105"/>
      <c r="AB597" s="105">
        <f t="shared" si="166"/>
        <v>0</v>
      </c>
      <c r="AC597" s="105"/>
      <c r="AD597" s="105">
        <f t="shared" si="155"/>
        <v>0</v>
      </c>
      <c r="AE597" s="105"/>
      <c r="AF597" s="105">
        <f t="shared" si="167"/>
        <v>0</v>
      </c>
      <c r="AG597" s="105"/>
      <c r="AH597" s="106"/>
      <c r="AK597" s="106">
        <f t="shared" si="164"/>
        <v>0</v>
      </c>
      <c r="AL597" s="106">
        <f t="shared" si="165"/>
        <v>0</v>
      </c>
      <c r="AQ597" s="107"/>
      <c r="AS597" s="108"/>
    </row>
    <row r="598" spans="1:45" x14ac:dyDescent="0.2">
      <c r="A598" s="85" t="s">
        <v>250</v>
      </c>
      <c r="B598" s="101" t="s">
        <v>176</v>
      </c>
      <c r="C598" s="86" t="s">
        <v>858</v>
      </c>
      <c r="F598" s="102">
        <f>E598</f>
        <v>0</v>
      </c>
      <c r="G598" s="102"/>
      <c r="H598" s="102"/>
      <c r="I598" s="102"/>
      <c r="J598" s="105"/>
      <c r="K598" s="105"/>
      <c r="L598" s="105"/>
      <c r="M598" s="105">
        <f t="shared" si="168"/>
        <v>0</v>
      </c>
      <c r="N598" s="105"/>
      <c r="O598" s="105"/>
      <c r="P598" s="105">
        <f t="shared" si="169"/>
        <v>0</v>
      </c>
      <c r="Q598" s="105"/>
      <c r="R598" s="105">
        <f t="shared" si="157"/>
        <v>0</v>
      </c>
      <c r="S598" s="105"/>
      <c r="T598" s="105">
        <f t="shared" si="170"/>
        <v>0</v>
      </c>
      <c r="U598" s="105"/>
      <c r="V598" s="91">
        <f t="shared" si="172"/>
        <v>0</v>
      </c>
      <c r="W598" s="105"/>
      <c r="X598" s="105">
        <f t="shared" si="171"/>
        <v>0</v>
      </c>
      <c r="Y598" s="105"/>
      <c r="Z598" s="105">
        <f t="shared" si="158"/>
        <v>0</v>
      </c>
      <c r="AA598" s="105"/>
      <c r="AB598" s="105">
        <f t="shared" ref="AB598:AB605" si="173">$F597*AA598</f>
        <v>0</v>
      </c>
      <c r="AC598" s="105"/>
      <c r="AD598" s="105">
        <f t="shared" si="155"/>
        <v>0</v>
      </c>
      <c r="AE598" s="105"/>
      <c r="AF598" s="105">
        <f t="shared" si="167"/>
        <v>0</v>
      </c>
      <c r="AG598" s="105"/>
      <c r="AH598" s="106"/>
      <c r="AK598" s="106">
        <f t="shared" si="164"/>
        <v>0</v>
      </c>
      <c r="AL598" s="106">
        <f t="shared" si="165"/>
        <v>0</v>
      </c>
      <c r="AQ598" s="107"/>
      <c r="AR598" s="112"/>
      <c r="AS598" s="108"/>
    </row>
    <row r="599" spans="1:45" x14ac:dyDescent="0.2">
      <c r="A599" s="85" t="s">
        <v>250</v>
      </c>
      <c r="B599" s="101"/>
      <c r="C599" s="92" t="s">
        <v>859</v>
      </c>
      <c r="F599" s="104">
        <f>SUM(F597:F598)</f>
        <v>0</v>
      </c>
      <c r="G599" s="104">
        <f>F599</f>
        <v>0</v>
      </c>
      <c r="H599" s="105">
        <f>VLOOKUP(A599,Data!$A$2:$Z$179,24,FALSE)</f>
        <v>12.375999999999999</v>
      </c>
      <c r="I599" s="105">
        <f>VLOOKUP(A599,Data!$A$2:$Z$179,25,FALSE)</f>
        <v>0</v>
      </c>
      <c r="J599" s="105">
        <f>VLOOKUP(A599,Data!$A$2:$Z$179,7,FALSE)</f>
        <v>12.375999999999999</v>
      </c>
      <c r="K599" s="105">
        <f>$F599*J599</f>
        <v>0</v>
      </c>
      <c r="L599" s="105">
        <f>VLOOKUP(A599,Data!$A$2:$Z$179,8,FALSE)</f>
        <v>0</v>
      </c>
      <c r="M599" s="105">
        <f>L599*F599</f>
        <v>0</v>
      </c>
      <c r="N599" s="105">
        <f>VLOOKUP(A599,Data!$A$2:$Z$179,9,FALSE)</f>
        <v>0</v>
      </c>
      <c r="O599" s="105">
        <f>VLOOKUP(A598,Data!$A$2:$Z$179,10,FALSE)</f>
        <v>0</v>
      </c>
      <c r="P599" s="105">
        <f>O599*F599</f>
        <v>0</v>
      </c>
      <c r="Q599" s="105">
        <f>VLOOKUP(A599,Data!$A$2:$Z$179,11,FALSE)</f>
        <v>0</v>
      </c>
      <c r="R599" s="105">
        <f t="shared" si="157"/>
        <v>0</v>
      </c>
      <c r="S599" s="105">
        <f>VLOOKUP(A599,Data!$A$2:$Z$179,12,FALSE)</f>
        <v>3.7230000000000003</v>
      </c>
      <c r="T599" s="105">
        <f>S599*F599</f>
        <v>0</v>
      </c>
      <c r="U599" s="105">
        <f>VLOOKUP(A599,Data!$A$2:$Z$179,13,FALSE)</f>
        <v>0</v>
      </c>
      <c r="V599" s="91">
        <f t="shared" si="172"/>
        <v>0</v>
      </c>
      <c r="W599" s="105">
        <f>VLOOKUP(A599,Data!$A$2:$Z$179,22,FALSE)</f>
        <v>0</v>
      </c>
      <c r="X599" s="105">
        <f>W599*F599</f>
        <v>0</v>
      </c>
      <c r="Y599" s="105">
        <f>VLOOKUP(A599,Data!$A$2:$Z$179,19,FALSE)</f>
        <v>0</v>
      </c>
      <c r="Z599" s="105">
        <f t="shared" si="158"/>
        <v>0</v>
      </c>
      <c r="AA599" s="105">
        <f>VLOOKUP(A599,Data!$A$2:$Z$179,20,FALSE)</f>
        <v>0</v>
      </c>
      <c r="AB599" s="105">
        <f>$F599*AA599</f>
        <v>0</v>
      </c>
      <c r="AC599" s="105">
        <f>VLOOKUP(A599,Data!$A$2:$Z$179,21,FALSE)</f>
        <v>0</v>
      </c>
      <c r="AD599" s="105">
        <f t="shared" si="155"/>
        <v>0</v>
      </c>
      <c r="AE599" s="105">
        <f>J599+L599+N599+O599+Q599+S599+U599+W599+Y599+AA599+AC599</f>
        <v>16.099</v>
      </c>
      <c r="AF599" s="105">
        <f t="shared" si="167"/>
        <v>0</v>
      </c>
      <c r="AG599" s="105"/>
      <c r="AH599" s="106">
        <f>AE599-S599-W599</f>
        <v>12.375999999999999</v>
      </c>
      <c r="AI599" s="85">
        <f>AH599/AE599</f>
        <v>0.76874340021119325</v>
      </c>
      <c r="AK599" s="106">
        <f t="shared" si="164"/>
        <v>3.7230000000000003</v>
      </c>
      <c r="AL599" s="106">
        <f t="shared" si="165"/>
        <v>3.7230000000000003</v>
      </c>
      <c r="AQ599" s="107"/>
      <c r="AR599" s="112"/>
      <c r="AS599" s="108"/>
    </row>
    <row r="600" spans="1:45" x14ac:dyDescent="0.2">
      <c r="B600" s="101"/>
      <c r="C600" s="92"/>
      <c r="D600" s="92"/>
      <c r="F600" s="109"/>
      <c r="G600" s="109"/>
      <c r="H600" s="109"/>
      <c r="I600" s="109"/>
      <c r="J600" s="105"/>
      <c r="K600" s="105"/>
      <c r="L600" s="105"/>
      <c r="M600" s="105">
        <f t="shared" si="168"/>
        <v>0</v>
      </c>
      <c r="N600" s="105"/>
      <c r="O600" s="105"/>
      <c r="P600" s="105">
        <f t="shared" si="169"/>
        <v>0</v>
      </c>
      <c r="Q600" s="105"/>
      <c r="R600" s="105">
        <f t="shared" si="157"/>
        <v>0</v>
      </c>
      <c r="S600" s="105"/>
      <c r="T600" s="105">
        <f t="shared" si="170"/>
        <v>0</v>
      </c>
      <c r="U600" s="105"/>
      <c r="V600" s="91">
        <f t="shared" si="172"/>
        <v>0</v>
      </c>
      <c r="W600" s="105"/>
      <c r="X600" s="105">
        <f t="shared" si="171"/>
        <v>0</v>
      </c>
      <c r="Y600" s="105"/>
      <c r="Z600" s="105">
        <f t="shared" si="158"/>
        <v>0</v>
      </c>
      <c r="AA600" s="105"/>
      <c r="AB600" s="105">
        <f t="shared" si="173"/>
        <v>0</v>
      </c>
      <c r="AC600" s="105"/>
      <c r="AD600" s="105">
        <f t="shared" si="155"/>
        <v>0</v>
      </c>
      <c r="AE600" s="105"/>
      <c r="AF600" s="105">
        <f t="shared" si="167"/>
        <v>0</v>
      </c>
      <c r="AG600" s="105"/>
      <c r="AH600" s="106"/>
      <c r="AK600" s="106">
        <f t="shared" si="164"/>
        <v>0</v>
      </c>
      <c r="AL600" s="106">
        <f t="shared" si="165"/>
        <v>0</v>
      </c>
      <c r="AQ600" s="107"/>
      <c r="AS600" s="108"/>
    </row>
    <row r="601" spans="1:45" x14ac:dyDescent="0.2">
      <c r="A601" s="85" t="s">
        <v>251</v>
      </c>
      <c r="B601" s="101" t="s">
        <v>241</v>
      </c>
      <c r="C601" s="86" t="s">
        <v>860</v>
      </c>
      <c r="D601" s="92"/>
      <c r="F601" s="102">
        <f>E601</f>
        <v>0</v>
      </c>
      <c r="G601" s="102"/>
      <c r="H601" s="102"/>
      <c r="I601" s="102"/>
      <c r="J601" s="105"/>
      <c r="K601" s="105"/>
      <c r="L601" s="105"/>
      <c r="M601" s="105">
        <f t="shared" si="168"/>
        <v>0</v>
      </c>
      <c r="N601" s="105"/>
      <c r="O601" s="105"/>
      <c r="P601" s="105">
        <f t="shared" si="169"/>
        <v>0</v>
      </c>
      <c r="Q601" s="105"/>
      <c r="R601" s="105">
        <f t="shared" si="157"/>
        <v>0</v>
      </c>
      <c r="S601" s="105"/>
      <c r="T601" s="105">
        <f t="shared" si="170"/>
        <v>0</v>
      </c>
      <c r="U601" s="105"/>
      <c r="V601" s="91">
        <f t="shared" si="172"/>
        <v>0</v>
      </c>
      <c r="W601" s="105"/>
      <c r="X601" s="105">
        <f t="shared" si="171"/>
        <v>0</v>
      </c>
      <c r="Y601" s="105"/>
      <c r="Z601" s="105">
        <f t="shared" si="158"/>
        <v>0</v>
      </c>
      <c r="AA601" s="105"/>
      <c r="AB601" s="105">
        <f t="shared" si="173"/>
        <v>0</v>
      </c>
      <c r="AC601" s="105"/>
      <c r="AD601" s="105">
        <f t="shared" ref="AD601:AD620" si="174">$F601*AC601</f>
        <v>0</v>
      </c>
      <c r="AE601" s="105"/>
      <c r="AF601" s="105">
        <f t="shared" si="167"/>
        <v>0</v>
      </c>
      <c r="AG601" s="105"/>
      <c r="AH601" s="106"/>
      <c r="AK601" s="106">
        <f t="shared" si="164"/>
        <v>0</v>
      </c>
      <c r="AL601" s="106">
        <f t="shared" si="165"/>
        <v>0</v>
      </c>
      <c r="AQ601" s="107"/>
      <c r="AS601" s="108"/>
    </row>
    <row r="602" spans="1:45" x14ac:dyDescent="0.2">
      <c r="A602" s="85" t="s">
        <v>251</v>
      </c>
      <c r="B602" s="101" t="s">
        <v>156</v>
      </c>
      <c r="C602" s="86" t="s">
        <v>860</v>
      </c>
      <c r="F602" s="102">
        <f>E602</f>
        <v>0</v>
      </c>
      <c r="G602" s="102"/>
      <c r="H602" s="102"/>
      <c r="I602" s="102"/>
      <c r="J602" s="105"/>
      <c r="K602" s="105"/>
      <c r="L602" s="105"/>
      <c r="M602" s="105">
        <f t="shared" si="168"/>
        <v>0</v>
      </c>
      <c r="N602" s="105"/>
      <c r="O602" s="105"/>
      <c r="P602" s="105">
        <f t="shared" si="169"/>
        <v>0</v>
      </c>
      <c r="Q602" s="105"/>
      <c r="R602" s="105">
        <f t="shared" ref="R602:R620" si="175">$F602*Q602</f>
        <v>0</v>
      </c>
      <c r="S602" s="105"/>
      <c r="T602" s="105">
        <f t="shared" si="170"/>
        <v>0</v>
      </c>
      <c r="U602" s="105"/>
      <c r="V602" s="91">
        <f t="shared" si="172"/>
        <v>0</v>
      </c>
      <c r="W602" s="105"/>
      <c r="X602" s="105">
        <f t="shared" si="171"/>
        <v>0</v>
      </c>
      <c r="Y602" s="105"/>
      <c r="Z602" s="105">
        <f t="shared" ref="Z602:Z620" si="176">$F602*Y602</f>
        <v>0</v>
      </c>
      <c r="AA602" s="105"/>
      <c r="AB602" s="105">
        <f t="shared" si="173"/>
        <v>0</v>
      </c>
      <c r="AC602" s="105"/>
      <c r="AD602" s="105">
        <f t="shared" si="174"/>
        <v>0</v>
      </c>
      <c r="AE602" s="105"/>
      <c r="AF602" s="105">
        <f t="shared" si="167"/>
        <v>0</v>
      </c>
      <c r="AG602" s="105"/>
      <c r="AH602" s="106"/>
      <c r="AK602" s="106">
        <f t="shared" si="164"/>
        <v>0</v>
      </c>
      <c r="AL602" s="106">
        <f t="shared" si="165"/>
        <v>0</v>
      </c>
      <c r="AQ602" s="107"/>
      <c r="AS602" s="108"/>
    </row>
    <row r="603" spans="1:45" x14ac:dyDescent="0.2">
      <c r="A603" s="85" t="s">
        <v>251</v>
      </c>
      <c r="B603" s="101"/>
      <c r="C603" s="92" t="s">
        <v>861</v>
      </c>
      <c r="F603" s="104">
        <f>SUM(F601:F602)</f>
        <v>0</v>
      </c>
      <c r="G603" s="104">
        <f>F603</f>
        <v>0</v>
      </c>
      <c r="H603" s="105">
        <f>VLOOKUP(A603,Data!$A$2:$Z$179,24,FALSE)</f>
        <v>5.0679999999999996</v>
      </c>
      <c r="I603" s="105">
        <f>VLOOKUP(A603,Data!$A$2:$Z$179,25,FALSE)</f>
        <v>0</v>
      </c>
      <c r="J603" s="105">
        <f>VLOOKUP(A603,Data!$A$2:$Z$179,7,FALSE)</f>
        <v>5.0679999999999996</v>
      </c>
      <c r="K603" s="105">
        <f>$F603*J603</f>
        <v>0</v>
      </c>
      <c r="L603" s="105">
        <f>VLOOKUP(A603,Data!$A$2:$Z$179,8,FALSE)</f>
        <v>0</v>
      </c>
      <c r="M603" s="105">
        <f>L603*F603</f>
        <v>0</v>
      </c>
      <c r="N603" s="105">
        <f>VLOOKUP(A603,Data!$A$2:$Z$179,9,FALSE)</f>
        <v>0</v>
      </c>
      <c r="O603" s="105">
        <f>VLOOKUP(A602,Data!$A$2:$Z$179,10,FALSE)</f>
        <v>0</v>
      </c>
      <c r="P603" s="105">
        <f>O603*F603</f>
        <v>0</v>
      </c>
      <c r="Q603" s="105">
        <f>VLOOKUP(A603,Data!$A$2:$Z$179,11,FALSE)</f>
        <v>0</v>
      </c>
      <c r="R603" s="105">
        <f t="shared" si="175"/>
        <v>0</v>
      </c>
      <c r="S603" s="105">
        <f>VLOOKUP(A603,Data!$A$2:$Z$179,12,FALSE)</f>
        <v>0.33300000000000002</v>
      </c>
      <c r="T603" s="105">
        <f>S603*F603</f>
        <v>0</v>
      </c>
      <c r="U603" s="105">
        <f>VLOOKUP(A603,Data!$A$2:$Z$179,13,FALSE)</f>
        <v>0</v>
      </c>
      <c r="V603" s="91">
        <f t="shared" si="172"/>
        <v>0</v>
      </c>
      <c r="W603" s="105">
        <f>VLOOKUP(A603,Data!$A$2:$Z$179,22,FALSE)</f>
        <v>0</v>
      </c>
      <c r="X603" s="105">
        <f>W603*F603</f>
        <v>0</v>
      </c>
      <c r="Y603" s="105">
        <f>VLOOKUP(A603,Data!$A$2:$Z$179,19,FALSE)</f>
        <v>0</v>
      </c>
      <c r="Z603" s="105">
        <f t="shared" si="176"/>
        <v>0</v>
      </c>
      <c r="AA603" s="105">
        <f>VLOOKUP(A603,Data!$A$2:$Z$179,20,FALSE)</f>
        <v>0</v>
      </c>
      <c r="AB603" s="105">
        <f>$F603*AA603</f>
        <v>0</v>
      </c>
      <c r="AC603" s="105">
        <f>VLOOKUP(A603,Data!$A$2:$Z$179,21,FALSE)</f>
        <v>0</v>
      </c>
      <c r="AD603" s="105">
        <f t="shared" si="174"/>
        <v>0</v>
      </c>
      <c r="AE603" s="105">
        <f>J603+L603+N603+O603+Q603+S603+U603+W603+Y603+AA603+AC603</f>
        <v>5.4009999999999998</v>
      </c>
      <c r="AF603" s="105">
        <f t="shared" si="167"/>
        <v>0</v>
      </c>
      <c r="AG603" s="105"/>
      <c r="AH603" s="106">
        <f>AE603-S603-W603</f>
        <v>5.0679999999999996</v>
      </c>
      <c r="AI603" s="85">
        <f>AH603/AE603</f>
        <v>0.93834475097204217</v>
      </c>
      <c r="AK603" s="106">
        <f t="shared" si="164"/>
        <v>0.33300000000000002</v>
      </c>
      <c r="AL603" s="106">
        <f t="shared" si="165"/>
        <v>0.33300000000000002</v>
      </c>
      <c r="AQ603" s="107"/>
      <c r="AS603" s="108"/>
    </row>
    <row r="604" spans="1:45" x14ac:dyDescent="0.2">
      <c r="B604" s="101"/>
      <c r="C604" s="92"/>
      <c r="D604" s="92"/>
      <c r="F604" s="109"/>
      <c r="G604" s="109"/>
      <c r="H604" s="109"/>
      <c r="I604" s="109"/>
      <c r="J604" s="105"/>
      <c r="K604" s="105"/>
      <c r="L604" s="105"/>
      <c r="M604" s="105">
        <f t="shared" si="168"/>
        <v>0</v>
      </c>
      <c r="N604" s="105"/>
      <c r="O604" s="105"/>
      <c r="P604" s="105">
        <f t="shared" si="169"/>
        <v>0</v>
      </c>
      <c r="Q604" s="105"/>
      <c r="R604" s="105">
        <f t="shared" si="175"/>
        <v>0</v>
      </c>
      <c r="S604" s="105"/>
      <c r="T604" s="105">
        <f t="shared" si="170"/>
        <v>0</v>
      </c>
      <c r="U604" s="105"/>
      <c r="V604" s="91">
        <f t="shared" si="172"/>
        <v>0</v>
      </c>
      <c r="W604" s="105"/>
      <c r="X604" s="105">
        <f t="shared" si="171"/>
        <v>0</v>
      </c>
      <c r="Z604" s="105">
        <f t="shared" si="176"/>
        <v>0</v>
      </c>
      <c r="AB604" s="105">
        <f t="shared" si="173"/>
        <v>0</v>
      </c>
      <c r="AD604" s="105">
        <f t="shared" si="174"/>
        <v>0</v>
      </c>
      <c r="AE604" s="105"/>
      <c r="AF604" s="105">
        <f t="shared" si="167"/>
        <v>0</v>
      </c>
      <c r="AG604" s="105"/>
      <c r="AH604" s="106"/>
      <c r="AK604" s="106">
        <f t="shared" si="164"/>
        <v>0</v>
      </c>
      <c r="AL604" s="106">
        <f t="shared" si="165"/>
        <v>0</v>
      </c>
      <c r="AQ604" s="107"/>
      <c r="AS604" s="108"/>
    </row>
    <row r="605" spans="1:45" x14ac:dyDescent="0.2">
      <c r="A605" s="85" t="s">
        <v>252</v>
      </c>
      <c r="B605" s="101" t="s">
        <v>241</v>
      </c>
      <c r="C605" s="86" t="s">
        <v>862</v>
      </c>
      <c r="D605" s="92"/>
      <c r="F605" s="102">
        <f>E605</f>
        <v>0</v>
      </c>
      <c r="G605" s="103"/>
      <c r="H605" s="103"/>
      <c r="I605" s="103"/>
      <c r="J605" s="105"/>
      <c r="K605" s="105"/>
      <c r="L605" s="105"/>
      <c r="M605" s="105">
        <f t="shared" si="168"/>
        <v>0</v>
      </c>
      <c r="N605" s="105"/>
      <c r="O605" s="105"/>
      <c r="P605" s="105">
        <f t="shared" si="169"/>
        <v>0</v>
      </c>
      <c r="Q605" s="105"/>
      <c r="R605" s="105">
        <f t="shared" si="175"/>
        <v>0</v>
      </c>
      <c r="S605" s="105"/>
      <c r="T605" s="105">
        <f t="shared" si="170"/>
        <v>0</v>
      </c>
      <c r="U605" s="105"/>
      <c r="V605" s="91">
        <f t="shared" si="172"/>
        <v>0</v>
      </c>
      <c r="W605" s="105"/>
      <c r="X605" s="105">
        <f t="shared" si="171"/>
        <v>0</v>
      </c>
      <c r="Z605" s="105">
        <f t="shared" si="176"/>
        <v>0</v>
      </c>
      <c r="AB605" s="105">
        <f t="shared" si="173"/>
        <v>0</v>
      </c>
      <c r="AD605" s="105">
        <f t="shared" si="174"/>
        <v>0</v>
      </c>
      <c r="AE605" s="105"/>
      <c r="AF605" s="105">
        <f t="shared" si="167"/>
        <v>0</v>
      </c>
      <c r="AG605" s="105"/>
      <c r="AH605" s="106"/>
      <c r="AK605" s="106">
        <f t="shared" si="164"/>
        <v>0</v>
      </c>
      <c r="AL605" s="106">
        <f t="shared" si="165"/>
        <v>0</v>
      </c>
      <c r="AQ605" s="107"/>
      <c r="AS605" s="108"/>
    </row>
    <row r="606" spans="1:45" x14ac:dyDescent="0.2">
      <c r="A606" s="85" t="s">
        <v>252</v>
      </c>
      <c r="B606" s="101"/>
      <c r="C606" s="92" t="s">
        <v>863</v>
      </c>
      <c r="F606" s="104">
        <f>SUM(F605)</f>
        <v>0</v>
      </c>
      <c r="G606" s="104">
        <f>F606</f>
        <v>0</v>
      </c>
      <c r="H606" s="105">
        <f>VLOOKUP(A606,Data!$A$2:$Z$179,24,FALSE)</f>
        <v>4.2930000000000001</v>
      </c>
      <c r="I606" s="105">
        <f>VLOOKUP(A606,Data!$A$2:$Z$179,25,FALSE)</f>
        <v>0</v>
      </c>
      <c r="J606" s="105">
        <f>VLOOKUP(A606,Data!$A$2:$Z$179,7,FALSE)</f>
        <v>3.6139999999999999</v>
      </c>
      <c r="K606" s="105">
        <f>$F606*J606</f>
        <v>0</v>
      </c>
      <c r="L606" s="105">
        <f>VLOOKUP(A606,Data!$A$2:$Z$179,8,FALSE)</f>
        <v>0.16500000000000001</v>
      </c>
      <c r="M606" s="105">
        <f>L606*F606</f>
        <v>0</v>
      </c>
      <c r="N606" s="105">
        <f>VLOOKUP(A606,Data!$A$2:$Z$179,9,FALSE)</f>
        <v>0.5139999999999999</v>
      </c>
      <c r="O606" s="105">
        <f>VLOOKUP(A605,Data!$A$2:$Z$179,10,FALSE)</f>
        <v>0</v>
      </c>
      <c r="P606" s="105">
        <f>O606*F606</f>
        <v>0</v>
      </c>
      <c r="Q606" s="105">
        <f>VLOOKUP(A606,Data!$A$2:$Z$179,11,FALSE)</f>
        <v>0</v>
      </c>
      <c r="R606" s="105">
        <f t="shared" si="175"/>
        <v>0</v>
      </c>
      <c r="S606" s="105">
        <f>VLOOKUP(A606,Data!$A$2:$Z$179,12,FALSE)</f>
        <v>1.1399999999999999</v>
      </c>
      <c r="T606" s="105">
        <f>S606*F606</f>
        <v>0</v>
      </c>
      <c r="U606" s="105">
        <f>VLOOKUP(A606,Data!$A$2:$Z$179,13,FALSE)</f>
        <v>1.1855460033526453E-5</v>
      </c>
      <c r="V606" s="91">
        <f t="shared" si="172"/>
        <v>0</v>
      </c>
      <c r="W606" s="105">
        <f>VLOOKUP(A606,Data!$A$2:$Z$179,22,FALSE)</f>
        <v>0</v>
      </c>
      <c r="X606" s="105">
        <f>W606*F606</f>
        <v>0</v>
      </c>
      <c r="Y606" s="105">
        <f>VLOOKUP(A606,Data!$A$2:$Z$179,19,FALSE)</f>
        <v>0</v>
      </c>
      <c r="Z606" s="105">
        <f t="shared" si="176"/>
        <v>0</v>
      </c>
      <c r="AA606" s="105">
        <f>VLOOKUP(A606,Data!$A$2:$Z$179,20,FALSE)</f>
        <v>0</v>
      </c>
      <c r="AB606" s="105">
        <f>$F606*AA606</f>
        <v>0</v>
      </c>
      <c r="AC606" s="105">
        <f>VLOOKUP(A606,Data!$A$2:$Z$179,21,FALSE)</f>
        <v>0</v>
      </c>
      <c r="AD606" s="105">
        <f t="shared" si="174"/>
        <v>0</v>
      </c>
      <c r="AE606" s="105">
        <f>J606+L606+N606+O606+Q606+S606+U606+W606+Y606+AA606+AC606</f>
        <v>5.4330118554600331</v>
      </c>
      <c r="AF606" s="105">
        <f t="shared" si="167"/>
        <v>0</v>
      </c>
      <c r="AG606" s="105"/>
      <c r="AH606" s="106">
        <f>AE606-S606-W606</f>
        <v>4.2930118554600334</v>
      </c>
      <c r="AI606" s="85">
        <f>AH606/AE606</f>
        <v>0.7901716340165299</v>
      </c>
      <c r="AK606" s="106">
        <f t="shared" si="164"/>
        <v>1.1399999999999999</v>
      </c>
      <c r="AL606" s="106">
        <f t="shared" si="165"/>
        <v>1.1399999999999999</v>
      </c>
      <c r="AQ606" s="107"/>
      <c r="AS606" s="108"/>
    </row>
    <row r="607" spans="1:45" x14ac:dyDescent="0.2">
      <c r="B607" s="101"/>
      <c r="C607" s="92"/>
      <c r="D607" s="92"/>
      <c r="F607" s="109"/>
      <c r="G607" s="109"/>
      <c r="H607" s="109"/>
      <c r="I607" s="109"/>
      <c r="J607" s="105"/>
      <c r="K607" s="105"/>
      <c r="L607" s="105"/>
      <c r="M607" s="105">
        <f t="shared" si="168"/>
        <v>0</v>
      </c>
      <c r="N607" s="105"/>
      <c r="O607" s="105"/>
      <c r="P607" s="105">
        <f t="shared" si="169"/>
        <v>0</v>
      </c>
      <c r="Q607" s="105"/>
      <c r="R607" s="105">
        <f t="shared" si="175"/>
        <v>0</v>
      </c>
      <c r="S607" s="105"/>
      <c r="T607" s="105">
        <f t="shared" si="170"/>
        <v>0</v>
      </c>
      <c r="U607" s="105"/>
      <c r="V607" s="91">
        <f t="shared" si="172"/>
        <v>0</v>
      </c>
      <c r="W607" s="105"/>
      <c r="X607" s="105">
        <f t="shared" si="171"/>
        <v>0</v>
      </c>
      <c r="Z607" s="105">
        <f t="shared" si="176"/>
        <v>0</v>
      </c>
      <c r="AB607" s="105">
        <f>$F607*AA607</f>
        <v>0</v>
      </c>
      <c r="AD607" s="105">
        <f t="shared" si="174"/>
        <v>0</v>
      </c>
      <c r="AE607" s="105"/>
      <c r="AF607" s="105">
        <f t="shared" si="167"/>
        <v>0</v>
      </c>
      <c r="AG607" s="105"/>
      <c r="AH607" s="106"/>
      <c r="AK607" s="106">
        <f t="shared" si="164"/>
        <v>0</v>
      </c>
      <c r="AL607" s="106">
        <f t="shared" si="165"/>
        <v>0</v>
      </c>
      <c r="AQ607" s="107"/>
      <c r="AS607" s="108"/>
    </row>
    <row r="608" spans="1:45" x14ac:dyDescent="0.2">
      <c r="A608" s="114" t="s">
        <v>253</v>
      </c>
      <c r="B608" s="113" t="s">
        <v>254</v>
      </c>
      <c r="C608" s="113" t="s">
        <v>255</v>
      </c>
      <c r="D608" s="92"/>
      <c r="F608" s="102">
        <f>E608</f>
        <v>0</v>
      </c>
      <c r="G608" s="102"/>
      <c r="H608" s="102"/>
      <c r="I608" s="102"/>
      <c r="J608" s="105"/>
      <c r="K608" s="105"/>
      <c r="L608" s="105"/>
      <c r="M608" s="105">
        <f t="shared" si="168"/>
        <v>0</v>
      </c>
      <c r="N608" s="105"/>
      <c r="O608" s="105"/>
      <c r="P608" s="105">
        <f t="shared" si="169"/>
        <v>0</v>
      </c>
      <c r="Q608" s="105"/>
      <c r="R608" s="105">
        <f t="shared" si="175"/>
        <v>0</v>
      </c>
      <c r="S608" s="105"/>
      <c r="T608" s="105">
        <f t="shared" si="170"/>
        <v>0</v>
      </c>
      <c r="U608" s="105"/>
      <c r="V608" s="91">
        <f t="shared" si="172"/>
        <v>0</v>
      </c>
      <c r="W608" s="105"/>
      <c r="X608" s="105">
        <f t="shared" si="171"/>
        <v>0</v>
      </c>
      <c r="Z608" s="105">
        <f t="shared" si="176"/>
        <v>0</v>
      </c>
      <c r="AB608" s="105">
        <f>$F608*AA608</f>
        <v>0</v>
      </c>
      <c r="AD608" s="105">
        <f t="shared" si="174"/>
        <v>0</v>
      </c>
      <c r="AE608" s="105"/>
      <c r="AF608" s="105">
        <f t="shared" si="167"/>
        <v>0</v>
      </c>
      <c r="AG608" s="105"/>
      <c r="AH608" s="106"/>
      <c r="AK608" s="106">
        <f t="shared" si="164"/>
        <v>0</v>
      </c>
      <c r="AL608" s="106">
        <f t="shared" si="165"/>
        <v>0</v>
      </c>
      <c r="AQ608" s="107"/>
      <c r="AS608" s="108"/>
    </row>
    <row r="609" spans="1:45" x14ac:dyDescent="0.2">
      <c r="A609" s="114" t="s">
        <v>253</v>
      </c>
      <c r="B609" s="101"/>
      <c r="C609" s="92" t="s">
        <v>864</v>
      </c>
      <c r="F609" s="104">
        <f>SUM(F608)</f>
        <v>0</v>
      </c>
      <c r="G609" s="104">
        <f>F609</f>
        <v>0</v>
      </c>
      <c r="H609" s="105">
        <f>VLOOKUP(A609,Data!$A$2:$Z$179,24,FALSE)</f>
        <v>27</v>
      </c>
      <c r="I609" s="105">
        <f>VLOOKUP(A609,Data!$A$2:$Z$179,25,FALSE)</f>
        <v>7.6549999999999994</v>
      </c>
      <c r="J609" s="105">
        <f>VLOOKUP(A609,Data!$A$2:$Z$179,7,FALSE)</f>
        <v>19.344999999999999</v>
      </c>
      <c r="K609" s="105">
        <f>$F609*J609</f>
        <v>0</v>
      </c>
      <c r="L609" s="105">
        <f>VLOOKUP(A609,Data!$A$2:$Z$179,8,FALSE)</f>
        <v>0</v>
      </c>
      <c r="M609" s="105">
        <f>L609*F609</f>
        <v>0</v>
      </c>
      <c r="N609" s="105">
        <f>VLOOKUP(A609,Data!$A$2:$Z$179,9,FALSE)</f>
        <v>0</v>
      </c>
      <c r="O609" s="105">
        <f>VLOOKUP(A608,Data!$A$2:$Z$179,10,FALSE)</f>
        <v>0</v>
      </c>
      <c r="P609" s="105">
        <f>O609*F609</f>
        <v>0</v>
      </c>
      <c r="Q609" s="105">
        <f>VLOOKUP(A609,Data!$A$2:$Z$179,11,FALSE)</f>
        <v>0</v>
      </c>
      <c r="R609" s="105">
        <f t="shared" si="175"/>
        <v>0</v>
      </c>
      <c r="S609" s="105">
        <f>VLOOKUP(A609,Data!$A$2:$Z$179,12,FALSE)</f>
        <v>9.657</v>
      </c>
      <c r="T609" s="105">
        <f>S609*F609</f>
        <v>0</v>
      </c>
      <c r="U609" s="105">
        <f>VLOOKUP(A609,Data!$A$2:$Z$179,13,FALSE)</f>
        <v>1.4518670374251834E-2</v>
      </c>
      <c r="V609" s="91">
        <f t="shared" si="172"/>
        <v>0</v>
      </c>
      <c r="W609" s="105">
        <f>VLOOKUP(A609,Data!$A$2:$Z$179,22,FALSE)</f>
        <v>0</v>
      </c>
      <c r="X609" s="105">
        <f>W609*F609</f>
        <v>0</v>
      </c>
      <c r="Y609" s="105">
        <f>VLOOKUP(A609,Data!$A$2:$Z$179,19,FALSE)</f>
        <v>0</v>
      </c>
      <c r="Z609" s="105">
        <f t="shared" si="176"/>
        <v>0</v>
      </c>
      <c r="AA609" s="105">
        <f>VLOOKUP(A609,Data!$A$2:$Z$179,20,FALSE)</f>
        <v>0</v>
      </c>
      <c r="AB609" s="105">
        <f>$F609*AA609</f>
        <v>0</v>
      </c>
      <c r="AC609" s="105">
        <f>VLOOKUP(A609,Data!$A$2:$Z$179,21,FALSE)</f>
        <v>0</v>
      </c>
      <c r="AD609" s="105">
        <f t="shared" si="174"/>
        <v>0</v>
      </c>
      <c r="AE609" s="105">
        <f>J609+L609+N609+O609+Q609+S609+U609+W609+Y609+AA609+AC609</f>
        <v>29.01651867037425</v>
      </c>
      <c r="AF609" s="105">
        <f t="shared" si="167"/>
        <v>0</v>
      </c>
      <c r="AG609" s="105"/>
      <c r="AH609" s="106">
        <f>AE609-S609-W609</f>
        <v>19.35951867037425</v>
      </c>
      <c r="AI609" s="85">
        <f>AH609/AE609</f>
        <v>0.66718957192270767</v>
      </c>
      <c r="AK609" s="106">
        <f t="shared" si="164"/>
        <v>9.657</v>
      </c>
      <c r="AL609" s="106">
        <f t="shared" si="165"/>
        <v>9.657</v>
      </c>
      <c r="AQ609" s="107"/>
      <c r="AS609" s="108"/>
    </row>
    <row r="610" spans="1:45" x14ac:dyDescent="0.2">
      <c r="B610" s="101"/>
      <c r="C610" s="92"/>
      <c r="D610" s="92"/>
      <c r="F610" s="109"/>
      <c r="G610" s="109"/>
      <c r="H610" s="109"/>
      <c r="I610" s="109"/>
      <c r="J610" s="105"/>
      <c r="K610" s="105"/>
      <c r="L610" s="105"/>
      <c r="M610" s="105">
        <f t="shared" si="168"/>
        <v>0</v>
      </c>
      <c r="N610" s="105"/>
      <c r="O610" s="105"/>
      <c r="P610" s="105">
        <f t="shared" si="169"/>
        <v>0</v>
      </c>
      <c r="Q610" s="105"/>
      <c r="R610" s="105">
        <f t="shared" si="175"/>
        <v>0</v>
      </c>
      <c r="S610" s="105"/>
      <c r="T610" s="105">
        <f t="shared" si="170"/>
        <v>0</v>
      </c>
      <c r="U610" s="105"/>
      <c r="V610" s="91">
        <f t="shared" si="172"/>
        <v>0</v>
      </c>
      <c r="W610" s="105"/>
      <c r="X610" s="105">
        <f t="shared" si="171"/>
        <v>0</v>
      </c>
      <c r="Z610" s="105">
        <f t="shared" si="176"/>
        <v>0</v>
      </c>
      <c r="AB610" s="105">
        <f>$F609*AA610</f>
        <v>0</v>
      </c>
      <c r="AD610" s="105">
        <f t="shared" si="174"/>
        <v>0</v>
      </c>
      <c r="AE610" s="105"/>
      <c r="AF610" s="105">
        <f t="shared" si="167"/>
        <v>0</v>
      </c>
      <c r="AG610" s="105"/>
      <c r="AH610" s="106"/>
      <c r="AK610" s="106">
        <f t="shared" si="164"/>
        <v>0</v>
      </c>
      <c r="AL610" s="106">
        <f t="shared" si="165"/>
        <v>0</v>
      </c>
      <c r="AQ610" s="107"/>
      <c r="AS610" s="108"/>
    </row>
    <row r="611" spans="1:45" x14ac:dyDescent="0.2">
      <c r="A611" s="85" t="s">
        <v>256</v>
      </c>
      <c r="B611" s="101" t="s">
        <v>254</v>
      </c>
      <c r="C611" s="86" t="s">
        <v>257</v>
      </c>
      <c r="D611" s="92"/>
      <c r="F611" s="102">
        <f>E611</f>
        <v>0</v>
      </c>
      <c r="G611" s="102"/>
      <c r="H611" s="102"/>
      <c r="I611" s="102"/>
      <c r="J611" s="105"/>
      <c r="K611" s="105"/>
      <c r="L611" s="105"/>
      <c r="M611" s="105">
        <f t="shared" si="168"/>
        <v>0</v>
      </c>
      <c r="N611" s="105"/>
      <c r="O611" s="105"/>
      <c r="P611" s="105">
        <f t="shared" si="169"/>
        <v>0</v>
      </c>
      <c r="Q611" s="105"/>
      <c r="R611" s="105">
        <f t="shared" si="175"/>
        <v>0</v>
      </c>
      <c r="S611" s="105"/>
      <c r="T611" s="105">
        <f t="shared" si="170"/>
        <v>0</v>
      </c>
      <c r="U611" s="105"/>
      <c r="V611" s="91">
        <f t="shared" si="172"/>
        <v>0</v>
      </c>
      <c r="W611" s="105"/>
      <c r="X611" s="105">
        <f t="shared" si="171"/>
        <v>0</v>
      </c>
      <c r="Z611" s="105">
        <f t="shared" si="176"/>
        <v>0</v>
      </c>
      <c r="AB611" s="105">
        <f>$F610*AA611</f>
        <v>0</v>
      </c>
      <c r="AD611" s="105">
        <f t="shared" si="174"/>
        <v>0</v>
      </c>
      <c r="AE611" s="105"/>
      <c r="AF611" s="105">
        <f t="shared" si="167"/>
        <v>0</v>
      </c>
      <c r="AG611" s="105"/>
      <c r="AH611" s="106"/>
      <c r="AK611" s="106">
        <f t="shared" si="164"/>
        <v>0</v>
      </c>
      <c r="AL611" s="106">
        <f t="shared" si="165"/>
        <v>0</v>
      </c>
      <c r="AQ611" s="107"/>
      <c r="AR611" s="114"/>
      <c r="AS611" s="108"/>
    </row>
    <row r="612" spans="1:45" x14ac:dyDescent="0.2">
      <c r="A612" s="85" t="s">
        <v>256</v>
      </c>
      <c r="B612" s="101"/>
      <c r="C612" s="92" t="s">
        <v>865</v>
      </c>
      <c r="F612" s="117">
        <f>SUM(F611)</f>
        <v>0</v>
      </c>
      <c r="G612" s="104">
        <f>F612</f>
        <v>0</v>
      </c>
      <c r="H612" s="105">
        <f>VLOOKUP(A612,Data!$A$2:$Z$179,24,FALSE)</f>
        <v>27</v>
      </c>
      <c r="I612" s="105">
        <f>VLOOKUP(A612,Data!$A$2:$Z$179,25,FALSE)</f>
        <v>10.968</v>
      </c>
      <c r="J612" s="105">
        <f>VLOOKUP(A612,Data!$A$2:$Z$179,7,FALSE)</f>
        <v>16.032</v>
      </c>
      <c r="K612" s="105">
        <f>$F612*J612</f>
        <v>0</v>
      </c>
      <c r="L612" s="105">
        <f>VLOOKUP(A612,Data!$A$2:$Z$179,8,FALSE)</f>
        <v>0</v>
      </c>
      <c r="M612" s="105">
        <f>L612*F612</f>
        <v>0</v>
      </c>
      <c r="N612" s="105">
        <f>VLOOKUP(A612,Data!$A$2:$Z$179,9,FALSE)</f>
        <v>0</v>
      </c>
      <c r="O612" s="105">
        <f>VLOOKUP(A611,Data!$A$2:$Z$179,10,FALSE)</f>
        <v>0</v>
      </c>
      <c r="P612" s="105">
        <f>O612*F612</f>
        <v>0</v>
      </c>
      <c r="Q612" s="105">
        <f>VLOOKUP(A612,Data!$A$2:$Z$179,11,FALSE)</f>
        <v>0</v>
      </c>
      <c r="R612" s="105">
        <f t="shared" si="175"/>
        <v>0</v>
      </c>
      <c r="S612" s="105">
        <f>VLOOKUP(A612,Data!$A$2:$Z$179,12,FALSE)</f>
        <v>3.5059999999999998</v>
      </c>
      <c r="T612" s="105">
        <f>S612*F612</f>
        <v>0</v>
      </c>
      <c r="U612" s="105">
        <f>VLOOKUP(A612,Data!$A$2:$Z$179,13,FALSE)</f>
        <v>7.8191394476023433E-3</v>
      </c>
      <c r="V612" s="91">
        <f t="shared" si="172"/>
        <v>0</v>
      </c>
      <c r="W612" s="105">
        <f>VLOOKUP(A612,Data!$A$2:$Z$179,22,FALSE)</f>
        <v>0</v>
      </c>
      <c r="X612" s="105">
        <f>W612*F612</f>
        <v>0</v>
      </c>
      <c r="Y612" s="105">
        <f>VLOOKUP(A612,Data!$A$2:$Z$179,19,FALSE)</f>
        <v>0</v>
      </c>
      <c r="Z612" s="105">
        <f t="shared" si="176"/>
        <v>0</v>
      </c>
      <c r="AA612" s="105">
        <f>VLOOKUP(A612,Data!$A$2:$Z$179,20,FALSE)</f>
        <v>0</v>
      </c>
      <c r="AB612" s="105">
        <f>$F612*AA612</f>
        <v>0</v>
      </c>
      <c r="AC612" s="105">
        <f>VLOOKUP(A612,Data!$A$2:$Z$179,21,FALSE)</f>
        <v>0</v>
      </c>
      <c r="AD612" s="105">
        <f t="shared" si="174"/>
        <v>0</v>
      </c>
      <c r="AE612" s="105">
        <f>J612+L612+N612+O612+Q612+S612+U612+W612+Y612+AA612+AC612</f>
        <v>19.545819139447602</v>
      </c>
      <c r="AF612" s="105">
        <f t="shared" si="167"/>
        <v>0</v>
      </c>
      <c r="AG612" s="105"/>
      <c r="AH612" s="106">
        <f>AE612-S612-W612</f>
        <v>16.039819139447602</v>
      </c>
      <c r="AI612" s="118">
        <f>AH612/AE612</f>
        <v>0.82062660178185365</v>
      </c>
      <c r="AK612" s="106">
        <f t="shared" si="164"/>
        <v>3.5059999999999998</v>
      </c>
      <c r="AL612" s="106">
        <f t="shared" si="165"/>
        <v>3.5059999999999998</v>
      </c>
      <c r="AQ612" s="107"/>
      <c r="AS612" s="108"/>
    </row>
    <row r="613" spans="1:45" x14ac:dyDescent="0.2">
      <c r="B613" s="101"/>
      <c r="C613" s="92"/>
      <c r="F613" s="119"/>
      <c r="G613" s="119"/>
      <c r="H613" s="119"/>
      <c r="I613" s="119"/>
      <c r="J613" s="105"/>
      <c r="K613" s="105"/>
      <c r="L613" s="105"/>
      <c r="M613" s="105">
        <f t="shared" si="168"/>
        <v>0</v>
      </c>
      <c r="N613" s="105"/>
      <c r="O613" s="105"/>
      <c r="P613" s="105">
        <f t="shared" si="169"/>
        <v>0</v>
      </c>
      <c r="Q613" s="105"/>
      <c r="R613" s="105">
        <f t="shared" si="175"/>
        <v>0</v>
      </c>
      <c r="S613" s="105"/>
      <c r="T613" s="105">
        <f t="shared" si="170"/>
        <v>0</v>
      </c>
      <c r="U613" s="105"/>
      <c r="V613" s="91">
        <f t="shared" si="172"/>
        <v>0</v>
      </c>
      <c r="W613" s="105"/>
      <c r="X613" s="105">
        <f t="shared" si="171"/>
        <v>0</v>
      </c>
      <c r="Y613" s="105"/>
      <c r="Z613" s="105">
        <f t="shared" si="176"/>
        <v>0</v>
      </c>
      <c r="AA613" s="105"/>
      <c r="AB613" s="105">
        <f>$F613*AA613</f>
        <v>0</v>
      </c>
      <c r="AC613" s="105"/>
      <c r="AD613" s="105">
        <f t="shared" si="174"/>
        <v>0</v>
      </c>
      <c r="AE613" s="105"/>
      <c r="AF613" s="105"/>
      <c r="AG613" s="105"/>
      <c r="AH613" s="106"/>
      <c r="AI613" s="118"/>
      <c r="AK613" s="106">
        <f t="shared" si="164"/>
        <v>0</v>
      </c>
      <c r="AL613" s="106">
        <f t="shared" si="165"/>
        <v>0</v>
      </c>
      <c r="AQ613" s="107"/>
      <c r="AS613" s="108"/>
    </row>
    <row r="614" spans="1:45" x14ac:dyDescent="0.2">
      <c r="A614" s="85" t="s">
        <v>258</v>
      </c>
      <c r="B614" s="101" t="s">
        <v>254</v>
      </c>
      <c r="C614" s="86" t="s">
        <v>259</v>
      </c>
      <c r="D614" s="92"/>
      <c r="F614" s="102">
        <f>E614</f>
        <v>0</v>
      </c>
      <c r="G614" s="104"/>
      <c r="H614" s="104"/>
      <c r="I614" s="104"/>
      <c r="J614" s="105"/>
      <c r="K614" s="105"/>
      <c r="L614" s="105"/>
      <c r="M614" s="105">
        <f t="shared" si="168"/>
        <v>0</v>
      </c>
      <c r="N614" s="105"/>
      <c r="O614" s="105"/>
      <c r="P614" s="105">
        <f t="shared" si="169"/>
        <v>0</v>
      </c>
      <c r="Q614" s="105"/>
      <c r="R614" s="105">
        <f t="shared" si="175"/>
        <v>0</v>
      </c>
      <c r="S614" s="105"/>
      <c r="T614" s="105">
        <f t="shared" si="170"/>
        <v>0</v>
      </c>
      <c r="U614" s="105"/>
      <c r="V614" s="91">
        <f t="shared" si="172"/>
        <v>0</v>
      </c>
      <c r="W614" s="105"/>
      <c r="X614" s="105">
        <f t="shared" si="171"/>
        <v>0</v>
      </c>
      <c r="Y614" s="105"/>
      <c r="Z614" s="105">
        <f t="shared" si="176"/>
        <v>0</v>
      </c>
      <c r="AA614" s="105"/>
      <c r="AB614" s="105">
        <f>$F614*AA614</f>
        <v>0</v>
      </c>
      <c r="AC614" s="105"/>
      <c r="AD614" s="105">
        <f t="shared" si="174"/>
        <v>0</v>
      </c>
      <c r="AE614" s="105"/>
      <c r="AF614" s="105"/>
      <c r="AG614" s="105"/>
      <c r="AH614" s="106"/>
      <c r="AI614" s="118"/>
      <c r="AK614" s="106">
        <f t="shared" si="164"/>
        <v>0</v>
      </c>
      <c r="AL614" s="106">
        <f t="shared" si="165"/>
        <v>0</v>
      </c>
      <c r="AQ614" s="107"/>
      <c r="AS614" s="108"/>
    </row>
    <row r="615" spans="1:45" x14ac:dyDescent="0.2">
      <c r="A615" s="85" t="s">
        <v>258</v>
      </c>
      <c r="B615" s="101" t="s">
        <v>55</v>
      </c>
      <c r="C615" s="86" t="s">
        <v>259</v>
      </c>
      <c r="F615" s="102">
        <f>E615</f>
        <v>0</v>
      </c>
      <c r="G615" s="109"/>
      <c r="H615" s="109"/>
      <c r="I615" s="109"/>
      <c r="J615" s="105"/>
      <c r="K615" s="105"/>
      <c r="L615" s="105"/>
      <c r="M615" s="105">
        <f t="shared" si="168"/>
        <v>0</v>
      </c>
      <c r="N615" s="105"/>
      <c r="O615" s="105"/>
      <c r="P615" s="105">
        <f t="shared" si="169"/>
        <v>0</v>
      </c>
      <c r="Q615" s="105"/>
      <c r="R615" s="105">
        <f t="shared" si="175"/>
        <v>0</v>
      </c>
      <c r="S615" s="105"/>
      <c r="T615" s="105">
        <f t="shared" si="170"/>
        <v>0</v>
      </c>
      <c r="U615" s="105"/>
      <c r="V615" s="91">
        <f t="shared" si="172"/>
        <v>0</v>
      </c>
      <c r="W615" s="105"/>
      <c r="X615" s="105">
        <f t="shared" si="171"/>
        <v>0</v>
      </c>
      <c r="Z615" s="105">
        <f t="shared" si="176"/>
        <v>0</v>
      </c>
      <c r="AB615" s="105">
        <f>$F614*AA615</f>
        <v>0</v>
      </c>
      <c r="AD615" s="105">
        <f t="shared" si="174"/>
        <v>0</v>
      </c>
      <c r="AE615" s="105"/>
      <c r="AF615" s="105"/>
      <c r="AG615" s="105"/>
      <c r="AH615" s="106"/>
      <c r="AI615" s="118"/>
      <c r="AK615" s="106">
        <f t="shared" si="164"/>
        <v>0</v>
      </c>
      <c r="AL615" s="106">
        <f t="shared" si="165"/>
        <v>0</v>
      </c>
      <c r="AQ615" s="107"/>
      <c r="AS615" s="108"/>
    </row>
    <row r="616" spans="1:45" x14ac:dyDescent="0.2">
      <c r="A616" s="85" t="s">
        <v>258</v>
      </c>
      <c r="B616" s="101"/>
      <c r="C616" s="92" t="s">
        <v>866</v>
      </c>
      <c r="F616" s="117">
        <f>SUM(F614:F615)</f>
        <v>0</v>
      </c>
      <c r="G616" s="102">
        <f>F616</f>
        <v>0</v>
      </c>
      <c r="H616" s="105">
        <f>VLOOKUP(A616,Data!$A$2:$Z$179,24,FALSE)</f>
        <v>27</v>
      </c>
      <c r="I616" s="105">
        <f>VLOOKUP(A616,Data!$A$2:$Z$179,25,FALSE)</f>
        <v>4.5019999999999998</v>
      </c>
      <c r="J616" s="105">
        <f>VLOOKUP(A616,Data!$A$2:$Z$179,7,FALSE)</f>
        <v>22.498000000000001</v>
      </c>
      <c r="K616" s="105">
        <f>$F616*J616</f>
        <v>0</v>
      </c>
      <c r="L616" s="105">
        <f>VLOOKUP(A616,Data!$A$2:$Z$179,8,FALSE)</f>
        <v>0</v>
      </c>
      <c r="M616" s="105">
        <f>L616*F616</f>
        <v>0</v>
      </c>
      <c r="N616" s="105">
        <f>VLOOKUP(A616,Data!$A$2:$Z$179,9,FALSE)</f>
        <v>0</v>
      </c>
      <c r="O616" s="105">
        <f>VLOOKUP(A615,Data!$A$2:$Z$179,10,FALSE)</f>
        <v>0</v>
      </c>
      <c r="P616" s="105">
        <f>O616*F616</f>
        <v>0</v>
      </c>
      <c r="Q616" s="105">
        <f>VLOOKUP(A616,Data!$A$2:$Z$179,11,FALSE)</f>
        <v>0</v>
      </c>
      <c r="R616" s="105">
        <f t="shared" si="175"/>
        <v>0</v>
      </c>
      <c r="S616" s="105">
        <f>VLOOKUP(A616,Data!$A$2:$Z$179,12,FALSE)</f>
        <v>0</v>
      </c>
      <c r="T616" s="105">
        <f>S616*F616</f>
        <v>0</v>
      </c>
      <c r="U616" s="105">
        <f>VLOOKUP(A616,Data!$A$2:$Z$179,13,FALSE)</f>
        <v>1.0693656805052361E-4</v>
      </c>
      <c r="V616" s="91">
        <f t="shared" si="172"/>
        <v>0</v>
      </c>
      <c r="W616" s="105">
        <f>VLOOKUP(A616,Data!$A$2:$Z$179,22,FALSE)</f>
        <v>0</v>
      </c>
      <c r="X616" s="105">
        <f>W616*F616</f>
        <v>0</v>
      </c>
      <c r="Y616" s="105">
        <f>VLOOKUP(A616,Data!$A$2:$Z$179,19,FALSE)</f>
        <v>0</v>
      </c>
      <c r="Z616" s="105">
        <f t="shared" si="176"/>
        <v>0</v>
      </c>
      <c r="AA616" s="105">
        <f>VLOOKUP(A616,Data!$A$2:$Z$179,20,FALSE)</f>
        <v>0</v>
      </c>
      <c r="AB616" s="105">
        <f>$F616*AA616</f>
        <v>0</v>
      </c>
      <c r="AC616" s="105">
        <f>VLOOKUP(A616,Data!$A$2:$Z$179,21,FALSE)</f>
        <v>0</v>
      </c>
      <c r="AD616" s="105">
        <f t="shared" si="174"/>
        <v>0</v>
      </c>
      <c r="AE616" s="105">
        <f>J616+L616+N616+O616+Q616+S616+U616+W616+Y616+AA616+AC616</f>
        <v>22.498106936568053</v>
      </c>
      <c r="AF616" s="105"/>
      <c r="AG616" s="105"/>
      <c r="AH616" s="106">
        <f>AE616-S616-W616</f>
        <v>22.498106936568053</v>
      </c>
      <c r="AI616" s="118">
        <f>AH616/AE616</f>
        <v>1</v>
      </c>
      <c r="AK616" s="106">
        <f t="shared" si="164"/>
        <v>0</v>
      </c>
      <c r="AL616" s="106">
        <f t="shared" si="165"/>
        <v>0</v>
      </c>
      <c r="AQ616" s="107"/>
      <c r="AS616" s="108"/>
    </row>
    <row r="617" spans="1:45" x14ac:dyDescent="0.2">
      <c r="B617" s="101"/>
      <c r="C617" s="92"/>
      <c r="D617" s="92"/>
      <c r="F617" s="102"/>
      <c r="G617" s="102"/>
      <c r="H617" s="102"/>
      <c r="I617" s="102"/>
      <c r="J617" s="105"/>
      <c r="K617" s="105"/>
      <c r="L617" s="105"/>
      <c r="M617" s="105">
        <f t="shared" si="168"/>
        <v>0</v>
      </c>
      <c r="N617" s="105"/>
      <c r="O617" s="105"/>
      <c r="P617" s="105">
        <f t="shared" si="169"/>
        <v>0</v>
      </c>
      <c r="Q617" s="105"/>
      <c r="R617" s="105">
        <f t="shared" si="175"/>
        <v>0</v>
      </c>
      <c r="S617" s="105"/>
      <c r="T617" s="105">
        <f t="shared" si="170"/>
        <v>0</v>
      </c>
      <c r="U617" s="105"/>
      <c r="V617" s="91">
        <f t="shared" si="172"/>
        <v>0</v>
      </c>
      <c r="W617" s="105"/>
      <c r="X617" s="105">
        <f t="shared" si="171"/>
        <v>0</v>
      </c>
      <c r="Z617" s="105">
        <f t="shared" si="176"/>
        <v>0</v>
      </c>
      <c r="AB617" s="105">
        <f>$F616*AA617</f>
        <v>0</v>
      </c>
      <c r="AD617" s="105">
        <f t="shared" si="174"/>
        <v>0</v>
      </c>
      <c r="AE617" s="105"/>
      <c r="AF617" s="105"/>
      <c r="AG617" s="105"/>
      <c r="AH617" s="106"/>
      <c r="AI617" s="118"/>
      <c r="AK617" s="106">
        <f t="shared" si="164"/>
        <v>0</v>
      </c>
      <c r="AL617" s="106">
        <f t="shared" si="165"/>
        <v>0</v>
      </c>
      <c r="AQ617" s="107"/>
      <c r="AS617" s="108"/>
    </row>
    <row r="618" spans="1:45" x14ac:dyDescent="0.2">
      <c r="A618" s="114" t="s">
        <v>260</v>
      </c>
      <c r="B618" s="101" t="s">
        <v>254</v>
      </c>
      <c r="C618" s="86" t="s">
        <v>261</v>
      </c>
      <c r="D618" s="92"/>
      <c r="F618" s="102">
        <f>E618</f>
        <v>0</v>
      </c>
      <c r="G618" s="104"/>
      <c r="H618" s="104"/>
      <c r="I618" s="104"/>
      <c r="J618" s="105"/>
      <c r="K618" s="105"/>
      <c r="L618" s="105"/>
      <c r="M618" s="105">
        <f t="shared" si="168"/>
        <v>0</v>
      </c>
      <c r="N618" s="105"/>
      <c r="O618" s="105"/>
      <c r="P618" s="105">
        <f t="shared" si="169"/>
        <v>0</v>
      </c>
      <c r="Q618" s="105"/>
      <c r="R618" s="105">
        <f t="shared" si="175"/>
        <v>0</v>
      </c>
      <c r="S618" s="105"/>
      <c r="T618" s="105">
        <f t="shared" si="170"/>
        <v>0</v>
      </c>
      <c r="U618" s="105"/>
      <c r="V618" s="91">
        <f t="shared" si="172"/>
        <v>0</v>
      </c>
      <c r="W618" s="105"/>
      <c r="X618" s="105">
        <f t="shared" si="171"/>
        <v>0</v>
      </c>
      <c r="Y618" s="105"/>
      <c r="Z618" s="105">
        <f t="shared" si="176"/>
        <v>0</v>
      </c>
      <c r="AA618" s="105"/>
      <c r="AB618" s="105">
        <f>$F617*AA618</f>
        <v>0</v>
      </c>
      <c r="AC618" s="105"/>
      <c r="AD618" s="105">
        <f t="shared" si="174"/>
        <v>0</v>
      </c>
      <c r="AE618" s="105"/>
      <c r="AF618" s="105"/>
      <c r="AG618" s="105"/>
      <c r="AH618" s="106"/>
      <c r="AI618" s="118"/>
      <c r="AK618" s="106">
        <f t="shared" si="164"/>
        <v>0</v>
      </c>
      <c r="AL618" s="106">
        <f t="shared" si="165"/>
        <v>0</v>
      </c>
      <c r="AQ618" s="107"/>
      <c r="AS618" s="108"/>
    </row>
    <row r="619" spans="1:45" x14ac:dyDescent="0.2">
      <c r="A619" s="114" t="s">
        <v>260</v>
      </c>
      <c r="B619" s="101" t="s">
        <v>55</v>
      </c>
      <c r="C619" s="86" t="s">
        <v>261</v>
      </c>
      <c r="F619" s="102">
        <f>E619</f>
        <v>0</v>
      </c>
      <c r="J619" s="105"/>
      <c r="K619" s="105"/>
      <c r="L619" s="105"/>
      <c r="M619" s="105">
        <f t="shared" si="168"/>
        <v>0</v>
      </c>
      <c r="N619" s="105"/>
      <c r="P619" s="105">
        <f t="shared" si="169"/>
        <v>0</v>
      </c>
      <c r="R619" s="105">
        <f t="shared" si="175"/>
        <v>0</v>
      </c>
      <c r="T619" s="105">
        <f t="shared" si="170"/>
        <v>0</v>
      </c>
      <c r="V619" s="91">
        <f t="shared" si="172"/>
        <v>0</v>
      </c>
      <c r="W619" s="105"/>
      <c r="X619" s="105">
        <f t="shared" si="171"/>
        <v>0</v>
      </c>
      <c r="Z619" s="105">
        <f t="shared" si="176"/>
        <v>0</v>
      </c>
      <c r="AA619" s="106"/>
      <c r="AB619" s="105">
        <f>$F619*AA619</f>
        <v>0</v>
      </c>
      <c r="AD619" s="105">
        <f t="shared" si="174"/>
        <v>0</v>
      </c>
      <c r="AE619" s="105"/>
      <c r="AI619" s="118"/>
      <c r="AK619" s="106"/>
      <c r="AL619" s="106"/>
      <c r="AQ619" s="107"/>
      <c r="AR619" s="114"/>
      <c r="AS619" s="108"/>
    </row>
    <row r="620" spans="1:45" x14ac:dyDescent="0.2">
      <c r="A620" s="114" t="s">
        <v>260</v>
      </c>
      <c r="B620" s="101"/>
      <c r="C620" s="92" t="s">
        <v>867</v>
      </c>
      <c r="F620" s="104">
        <f>SUM(F618:F619)</f>
        <v>0</v>
      </c>
      <c r="G620" s="104">
        <f>F620</f>
        <v>0</v>
      </c>
      <c r="H620" s="105">
        <f>VLOOKUP(A620,Data!$A$2:$Z$179,24,FALSE)</f>
        <v>27</v>
      </c>
      <c r="I620" s="105">
        <f>VLOOKUP(A620,Data!$A$2:$Z$179,25,FALSE)</f>
        <v>6.3250000000000002</v>
      </c>
      <c r="J620" s="105">
        <f>VLOOKUP(A620,Data!$A$2:$Z$179,7,FALSE)</f>
        <v>20.675000000000001</v>
      </c>
      <c r="K620" s="105">
        <f>$F620*J620</f>
        <v>0</v>
      </c>
      <c r="L620" s="105">
        <f>VLOOKUP(A620,Data!$A$2:$Z$179,8,FALSE)</f>
        <v>0</v>
      </c>
      <c r="M620" s="105">
        <f>L620*F620</f>
        <v>0</v>
      </c>
      <c r="N620" s="105">
        <f>VLOOKUP(A620,Data!$A$2:$Z$179,9,FALSE)</f>
        <v>0</v>
      </c>
      <c r="O620" s="105">
        <f>VLOOKUP(A619,Data!$A$2:$Z$179,10,FALSE)</f>
        <v>0</v>
      </c>
      <c r="P620" s="105">
        <f>O620*F620</f>
        <v>0</v>
      </c>
      <c r="Q620" s="105">
        <f>VLOOKUP(A620,Data!$A$2:$Z$179,11,FALSE)</f>
        <v>0</v>
      </c>
      <c r="R620" s="105">
        <f t="shared" si="175"/>
        <v>0</v>
      </c>
      <c r="S620" s="105">
        <f>VLOOKUP(A620,Data!$A$2:$Z$179,12,FALSE)</f>
        <v>15.959000000000001</v>
      </c>
      <c r="T620" s="105">
        <f>S620*F620</f>
        <v>0</v>
      </c>
      <c r="U620" s="105">
        <f>VLOOKUP(A620,Data!$A$2:$Z$179,13,FALSE)</f>
        <v>2.6047331144709788E-3</v>
      </c>
      <c r="V620" s="91">
        <f t="shared" si="172"/>
        <v>0</v>
      </c>
      <c r="W620" s="105">
        <f>VLOOKUP(A620,Data!$A$2:$Z$179,22,FALSE)</f>
        <v>0</v>
      </c>
      <c r="X620" s="105">
        <f>W620*F620</f>
        <v>0</v>
      </c>
      <c r="Y620" s="105">
        <f>VLOOKUP(A620,Data!$A$2:$Z$179,19,FALSE)</f>
        <v>0</v>
      </c>
      <c r="Z620" s="105">
        <f t="shared" si="176"/>
        <v>0</v>
      </c>
      <c r="AA620" s="105">
        <f>VLOOKUP(A620,Data!$A$2:$Z$179,20,FALSE)</f>
        <v>0</v>
      </c>
      <c r="AB620" s="105">
        <f>$F620*AA620</f>
        <v>0</v>
      </c>
      <c r="AC620" s="105">
        <f>VLOOKUP(A620,Data!$A$2:$Z$179,21,FALSE)</f>
        <v>0</v>
      </c>
      <c r="AD620" s="105">
        <f t="shared" si="174"/>
        <v>0</v>
      </c>
      <c r="AE620" s="105">
        <f>J620+L620+O620+Q620+S620+U620+W620+Y620+AA620+AC620</f>
        <v>36.636604733114474</v>
      </c>
      <c r="AH620" s="106">
        <f>AE620-S620-W620</f>
        <v>20.677604733114471</v>
      </c>
      <c r="AI620" s="118">
        <f>AH620/AE620</f>
        <v>0.56439740755847789</v>
      </c>
      <c r="AK620" s="106"/>
      <c r="AL620" s="106"/>
      <c r="AQ620" s="107"/>
      <c r="AR620" s="114"/>
      <c r="AS620" s="108"/>
    </row>
    <row r="621" spans="1:45" x14ac:dyDescent="0.2">
      <c r="B621" s="101"/>
      <c r="C621" s="92"/>
      <c r="D621" s="92"/>
      <c r="E621" s="92"/>
      <c r="F621" s="120"/>
      <c r="G621" s="120"/>
      <c r="H621" s="120"/>
      <c r="I621" s="120"/>
      <c r="J621" s="106"/>
      <c r="AE621" s="105"/>
    </row>
    <row r="622" spans="1:45" x14ac:dyDescent="0.2">
      <c r="B622" s="101"/>
      <c r="C622" s="92" t="s">
        <v>868</v>
      </c>
      <c r="D622" s="92"/>
      <c r="E622" s="92"/>
      <c r="F622" s="109" t="e">
        <f>SUM(G8:G620)</f>
        <v>#REF!</v>
      </c>
      <c r="G622" s="109"/>
      <c r="H622" s="109"/>
      <c r="I622" s="109"/>
      <c r="J622" s="121">
        <f>SUM(J8:J620)</f>
        <v>3610.3119999999985</v>
      </c>
      <c r="L622" s="121">
        <f>SUM(L8:L620)</f>
        <v>0.16500000000000001</v>
      </c>
      <c r="O622" s="121">
        <f>SUM(O8:O620)</f>
        <v>220.99900000000008</v>
      </c>
      <c r="Q622" s="121">
        <f>SUM(Q8:Q620)</f>
        <v>5.0999999999999997E-2</v>
      </c>
      <c r="S622" s="121">
        <f>SUM(S8:S620)</f>
        <v>625.30900000000031</v>
      </c>
      <c r="U622" s="121">
        <f>SUM(U8:U620)</f>
        <v>21.653187224709104</v>
      </c>
      <c r="W622" s="121">
        <f>SUM(W8:W620)</f>
        <v>38.088999999999999</v>
      </c>
      <c r="Y622" s="121">
        <f>SUM(Y8:Y620)</f>
        <v>2.5049999999999999</v>
      </c>
      <c r="AA622" s="121">
        <f>SUM(AA8:AA620)</f>
        <v>0</v>
      </c>
      <c r="AC622" s="121">
        <f>SUM(AC8:AC620)</f>
        <v>4</v>
      </c>
      <c r="AE622" s="121">
        <f>SUM(AE8:AE620)</f>
        <v>4523.5971872247101</v>
      </c>
    </row>
    <row r="623" spans="1:45" x14ac:dyDescent="0.2">
      <c r="B623" s="101"/>
      <c r="F623" s="116"/>
      <c r="G623" s="116"/>
      <c r="H623" s="116"/>
      <c r="I623" s="116"/>
      <c r="J623" s="120"/>
      <c r="K623" s="120"/>
      <c r="L623" s="122"/>
      <c r="M623" s="122"/>
      <c r="N623" s="122"/>
      <c r="O623" s="122"/>
      <c r="P623" s="122"/>
      <c r="Q623" s="123"/>
      <c r="R623" s="122"/>
      <c r="S623" s="122"/>
      <c r="T623" s="122"/>
      <c r="U623" s="122"/>
      <c r="X623" s="122"/>
      <c r="Y623" s="120"/>
      <c r="Z623" s="120"/>
      <c r="AA623" s="120"/>
      <c r="AB623" s="120"/>
      <c r="AC623" s="120" t="s">
        <v>271</v>
      </c>
      <c r="AD623" s="120"/>
      <c r="AE623" s="105"/>
      <c r="AI623" s="120"/>
    </row>
    <row r="624" spans="1:45" x14ac:dyDescent="0.2">
      <c r="B624" s="101"/>
      <c r="F624" s="109"/>
      <c r="G624" s="109"/>
      <c r="H624" s="109"/>
      <c r="I624" s="109"/>
      <c r="AA624" s="105"/>
      <c r="AE624" s="105"/>
    </row>
    <row r="625" spans="2:180" x14ac:dyDescent="0.2">
      <c r="B625" s="101"/>
      <c r="D625" s="124"/>
      <c r="E625" s="124"/>
      <c r="F625" s="116"/>
      <c r="AE625" s="105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20"/>
      <c r="AV625" s="120"/>
      <c r="AW625" s="120"/>
      <c r="AX625" s="120"/>
      <c r="AY625" s="120"/>
      <c r="AZ625" s="120"/>
      <c r="BA625" s="120"/>
      <c r="BB625" s="120"/>
      <c r="BC625" s="120"/>
      <c r="BD625" s="120"/>
      <c r="BE625" s="120"/>
      <c r="BF625" s="120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20"/>
      <c r="BS625" s="120"/>
      <c r="BT625" s="120"/>
      <c r="BU625" s="120"/>
      <c r="BV625" s="120"/>
      <c r="BW625" s="120"/>
      <c r="BX625" s="120"/>
      <c r="BY625" s="120"/>
      <c r="BZ625" s="120"/>
      <c r="CA625" s="120"/>
      <c r="CB625" s="120"/>
      <c r="CC625" s="120"/>
      <c r="CD625" s="120"/>
      <c r="CE625" s="120"/>
      <c r="CF625" s="120"/>
      <c r="CG625" s="120"/>
      <c r="CH625" s="120"/>
      <c r="CI625" s="120"/>
      <c r="CJ625" s="120"/>
      <c r="CK625" s="120"/>
      <c r="CL625" s="120"/>
      <c r="CM625" s="120"/>
      <c r="CN625" s="120"/>
      <c r="CO625" s="120"/>
      <c r="CP625" s="120"/>
      <c r="CQ625" s="120"/>
      <c r="CR625" s="120"/>
      <c r="CS625" s="120"/>
      <c r="CT625" s="120"/>
      <c r="CU625" s="120"/>
      <c r="CV625" s="120"/>
      <c r="CW625" s="120"/>
      <c r="CX625" s="120"/>
      <c r="CY625" s="120"/>
      <c r="CZ625" s="120"/>
      <c r="DA625" s="120"/>
      <c r="DB625" s="120"/>
      <c r="DC625" s="120"/>
      <c r="DD625" s="120"/>
      <c r="DE625" s="120"/>
      <c r="DF625" s="120"/>
      <c r="DG625" s="120"/>
      <c r="DH625" s="120"/>
      <c r="DI625" s="120"/>
      <c r="DJ625" s="120"/>
      <c r="DK625" s="120"/>
      <c r="DL625" s="120"/>
      <c r="DM625" s="120"/>
      <c r="DN625" s="120"/>
      <c r="DO625" s="120"/>
      <c r="DP625" s="120"/>
      <c r="DQ625" s="120"/>
      <c r="DR625" s="120"/>
      <c r="DS625" s="120"/>
      <c r="DT625" s="120"/>
      <c r="DU625" s="120"/>
      <c r="DV625" s="120"/>
      <c r="DW625" s="120"/>
      <c r="DX625" s="120"/>
      <c r="DY625" s="120"/>
      <c r="DZ625" s="120"/>
      <c r="EA625" s="120"/>
      <c r="EB625" s="120"/>
      <c r="EC625" s="120"/>
      <c r="ED625" s="120"/>
      <c r="EE625" s="120"/>
      <c r="EF625" s="120"/>
      <c r="EG625" s="120"/>
      <c r="EH625" s="120"/>
      <c r="EI625" s="120"/>
      <c r="EJ625" s="120"/>
      <c r="EK625" s="120"/>
      <c r="EL625" s="120"/>
      <c r="EM625" s="120"/>
      <c r="EN625" s="120"/>
      <c r="EO625" s="120"/>
      <c r="EP625" s="120"/>
      <c r="EQ625" s="120"/>
      <c r="ER625" s="120"/>
      <c r="ES625" s="120"/>
      <c r="ET625" s="120"/>
      <c r="EU625" s="120"/>
      <c r="EV625" s="120"/>
      <c r="EW625" s="120"/>
      <c r="EX625" s="120"/>
      <c r="EY625" s="120"/>
      <c r="EZ625" s="120"/>
      <c r="FA625" s="120"/>
      <c r="FB625" s="120"/>
      <c r="FC625" s="120"/>
      <c r="FD625" s="120"/>
      <c r="FE625" s="120"/>
      <c r="FF625" s="120"/>
      <c r="FG625" s="120"/>
      <c r="FH625" s="120"/>
      <c r="FI625" s="120"/>
      <c r="FJ625" s="120"/>
      <c r="FK625" s="120"/>
      <c r="FL625" s="120"/>
      <c r="FM625" s="120"/>
      <c r="FN625" s="120"/>
      <c r="FO625" s="120"/>
      <c r="FP625" s="120"/>
      <c r="FQ625" s="120"/>
      <c r="FR625" s="120"/>
      <c r="FS625" s="120"/>
      <c r="FT625" s="120"/>
      <c r="FU625" s="120"/>
      <c r="FV625" s="120"/>
      <c r="FW625" s="120"/>
      <c r="FX625" s="120"/>
    </row>
    <row r="626" spans="2:180" x14ac:dyDescent="0.2">
      <c r="B626" s="101"/>
      <c r="F626" s="109"/>
      <c r="J626" s="116"/>
      <c r="AE626" s="105"/>
    </row>
    <row r="627" spans="2:180" x14ac:dyDescent="0.2">
      <c r="B627" s="101"/>
      <c r="AE627" s="105"/>
      <c r="AF627" s="120"/>
      <c r="AG627" s="120"/>
    </row>
    <row r="628" spans="2:180" x14ac:dyDescent="0.2">
      <c r="B628" s="101"/>
      <c r="AE628" s="105"/>
      <c r="AF628" s="120"/>
      <c r="AG628" s="120"/>
    </row>
    <row r="629" spans="2:180" ht="15" x14ac:dyDescent="0.25">
      <c r="B629" s="101"/>
      <c r="J629" s="125"/>
      <c r="AE629" s="105"/>
      <c r="AF629" s="120"/>
      <c r="AG629" s="120"/>
    </row>
    <row r="630" spans="2:180" x14ac:dyDescent="0.2">
      <c r="B630" s="101"/>
      <c r="J630" s="126"/>
      <c r="AE630" s="105"/>
      <c r="AF630" s="120"/>
      <c r="AG630" s="120"/>
    </row>
    <row r="631" spans="2:180" x14ac:dyDescent="0.2">
      <c r="B631" s="101"/>
      <c r="J631" s="107"/>
      <c r="AE631" s="105"/>
      <c r="AF631" s="120"/>
      <c r="AG631" s="120"/>
    </row>
    <row r="632" spans="2:180" x14ac:dyDescent="0.2">
      <c r="B632" s="101"/>
      <c r="J632" s="126"/>
      <c r="AE632" s="105"/>
      <c r="AF632" s="120"/>
      <c r="AG632" s="120"/>
    </row>
    <row r="633" spans="2:180" x14ac:dyDescent="0.2">
      <c r="B633" s="101"/>
      <c r="AE633" s="105"/>
      <c r="AF633" s="120"/>
      <c r="AG633" s="120"/>
    </row>
    <row r="634" spans="2:180" x14ac:dyDescent="0.2">
      <c r="B634" s="101"/>
      <c r="AE634" s="105"/>
      <c r="AF634" s="120"/>
      <c r="AG634" s="120"/>
    </row>
    <row r="635" spans="2:180" x14ac:dyDescent="0.2">
      <c r="B635" s="101"/>
      <c r="AE635" s="105"/>
      <c r="AF635" s="120"/>
      <c r="AG635" s="120"/>
    </row>
    <row r="636" spans="2:180" x14ac:dyDescent="0.2">
      <c r="B636" s="101"/>
      <c r="AE636" s="105"/>
      <c r="AF636" s="120"/>
      <c r="AG636" s="120"/>
    </row>
    <row r="637" spans="2:180" x14ac:dyDescent="0.2">
      <c r="B637" s="101"/>
      <c r="AE637" s="105"/>
      <c r="AF637" s="120"/>
      <c r="AG637" s="120"/>
    </row>
    <row r="638" spans="2:180" x14ac:dyDescent="0.2">
      <c r="B638" s="101"/>
      <c r="AE638" s="105"/>
      <c r="AF638" s="120"/>
      <c r="AG638" s="120"/>
    </row>
    <row r="639" spans="2:180" x14ac:dyDescent="0.2">
      <c r="B639" s="101"/>
      <c r="AE639" s="105"/>
      <c r="AF639" s="120"/>
      <c r="AG639" s="120"/>
    </row>
    <row r="640" spans="2:180" x14ac:dyDescent="0.2">
      <c r="B640" s="101"/>
      <c r="AE640" s="105"/>
      <c r="AF640" s="120"/>
      <c r="AG640" s="120"/>
    </row>
    <row r="641" spans="2:33" x14ac:dyDescent="0.2">
      <c r="B641" s="101"/>
      <c r="AE641" s="105"/>
      <c r="AF641" s="120"/>
      <c r="AG641" s="120"/>
    </row>
    <row r="642" spans="2:33" x14ac:dyDescent="0.2">
      <c r="B642" s="101"/>
      <c r="AE642" s="105"/>
      <c r="AF642" s="120"/>
      <c r="AG642" s="120"/>
    </row>
    <row r="643" spans="2:33" x14ac:dyDescent="0.2">
      <c r="B643" s="101"/>
      <c r="AE643" s="105"/>
    </row>
    <row r="644" spans="2:33" x14ac:dyDescent="0.2">
      <c r="B644" s="101"/>
      <c r="AE644" s="105"/>
    </row>
    <row r="645" spans="2:33" x14ac:dyDescent="0.2">
      <c r="B645" s="101"/>
      <c r="AE645" s="105"/>
    </row>
    <row r="646" spans="2:33" x14ac:dyDescent="0.2">
      <c r="B646" s="101"/>
      <c r="AE646" s="105"/>
    </row>
    <row r="647" spans="2:33" x14ac:dyDescent="0.2">
      <c r="B647" s="101"/>
      <c r="AE647" s="105"/>
    </row>
    <row r="648" spans="2:33" x14ac:dyDescent="0.2">
      <c r="B648" s="101"/>
      <c r="AE648" s="105"/>
    </row>
    <row r="649" spans="2:33" x14ac:dyDescent="0.2">
      <c r="B649" s="101"/>
      <c r="AE649" s="105"/>
    </row>
    <row r="650" spans="2:33" x14ac:dyDescent="0.2">
      <c r="B650" s="101"/>
      <c r="AE650" s="105"/>
    </row>
    <row r="651" spans="2:33" x14ac:dyDescent="0.2">
      <c r="B651" s="101"/>
      <c r="AE651" s="105"/>
    </row>
    <row r="652" spans="2:33" x14ac:dyDescent="0.2">
      <c r="B652" s="101"/>
      <c r="AE652" s="105"/>
    </row>
    <row r="653" spans="2:33" x14ac:dyDescent="0.2">
      <c r="B653" s="101"/>
      <c r="AE653" s="105"/>
    </row>
    <row r="654" spans="2:33" x14ac:dyDescent="0.2">
      <c r="B654" s="101"/>
      <c r="AE654" s="105"/>
    </row>
    <row r="655" spans="2:33" x14ac:dyDescent="0.2">
      <c r="B655" s="101"/>
      <c r="AE655" s="105"/>
    </row>
    <row r="656" spans="2:33" x14ac:dyDescent="0.2">
      <c r="B656" s="101"/>
      <c r="AE656" s="105"/>
    </row>
    <row r="657" spans="2:12" x14ac:dyDescent="0.2">
      <c r="B657" s="101"/>
    </row>
    <row r="658" spans="2:12" x14ac:dyDescent="0.2">
      <c r="B658" s="101"/>
    </row>
    <row r="659" spans="2:12" x14ac:dyDescent="0.2">
      <c r="B659" s="101"/>
    </row>
    <row r="660" spans="2:12" x14ac:dyDescent="0.2">
      <c r="B660" s="101"/>
    </row>
    <row r="661" spans="2:12" x14ac:dyDescent="0.2">
      <c r="B661" s="101"/>
    </row>
    <row r="662" spans="2:12" x14ac:dyDescent="0.2">
      <c r="B662" s="101"/>
    </row>
    <row r="663" spans="2:12" x14ac:dyDescent="0.2">
      <c r="B663" s="101"/>
      <c r="J663" s="126"/>
      <c r="L663" s="127"/>
    </row>
    <row r="664" spans="2:12" x14ac:dyDescent="0.2">
      <c r="B664" s="101"/>
    </row>
    <row r="665" spans="2:12" x14ac:dyDescent="0.2">
      <c r="B665" s="101"/>
      <c r="J665" s="126"/>
      <c r="L665" s="127"/>
    </row>
    <row r="666" spans="2:12" x14ac:dyDescent="0.2">
      <c r="B666" s="101"/>
    </row>
    <row r="667" spans="2:12" x14ac:dyDescent="0.2">
      <c r="B667" s="101"/>
    </row>
    <row r="668" spans="2:12" x14ac:dyDescent="0.2">
      <c r="B668" s="101"/>
    </row>
    <row r="669" spans="2:12" x14ac:dyDescent="0.2">
      <c r="B669" s="101"/>
    </row>
    <row r="670" spans="2:12" x14ac:dyDescent="0.2">
      <c r="B670" s="101"/>
    </row>
    <row r="671" spans="2:12" x14ac:dyDescent="0.2">
      <c r="B671" s="101"/>
    </row>
    <row r="672" spans="2:12" x14ac:dyDescent="0.2">
      <c r="B672" s="101"/>
    </row>
    <row r="673" spans="2:2" x14ac:dyDescent="0.2">
      <c r="B673" s="101"/>
    </row>
    <row r="674" spans="2:2" x14ac:dyDescent="0.2">
      <c r="B674" s="101"/>
    </row>
    <row r="675" spans="2:2" x14ac:dyDescent="0.2">
      <c r="B675" s="101"/>
    </row>
    <row r="676" spans="2:2" x14ac:dyDescent="0.2">
      <c r="B676" s="101"/>
    </row>
    <row r="677" spans="2:2" x14ac:dyDescent="0.2">
      <c r="B677" s="101"/>
    </row>
    <row r="678" spans="2:2" x14ac:dyDescent="0.2">
      <c r="B678" s="101"/>
    </row>
    <row r="679" spans="2:2" x14ac:dyDescent="0.2">
      <c r="B679" s="101"/>
    </row>
    <row r="680" spans="2:2" x14ac:dyDescent="0.2">
      <c r="B680" s="101"/>
    </row>
    <row r="681" spans="2:2" x14ac:dyDescent="0.2">
      <c r="B681" s="101"/>
    </row>
    <row r="682" spans="2:2" x14ac:dyDescent="0.2">
      <c r="B682" s="101"/>
    </row>
    <row r="683" spans="2:2" x14ac:dyDescent="0.2">
      <c r="B683" s="101"/>
    </row>
    <row r="684" spans="2:2" x14ac:dyDescent="0.2">
      <c r="B684" s="101"/>
    </row>
    <row r="685" spans="2:2" x14ac:dyDescent="0.2">
      <c r="B685" s="101"/>
    </row>
    <row r="686" spans="2:2" x14ac:dyDescent="0.2">
      <c r="B686" s="101"/>
    </row>
    <row r="687" spans="2:2" x14ac:dyDescent="0.2">
      <c r="B687" s="101"/>
    </row>
    <row r="688" spans="2:2" x14ac:dyDescent="0.2">
      <c r="B688" s="101"/>
    </row>
    <row r="689" spans="2:2" x14ac:dyDescent="0.2">
      <c r="B689" s="101"/>
    </row>
    <row r="690" spans="2:2" x14ac:dyDescent="0.2">
      <c r="B690" s="101"/>
    </row>
    <row r="691" spans="2:2" x14ac:dyDescent="0.2">
      <c r="B691" s="101"/>
    </row>
    <row r="692" spans="2:2" x14ac:dyDescent="0.2">
      <c r="B692" s="101"/>
    </row>
    <row r="693" spans="2:2" x14ac:dyDescent="0.2">
      <c r="B693" s="101"/>
    </row>
    <row r="694" spans="2:2" x14ac:dyDescent="0.2">
      <c r="B694" s="101"/>
    </row>
    <row r="695" spans="2:2" x14ac:dyDescent="0.2">
      <c r="B695" s="101"/>
    </row>
    <row r="696" spans="2:2" x14ac:dyDescent="0.2">
      <c r="B696" s="101"/>
    </row>
    <row r="697" spans="2:2" x14ac:dyDescent="0.2">
      <c r="B697" s="101"/>
    </row>
    <row r="698" spans="2:2" x14ac:dyDescent="0.2">
      <c r="B698" s="101"/>
    </row>
    <row r="699" spans="2:2" x14ac:dyDescent="0.2">
      <c r="B699" s="101"/>
    </row>
    <row r="700" spans="2:2" x14ac:dyDescent="0.2">
      <c r="B700" s="101"/>
    </row>
    <row r="701" spans="2:2" x14ac:dyDescent="0.2">
      <c r="B701" s="101"/>
    </row>
    <row r="702" spans="2:2" x14ac:dyDescent="0.2">
      <c r="B702" s="101"/>
    </row>
    <row r="703" spans="2:2" x14ac:dyDescent="0.2">
      <c r="B703" s="101"/>
    </row>
    <row r="704" spans="2:2" x14ac:dyDescent="0.2">
      <c r="B704" s="101"/>
    </row>
    <row r="705" spans="2:2" x14ac:dyDescent="0.2">
      <c r="B705" s="101"/>
    </row>
    <row r="706" spans="2:2" x14ac:dyDescent="0.2">
      <c r="B706" s="101"/>
    </row>
    <row r="707" spans="2:2" x14ac:dyDescent="0.2">
      <c r="B707" s="101"/>
    </row>
    <row r="708" spans="2:2" x14ac:dyDescent="0.2">
      <c r="B708" s="101"/>
    </row>
    <row r="709" spans="2:2" x14ac:dyDescent="0.2">
      <c r="B709" s="101"/>
    </row>
    <row r="710" spans="2:2" x14ac:dyDescent="0.2">
      <c r="B710" s="101"/>
    </row>
    <row r="711" spans="2:2" x14ac:dyDescent="0.2">
      <c r="B711" s="101"/>
    </row>
    <row r="712" spans="2:2" x14ac:dyDescent="0.2">
      <c r="B712" s="101"/>
    </row>
    <row r="713" spans="2:2" x14ac:dyDescent="0.2">
      <c r="B713" s="101"/>
    </row>
    <row r="714" spans="2:2" x14ac:dyDescent="0.2">
      <c r="B714" s="101"/>
    </row>
    <row r="715" spans="2:2" x14ac:dyDescent="0.2">
      <c r="B715" s="101"/>
    </row>
    <row r="716" spans="2:2" x14ac:dyDescent="0.2">
      <c r="B716" s="101"/>
    </row>
    <row r="717" spans="2:2" x14ac:dyDescent="0.2">
      <c r="B717" s="101"/>
    </row>
    <row r="718" spans="2:2" x14ac:dyDescent="0.2">
      <c r="B718" s="101"/>
    </row>
    <row r="719" spans="2:2" x14ac:dyDescent="0.2">
      <c r="B719" s="101"/>
    </row>
    <row r="720" spans="2:2" x14ac:dyDescent="0.2">
      <c r="B720" s="101"/>
    </row>
    <row r="721" spans="2:2" x14ac:dyDescent="0.2">
      <c r="B721" s="101"/>
    </row>
    <row r="722" spans="2:2" x14ac:dyDescent="0.2">
      <c r="B722" s="101"/>
    </row>
    <row r="723" spans="2:2" x14ac:dyDescent="0.2">
      <c r="B723" s="101"/>
    </row>
    <row r="724" spans="2:2" x14ac:dyDescent="0.2">
      <c r="B724" s="101"/>
    </row>
    <row r="725" spans="2:2" x14ac:dyDescent="0.2">
      <c r="B725" s="101"/>
    </row>
    <row r="726" spans="2:2" x14ac:dyDescent="0.2">
      <c r="B726" s="101"/>
    </row>
    <row r="727" spans="2:2" x14ac:dyDescent="0.2">
      <c r="B727" s="101"/>
    </row>
    <row r="728" spans="2:2" x14ac:dyDescent="0.2">
      <c r="B728" s="101"/>
    </row>
    <row r="729" spans="2:2" x14ac:dyDescent="0.2">
      <c r="B729" s="101"/>
    </row>
    <row r="730" spans="2:2" x14ac:dyDescent="0.2">
      <c r="B730" s="101"/>
    </row>
    <row r="731" spans="2:2" x14ac:dyDescent="0.2">
      <c r="B731" s="101"/>
    </row>
    <row r="732" spans="2:2" x14ac:dyDescent="0.2">
      <c r="B732" s="101"/>
    </row>
    <row r="733" spans="2:2" x14ac:dyDescent="0.2">
      <c r="B733" s="101"/>
    </row>
    <row r="734" spans="2:2" x14ac:dyDescent="0.2">
      <c r="B734" s="101"/>
    </row>
    <row r="735" spans="2:2" x14ac:dyDescent="0.2">
      <c r="B735" s="101"/>
    </row>
    <row r="736" spans="2:2" x14ac:dyDescent="0.2">
      <c r="B736" s="101"/>
    </row>
    <row r="737" spans="2:2" x14ac:dyDescent="0.2">
      <c r="B737" s="101"/>
    </row>
    <row r="738" spans="2:2" x14ac:dyDescent="0.2">
      <c r="B738" s="101"/>
    </row>
    <row r="739" spans="2:2" x14ac:dyDescent="0.2">
      <c r="B739" s="101"/>
    </row>
    <row r="740" spans="2:2" x14ac:dyDescent="0.2">
      <c r="B740" s="101"/>
    </row>
    <row r="741" spans="2:2" x14ac:dyDescent="0.2">
      <c r="B741" s="101"/>
    </row>
    <row r="742" spans="2:2" x14ac:dyDescent="0.2">
      <c r="B742" s="101"/>
    </row>
  </sheetData>
  <pageMargins left="0.5" right="0.5" top="1" bottom="0.75" header="0.5" footer="0.5"/>
  <pageSetup scale="59" fitToHeight="0" orientation="landscape" horizontalDpi="300" verticalDpi="300" r:id="rId1"/>
  <headerFooter alignWithMargins="0">
    <oddHeader>&amp;C&amp;"Arial,Bold"&amp;12Final Mill Levy Summary
FY 2019-20</oddHeader>
    <oddFooter>&amp;L&amp;"Arial,Bold"CDE, Public School Finance &amp;CPage &amp;P&amp;R&amp;D</oddFooter>
  </headerFooter>
  <rowBreaks count="12" manualBreakCount="12">
    <brk id="55" max="16383" man="1"/>
    <brk id="106" max="16383" man="1"/>
    <brk id="156" max="16383" man="1"/>
    <brk id="205" max="16383" man="1"/>
    <brk id="253" max="16383" man="1"/>
    <brk id="304" max="16383" man="1"/>
    <brk id="355" max="16383" man="1"/>
    <brk id="405" max="16383" man="1"/>
    <brk id="454" max="16383" man="1"/>
    <brk id="504" max="16383" man="1"/>
    <brk id="553" max="16383" man="1"/>
    <brk id="6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0283-1AA7-4FB5-8C3C-000D00C3EAD3}">
  <sheetPr>
    <pageSetUpPr fitToPage="1"/>
  </sheetPr>
  <dimension ref="A1:W184"/>
  <sheetViews>
    <sheetView zoomScaleNormal="100" zoomScaleSheetLayoutView="100" workbookViewId="0">
      <pane xSplit="3" ySplit="2" topLeftCell="D154" activePane="bottomRight" state="frozen"/>
      <selection pane="topRight" activeCell="E1" sqref="E1"/>
      <selection pane="bottomLeft" activeCell="A3" sqref="A3"/>
      <selection pane="bottomRight" activeCell="C162" sqref="C162"/>
    </sheetView>
  </sheetViews>
  <sheetFormatPr defaultColWidth="5.42578125" defaultRowHeight="12.75" x14ac:dyDescent="0.2"/>
  <cols>
    <col min="1" max="1" width="7.140625" style="61" customWidth="1"/>
    <col min="2" max="2" width="14.28515625" style="61" bestFit="1" customWidth="1"/>
    <col min="3" max="3" width="21.5703125" style="61" customWidth="1"/>
    <col min="4" max="4" width="3.42578125" style="61" customWidth="1"/>
    <col min="5" max="5" width="7.7109375" style="61" customWidth="1"/>
    <col min="6" max="6" width="17" style="61" bestFit="1" customWidth="1"/>
    <col min="7" max="7" width="11.85546875" style="63" bestFit="1" customWidth="1"/>
    <col min="8" max="8" width="19.140625" style="63" bestFit="1" customWidth="1"/>
    <col min="9" max="9" width="19.42578125" style="63" customWidth="1"/>
    <col min="10" max="10" width="12.85546875" style="63" customWidth="1"/>
    <col min="11" max="11" width="12.85546875" style="61" customWidth="1"/>
    <col min="12" max="12" width="13" style="61" customWidth="1"/>
    <col min="13" max="17" width="9.7109375" style="61" customWidth="1"/>
    <col min="18" max="18" width="12.5703125" style="55" customWidth="1"/>
    <col min="19" max="23" width="12.5703125" style="64" customWidth="1"/>
    <col min="24" max="252" width="5.42578125" style="64"/>
    <col min="253" max="253" width="7.140625" style="64" customWidth="1"/>
    <col min="254" max="254" width="14.28515625" style="64" bestFit="1" customWidth="1"/>
    <col min="255" max="255" width="21.5703125" style="64" customWidth="1"/>
    <col min="256" max="256" width="3.42578125" style="64" customWidth="1"/>
    <col min="257" max="257" width="7.7109375" style="64" customWidth="1"/>
    <col min="258" max="258" width="17" style="64" bestFit="1" customWidth="1"/>
    <col min="259" max="259" width="11.85546875" style="64" bestFit="1" customWidth="1"/>
    <col min="260" max="260" width="19.140625" style="64" bestFit="1" customWidth="1"/>
    <col min="261" max="261" width="19.42578125" style="64" customWidth="1"/>
    <col min="262" max="263" width="12.85546875" style="64" customWidth="1"/>
    <col min="264" max="264" width="13" style="64" customWidth="1"/>
    <col min="265" max="269" width="9.7109375" style="64" customWidth="1"/>
    <col min="270" max="279" width="12.5703125" style="64" customWidth="1"/>
    <col min="280" max="508" width="5.42578125" style="64"/>
    <col min="509" max="509" width="7.140625" style="64" customWidth="1"/>
    <col min="510" max="510" width="14.28515625" style="64" bestFit="1" customWidth="1"/>
    <col min="511" max="511" width="21.5703125" style="64" customWidth="1"/>
    <col min="512" max="512" width="3.42578125" style="64" customWidth="1"/>
    <col min="513" max="513" width="7.7109375" style="64" customWidth="1"/>
    <col min="514" max="514" width="17" style="64" bestFit="1" customWidth="1"/>
    <col min="515" max="515" width="11.85546875" style="64" bestFit="1" customWidth="1"/>
    <col min="516" max="516" width="19.140625" style="64" bestFit="1" customWidth="1"/>
    <col min="517" max="517" width="19.42578125" style="64" customWidth="1"/>
    <col min="518" max="519" width="12.85546875" style="64" customWidth="1"/>
    <col min="520" max="520" width="13" style="64" customWidth="1"/>
    <col min="521" max="525" width="9.7109375" style="64" customWidth="1"/>
    <col min="526" max="535" width="12.5703125" style="64" customWidth="1"/>
    <col min="536" max="764" width="5.42578125" style="64"/>
    <col min="765" max="765" width="7.140625" style="64" customWidth="1"/>
    <col min="766" max="766" width="14.28515625" style="64" bestFit="1" customWidth="1"/>
    <col min="767" max="767" width="21.5703125" style="64" customWidth="1"/>
    <col min="768" max="768" width="3.42578125" style="64" customWidth="1"/>
    <col min="769" max="769" width="7.7109375" style="64" customWidth="1"/>
    <col min="770" max="770" width="17" style="64" bestFit="1" customWidth="1"/>
    <col min="771" max="771" width="11.85546875" style="64" bestFit="1" customWidth="1"/>
    <col min="772" max="772" width="19.140625" style="64" bestFit="1" customWidth="1"/>
    <col min="773" max="773" width="19.42578125" style="64" customWidth="1"/>
    <col min="774" max="775" width="12.85546875" style="64" customWidth="1"/>
    <col min="776" max="776" width="13" style="64" customWidth="1"/>
    <col min="777" max="781" width="9.7109375" style="64" customWidth="1"/>
    <col min="782" max="791" width="12.5703125" style="64" customWidth="1"/>
    <col min="792" max="1020" width="5.42578125" style="64"/>
    <col min="1021" max="1021" width="7.140625" style="64" customWidth="1"/>
    <col min="1022" max="1022" width="14.28515625" style="64" bestFit="1" customWidth="1"/>
    <col min="1023" max="1023" width="21.5703125" style="64" customWidth="1"/>
    <col min="1024" max="1024" width="3.42578125" style="64" customWidth="1"/>
    <col min="1025" max="1025" width="7.7109375" style="64" customWidth="1"/>
    <col min="1026" max="1026" width="17" style="64" bestFit="1" customWidth="1"/>
    <col min="1027" max="1027" width="11.85546875" style="64" bestFit="1" customWidth="1"/>
    <col min="1028" max="1028" width="19.140625" style="64" bestFit="1" customWidth="1"/>
    <col min="1029" max="1029" width="19.42578125" style="64" customWidth="1"/>
    <col min="1030" max="1031" width="12.85546875" style="64" customWidth="1"/>
    <col min="1032" max="1032" width="13" style="64" customWidth="1"/>
    <col min="1033" max="1037" width="9.7109375" style="64" customWidth="1"/>
    <col min="1038" max="1047" width="12.5703125" style="64" customWidth="1"/>
    <col min="1048" max="1276" width="5.42578125" style="64"/>
    <col min="1277" max="1277" width="7.140625" style="64" customWidth="1"/>
    <col min="1278" max="1278" width="14.28515625" style="64" bestFit="1" customWidth="1"/>
    <col min="1279" max="1279" width="21.5703125" style="64" customWidth="1"/>
    <col min="1280" max="1280" width="3.42578125" style="64" customWidth="1"/>
    <col min="1281" max="1281" width="7.7109375" style="64" customWidth="1"/>
    <col min="1282" max="1282" width="17" style="64" bestFit="1" customWidth="1"/>
    <col min="1283" max="1283" width="11.85546875" style="64" bestFit="1" customWidth="1"/>
    <col min="1284" max="1284" width="19.140625" style="64" bestFit="1" customWidth="1"/>
    <col min="1285" max="1285" width="19.42578125" style="64" customWidth="1"/>
    <col min="1286" max="1287" width="12.85546875" style="64" customWidth="1"/>
    <col min="1288" max="1288" width="13" style="64" customWidth="1"/>
    <col min="1289" max="1293" width="9.7109375" style="64" customWidth="1"/>
    <col min="1294" max="1303" width="12.5703125" style="64" customWidth="1"/>
    <col min="1304" max="1532" width="5.42578125" style="64"/>
    <col min="1533" max="1533" width="7.140625" style="64" customWidth="1"/>
    <col min="1534" max="1534" width="14.28515625" style="64" bestFit="1" customWidth="1"/>
    <col min="1535" max="1535" width="21.5703125" style="64" customWidth="1"/>
    <col min="1536" max="1536" width="3.42578125" style="64" customWidth="1"/>
    <col min="1537" max="1537" width="7.7109375" style="64" customWidth="1"/>
    <col min="1538" max="1538" width="17" style="64" bestFit="1" customWidth="1"/>
    <col min="1539" max="1539" width="11.85546875" style="64" bestFit="1" customWidth="1"/>
    <col min="1540" max="1540" width="19.140625" style="64" bestFit="1" customWidth="1"/>
    <col min="1541" max="1541" width="19.42578125" style="64" customWidth="1"/>
    <col min="1542" max="1543" width="12.85546875" style="64" customWidth="1"/>
    <col min="1544" max="1544" width="13" style="64" customWidth="1"/>
    <col min="1545" max="1549" width="9.7109375" style="64" customWidth="1"/>
    <col min="1550" max="1559" width="12.5703125" style="64" customWidth="1"/>
    <col min="1560" max="1788" width="5.42578125" style="64"/>
    <col min="1789" max="1789" width="7.140625" style="64" customWidth="1"/>
    <col min="1790" max="1790" width="14.28515625" style="64" bestFit="1" customWidth="1"/>
    <col min="1791" max="1791" width="21.5703125" style="64" customWidth="1"/>
    <col min="1792" max="1792" width="3.42578125" style="64" customWidth="1"/>
    <col min="1793" max="1793" width="7.7109375" style="64" customWidth="1"/>
    <col min="1794" max="1794" width="17" style="64" bestFit="1" customWidth="1"/>
    <col min="1795" max="1795" width="11.85546875" style="64" bestFit="1" customWidth="1"/>
    <col min="1796" max="1796" width="19.140625" style="64" bestFit="1" customWidth="1"/>
    <col min="1797" max="1797" width="19.42578125" style="64" customWidth="1"/>
    <col min="1798" max="1799" width="12.85546875" style="64" customWidth="1"/>
    <col min="1800" max="1800" width="13" style="64" customWidth="1"/>
    <col min="1801" max="1805" width="9.7109375" style="64" customWidth="1"/>
    <col min="1806" max="1815" width="12.5703125" style="64" customWidth="1"/>
    <col min="1816" max="2044" width="5.42578125" style="64"/>
    <col min="2045" max="2045" width="7.140625" style="64" customWidth="1"/>
    <col min="2046" max="2046" width="14.28515625" style="64" bestFit="1" customWidth="1"/>
    <col min="2047" max="2047" width="21.5703125" style="64" customWidth="1"/>
    <col min="2048" max="2048" width="3.42578125" style="64" customWidth="1"/>
    <col min="2049" max="2049" width="7.7109375" style="64" customWidth="1"/>
    <col min="2050" max="2050" width="17" style="64" bestFit="1" customWidth="1"/>
    <col min="2051" max="2051" width="11.85546875" style="64" bestFit="1" customWidth="1"/>
    <col min="2052" max="2052" width="19.140625" style="64" bestFit="1" customWidth="1"/>
    <col min="2053" max="2053" width="19.42578125" style="64" customWidth="1"/>
    <col min="2054" max="2055" width="12.85546875" style="64" customWidth="1"/>
    <col min="2056" max="2056" width="13" style="64" customWidth="1"/>
    <col min="2057" max="2061" width="9.7109375" style="64" customWidth="1"/>
    <col min="2062" max="2071" width="12.5703125" style="64" customWidth="1"/>
    <col min="2072" max="2300" width="5.42578125" style="64"/>
    <col min="2301" max="2301" width="7.140625" style="64" customWidth="1"/>
    <col min="2302" max="2302" width="14.28515625" style="64" bestFit="1" customWidth="1"/>
    <col min="2303" max="2303" width="21.5703125" style="64" customWidth="1"/>
    <col min="2304" max="2304" width="3.42578125" style="64" customWidth="1"/>
    <col min="2305" max="2305" width="7.7109375" style="64" customWidth="1"/>
    <col min="2306" max="2306" width="17" style="64" bestFit="1" customWidth="1"/>
    <col min="2307" max="2307" width="11.85546875" style="64" bestFit="1" customWidth="1"/>
    <col min="2308" max="2308" width="19.140625" style="64" bestFit="1" customWidth="1"/>
    <col min="2309" max="2309" width="19.42578125" style="64" customWidth="1"/>
    <col min="2310" max="2311" width="12.85546875" style="64" customWidth="1"/>
    <col min="2312" max="2312" width="13" style="64" customWidth="1"/>
    <col min="2313" max="2317" width="9.7109375" style="64" customWidth="1"/>
    <col min="2318" max="2327" width="12.5703125" style="64" customWidth="1"/>
    <col min="2328" max="2556" width="5.42578125" style="64"/>
    <col min="2557" max="2557" width="7.140625" style="64" customWidth="1"/>
    <col min="2558" max="2558" width="14.28515625" style="64" bestFit="1" customWidth="1"/>
    <col min="2559" max="2559" width="21.5703125" style="64" customWidth="1"/>
    <col min="2560" max="2560" width="3.42578125" style="64" customWidth="1"/>
    <col min="2561" max="2561" width="7.7109375" style="64" customWidth="1"/>
    <col min="2562" max="2562" width="17" style="64" bestFit="1" customWidth="1"/>
    <col min="2563" max="2563" width="11.85546875" style="64" bestFit="1" customWidth="1"/>
    <col min="2564" max="2564" width="19.140625" style="64" bestFit="1" customWidth="1"/>
    <col min="2565" max="2565" width="19.42578125" style="64" customWidth="1"/>
    <col min="2566" max="2567" width="12.85546875" style="64" customWidth="1"/>
    <col min="2568" max="2568" width="13" style="64" customWidth="1"/>
    <col min="2569" max="2573" width="9.7109375" style="64" customWidth="1"/>
    <col min="2574" max="2583" width="12.5703125" style="64" customWidth="1"/>
    <col min="2584" max="2812" width="5.42578125" style="64"/>
    <col min="2813" max="2813" width="7.140625" style="64" customWidth="1"/>
    <col min="2814" max="2814" width="14.28515625" style="64" bestFit="1" customWidth="1"/>
    <col min="2815" max="2815" width="21.5703125" style="64" customWidth="1"/>
    <col min="2816" max="2816" width="3.42578125" style="64" customWidth="1"/>
    <col min="2817" max="2817" width="7.7109375" style="64" customWidth="1"/>
    <col min="2818" max="2818" width="17" style="64" bestFit="1" customWidth="1"/>
    <col min="2819" max="2819" width="11.85546875" style="64" bestFit="1" customWidth="1"/>
    <col min="2820" max="2820" width="19.140625" style="64" bestFit="1" customWidth="1"/>
    <col min="2821" max="2821" width="19.42578125" style="64" customWidth="1"/>
    <col min="2822" max="2823" width="12.85546875" style="64" customWidth="1"/>
    <col min="2824" max="2824" width="13" style="64" customWidth="1"/>
    <col min="2825" max="2829" width="9.7109375" style="64" customWidth="1"/>
    <col min="2830" max="2839" width="12.5703125" style="64" customWidth="1"/>
    <col min="2840" max="3068" width="5.42578125" style="64"/>
    <col min="3069" max="3069" width="7.140625" style="64" customWidth="1"/>
    <col min="3070" max="3070" width="14.28515625" style="64" bestFit="1" customWidth="1"/>
    <col min="3071" max="3071" width="21.5703125" style="64" customWidth="1"/>
    <col min="3072" max="3072" width="3.42578125" style="64" customWidth="1"/>
    <col min="3073" max="3073" width="7.7109375" style="64" customWidth="1"/>
    <col min="3074" max="3074" width="17" style="64" bestFit="1" customWidth="1"/>
    <col min="3075" max="3075" width="11.85546875" style="64" bestFit="1" customWidth="1"/>
    <col min="3076" max="3076" width="19.140625" style="64" bestFit="1" customWidth="1"/>
    <col min="3077" max="3077" width="19.42578125" style="64" customWidth="1"/>
    <col min="3078" max="3079" width="12.85546875" style="64" customWidth="1"/>
    <col min="3080" max="3080" width="13" style="64" customWidth="1"/>
    <col min="3081" max="3085" width="9.7109375" style="64" customWidth="1"/>
    <col min="3086" max="3095" width="12.5703125" style="64" customWidth="1"/>
    <col min="3096" max="3324" width="5.42578125" style="64"/>
    <col min="3325" max="3325" width="7.140625" style="64" customWidth="1"/>
    <col min="3326" max="3326" width="14.28515625" style="64" bestFit="1" customWidth="1"/>
    <col min="3327" max="3327" width="21.5703125" style="64" customWidth="1"/>
    <col min="3328" max="3328" width="3.42578125" style="64" customWidth="1"/>
    <col min="3329" max="3329" width="7.7109375" style="64" customWidth="1"/>
    <col min="3330" max="3330" width="17" style="64" bestFit="1" customWidth="1"/>
    <col min="3331" max="3331" width="11.85546875" style="64" bestFit="1" customWidth="1"/>
    <col min="3332" max="3332" width="19.140625" style="64" bestFit="1" customWidth="1"/>
    <col min="3333" max="3333" width="19.42578125" style="64" customWidth="1"/>
    <col min="3334" max="3335" width="12.85546875" style="64" customWidth="1"/>
    <col min="3336" max="3336" width="13" style="64" customWidth="1"/>
    <col min="3337" max="3341" width="9.7109375" style="64" customWidth="1"/>
    <col min="3342" max="3351" width="12.5703125" style="64" customWidth="1"/>
    <col min="3352" max="3580" width="5.42578125" style="64"/>
    <col min="3581" max="3581" width="7.140625" style="64" customWidth="1"/>
    <col min="3582" max="3582" width="14.28515625" style="64" bestFit="1" customWidth="1"/>
    <col min="3583" max="3583" width="21.5703125" style="64" customWidth="1"/>
    <col min="3584" max="3584" width="3.42578125" style="64" customWidth="1"/>
    <col min="3585" max="3585" width="7.7109375" style="64" customWidth="1"/>
    <col min="3586" max="3586" width="17" style="64" bestFit="1" customWidth="1"/>
    <col min="3587" max="3587" width="11.85546875" style="64" bestFit="1" customWidth="1"/>
    <col min="3588" max="3588" width="19.140625" style="64" bestFit="1" customWidth="1"/>
    <col min="3589" max="3589" width="19.42578125" style="64" customWidth="1"/>
    <col min="3590" max="3591" width="12.85546875" style="64" customWidth="1"/>
    <col min="3592" max="3592" width="13" style="64" customWidth="1"/>
    <col min="3593" max="3597" width="9.7109375" style="64" customWidth="1"/>
    <col min="3598" max="3607" width="12.5703125" style="64" customWidth="1"/>
    <col min="3608" max="3836" width="5.42578125" style="64"/>
    <col min="3837" max="3837" width="7.140625" style="64" customWidth="1"/>
    <col min="3838" max="3838" width="14.28515625" style="64" bestFit="1" customWidth="1"/>
    <col min="3839" max="3839" width="21.5703125" style="64" customWidth="1"/>
    <col min="3840" max="3840" width="3.42578125" style="64" customWidth="1"/>
    <col min="3841" max="3841" width="7.7109375" style="64" customWidth="1"/>
    <col min="3842" max="3842" width="17" style="64" bestFit="1" customWidth="1"/>
    <col min="3843" max="3843" width="11.85546875" style="64" bestFit="1" customWidth="1"/>
    <col min="3844" max="3844" width="19.140625" style="64" bestFit="1" customWidth="1"/>
    <col min="3845" max="3845" width="19.42578125" style="64" customWidth="1"/>
    <col min="3846" max="3847" width="12.85546875" style="64" customWidth="1"/>
    <col min="3848" max="3848" width="13" style="64" customWidth="1"/>
    <col min="3849" max="3853" width="9.7109375" style="64" customWidth="1"/>
    <col min="3854" max="3863" width="12.5703125" style="64" customWidth="1"/>
    <col min="3864" max="4092" width="5.42578125" style="64"/>
    <col min="4093" max="4093" width="7.140625" style="64" customWidth="1"/>
    <col min="4094" max="4094" width="14.28515625" style="64" bestFit="1" customWidth="1"/>
    <col min="4095" max="4095" width="21.5703125" style="64" customWidth="1"/>
    <col min="4096" max="4096" width="3.42578125" style="64" customWidth="1"/>
    <col min="4097" max="4097" width="7.7109375" style="64" customWidth="1"/>
    <col min="4098" max="4098" width="17" style="64" bestFit="1" customWidth="1"/>
    <col min="4099" max="4099" width="11.85546875" style="64" bestFit="1" customWidth="1"/>
    <col min="4100" max="4100" width="19.140625" style="64" bestFit="1" customWidth="1"/>
    <col min="4101" max="4101" width="19.42578125" style="64" customWidth="1"/>
    <col min="4102" max="4103" width="12.85546875" style="64" customWidth="1"/>
    <col min="4104" max="4104" width="13" style="64" customWidth="1"/>
    <col min="4105" max="4109" width="9.7109375" style="64" customWidth="1"/>
    <col min="4110" max="4119" width="12.5703125" style="64" customWidth="1"/>
    <col min="4120" max="4348" width="5.42578125" style="64"/>
    <col min="4349" max="4349" width="7.140625" style="64" customWidth="1"/>
    <col min="4350" max="4350" width="14.28515625" style="64" bestFit="1" customWidth="1"/>
    <col min="4351" max="4351" width="21.5703125" style="64" customWidth="1"/>
    <col min="4352" max="4352" width="3.42578125" style="64" customWidth="1"/>
    <col min="4353" max="4353" width="7.7109375" style="64" customWidth="1"/>
    <col min="4354" max="4354" width="17" style="64" bestFit="1" customWidth="1"/>
    <col min="4355" max="4355" width="11.85546875" style="64" bestFit="1" customWidth="1"/>
    <col min="4356" max="4356" width="19.140625" style="64" bestFit="1" customWidth="1"/>
    <col min="4357" max="4357" width="19.42578125" style="64" customWidth="1"/>
    <col min="4358" max="4359" width="12.85546875" style="64" customWidth="1"/>
    <col min="4360" max="4360" width="13" style="64" customWidth="1"/>
    <col min="4361" max="4365" width="9.7109375" style="64" customWidth="1"/>
    <col min="4366" max="4375" width="12.5703125" style="64" customWidth="1"/>
    <col min="4376" max="4604" width="5.42578125" style="64"/>
    <col min="4605" max="4605" width="7.140625" style="64" customWidth="1"/>
    <col min="4606" max="4606" width="14.28515625" style="64" bestFit="1" customWidth="1"/>
    <col min="4607" max="4607" width="21.5703125" style="64" customWidth="1"/>
    <col min="4608" max="4608" width="3.42578125" style="64" customWidth="1"/>
    <col min="4609" max="4609" width="7.7109375" style="64" customWidth="1"/>
    <col min="4610" max="4610" width="17" style="64" bestFit="1" customWidth="1"/>
    <col min="4611" max="4611" width="11.85546875" style="64" bestFit="1" customWidth="1"/>
    <col min="4612" max="4612" width="19.140625" style="64" bestFit="1" customWidth="1"/>
    <col min="4613" max="4613" width="19.42578125" style="64" customWidth="1"/>
    <col min="4614" max="4615" width="12.85546875" style="64" customWidth="1"/>
    <col min="4616" max="4616" width="13" style="64" customWidth="1"/>
    <col min="4617" max="4621" width="9.7109375" style="64" customWidth="1"/>
    <col min="4622" max="4631" width="12.5703125" style="64" customWidth="1"/>
    <col min="4632" max="4860" width="5.42578125" style="64"/>
    <col min="4861" max="4861" width="7.140625" style="64" customWidth="1"/>
    <col min="4862" max="4862" width="14.28515625" style="64" bestFit="1" customWidth="1"/>
    <col min="4863" max="4863" width="21.5703125" style="64" customWidth="1"/>
    <col min="4864" max="4864" width="3.42578125" style="64" customWidth="1"/>
    <col min="4865" max="4865" width="7.7109375" style="64" customWidth="1"/>
    <col min="4866" max="4866" width="17" style="64" bestFit="1" customWidth="1"/>
    <col min="4867" max="4867" width="11.85546875" style="64" bestFit="1" customWidth="1"/>
    <col min="4868" max="4868" width="19.140625" style="64" bestFit="1" customWidth="1"/>
    <col min="4869" max="4869" width="19.42578125" style="64" customWidth="1"/>
    <col min="4870" max="4871" width="12.85546875" style="64" customWidth="1"/>
    <col min="4872" max="4872" width="13" style="64" customWidth="1"/>
    <col min="4873" max="4877" width="9.7109375" style="64" customWidth="1"/>
    <col min="4878" max="4887" width="12.5703125" style="64" customWidth="1"/>
    <col min="4888" max="5116" width="5.42578125" style="64"/>
    <col min="5117" max="5117" width="7.140625" style="64" customWidth="1"/>
    <col min="5118" max="5118" width="14.28515625" style="64" bestFit="1" customWidth="1"/>
    <col min="5119" max="5119" width="21.5703125" style="64" customWidth="1"/>
    <col min="5120" max="5120" width="3.42578125" style="64" customWidth="1"/>
    <col min="5121" max="5121" width="7.7109375" style="64" customWidth="1"/>
    <col min="5122" max="5122" width="17" style="64" bestFit="1" customWidth="1"/>
    <col min="5123" max="5123" width="11.85546875" style="64" bestFit="1" customWidth="1"/>
    <col min="5124" max="5124" width="19.140625" style="64" bestFit="1" customWidth="1"/>
    <col min="5125" max="5125" width="19.42578125" style="64" customWidth="1"/>
    <col min="5126" max="5127" width="12.85546875" style="64" customWidth="1"/>
    <col min="5128" max="5128" width="13" style="64" customWidth="1"/>
    <col min="5129" max="5133" width="9.7109375" style="64" customWidth="1"/>
    <col min="5134" max="5143" width="12.5703125" style="64" customWidth="1"/>
    <col min="5144" max="5372" width="5.42578125" style="64"/>
    <col min="5373" max="5373" width="7.140625" style="64" customWidth="1"/>
    <col min="5374" max="5374" width="14.28515625" style="64" bestFit="1" customWidth="1"/>
    <col min="5375" max="5375" width="21.5703125" style="64" customWidth="1"/>
    <col min="5376" max="5376" width="3.42578125" style="64" customWidth="1"/>
    <col min="5377" max="5377" width="7.7109375" style="64" customWidth="1"/>
    <col min="5378" max="5378" width="17" style="64" bestFit="1" customWidth="1"/>
    <col min="5379" max="5379" width="11.85546875" style="64" bestFit="1" customWidth="1"/>
    <col min="5380" max="5380" width="19.140625" style="64" bestFit="1" customWidth="1"/>
    <col min="5381" max="5381" width="19.42578125" style="64" customWidth="1"/>
    <col min="5382" max="5383" width="12.85546875" style="64" customWidth="1"/>
    <col min="5384" max="5384" width="13" style="64" customWidth="1"/>
    <col min="5385" max="5389" width="9.7109375" style="64" customWidth="1"/>
    <col min="5390" max="5399" width="12.5703125" style="64" customWidth="1"/>
    <col min="5400" max="5628" width="5.42578125" style="64"/>
    <col min="5629" max="5629" width="7.140625" style="64" customWidth="1"/>
    <col min="5630" max="5630" width="14.28515625" style="64" bestFit="1" customWidth="1"/>
    <col min="5631" max="5631" width="21.5703125" style="64" customWidth="1"/>
    <col min="5632" max="5632" width="3.42578125" style="64" customWidth="1"/>
    <col min="5633" max="5633" width="7.7109375" style="64" customWidth="1"/>
    <col min="5634" max="5634" width="17" style="64" bestFit="1" customWidth="1"/>
    <col min="5635" max="5635" width="11.85546875" style="64" bestFit="1" customWidth="1"/>
    <col min="5636" max="5636" width="19.140625" style="64" bestFit="1" customWidth="1"/>
    <col min="5637" max="5637" width="19.42578125" style="64" customWidth="1"/>
    <col min="5638" max="5639" width="12.85546875" style="64" customWidth="1"/>
    <col min="5640" max="5640" width="13" style="64" customWidth="1"/>
    <col min="5641" max="5645" width="9.7109375" style="64" customWidth="1"/>
    <col min="5646" max="5655" width="12.5703125" style="64" customWidth="1"/>
    <col min="5656" max="5884" width="5.42578125" style="64"/>
    <col min="5885" max="5885" width="7.140625" style="64" customWidth="1"/>
    <col min="5886" max="5886" width="14.28515625" style="64" bestFit="1" customWidth="1"/>
    <col min="5887" max="5887" width="21.5703125" style="64" customWidth="1"/>
    <col min="5888" max="5888" width="3.42578125" style="64" customWidth="1"/>
    <col min="5889" max="5889" width="7.7109375" style="64" customWidth="1"/>
    <col min="5890" max="5890" width="17" style="64" bestFit="1" customWidth="1"/>
    <col min="5891" max="5891" width="11.85546875" style="64" bestFit="1" customWidth="1"/>
    <col min="5892" max="5892" width="19.140625" style="64" bestFit="1" customWidth="1"/>
    <col min="5893" max="5893" width="19.42578125" style="64" customWidth="1"/>
    <col min="5894" max="5895" width="12.85546875" style="64" customWidth="1"/>
    <col min="5896" max="5896" width="13" style="64" customWidth="1"/>
    <col min="5897" max="5901" width="9.7109375" style="64" customWidth="1"/>
    <col min="5902" max="5911" width="12.5703125" style="64" customWidth="1"/>
    <col min="5912" max="6140" width="5.42578125" style="64"/>
    <col min="6141" max="6141" width="7.140625" style="64" customWidth="1"/>
    <col min="6142" max="6142" width="14.28515625" style="64" bestFit="1" customWidth="1"/>
    <col min="6143" max="6143" width="21.5703125" style="64" customWidth="1"/>
    <col min="6144" max="6144" width="3.42578125" style="64" customWidth="1"/>
    <col min="6145" max="6145" width="7.7109375" style="64" customWidth="1"/>
    <col min="6146" max="6146" width="17" style="64" bestFit="1" customWidth="1"/>
    <col min="6147" max="6147" width="11.85546875" style="64" bestFit="1" customWidth="1"/>
    <col min="6148" max="6148" width="19.140625" style="64" bestFit="1" customWidth="1"/>
    <col min="6149" max="6149" width="19.42578125" style="64" customWidth="1"/>
    <col min="6150" max="6151" width="12.85546875" style="64" customWidth="1"/>
    <col min="6152" max="6152" width="13" style="64" customWidth="1"/>
    <col min="6153" max="6157" width="9.7109375" style="64" customWidth="1"/>
    <col min="6158" max="6167" width="12.5703125" style="64" customWidth="1"/>
    <col min="6168" max="6396" width="5.42578125" style="64"/>
    <col min="6397" max="6397" width="7.140625" style="64" customWidth="1"/>
    <col min="6398" max="6398" width="14.28515625" style="64" bestFit="1" customWidth="1"/>
    <col min="6399" max="6399" width="21.5703125" style="64" customWidth="1"/>
    <col min="6400" max="6400" width="3.42578125" style="64" customWidth="1"/>
    <col min="6401" max="6401" width="7.7109375" style="64" customWidth="1"/>
    <col min="6402" max="6402" width="17" style="64" bestFit="1" customWidth="1"/>
    <col min="6403" max="6403" width="11.85546875" style="64" bestFit="1" customWidth="1"/>
    <col min="6404" max="6404" width="19.140625" style="64" bestFit="1" customWidth="1"/>
    <col min="6405" max="6405" width="19.42578125" style="64" customWidth="1"/>
    <col min="6406" max="6407" width="12.85546875" style="64" customWidth="1"/>
    <col min="6408" max="6408" width="13" style="64" customWidth="1"/>
    <col min="6409" max="6413" width="9.7109375" style="64" customWidth="1"/>
    <col min="6414" max="6423" width="12.5703125" style="64" customWidth="1"/>
    <col min="6424" max="6652" width="5.42578125" style="64"/>
    <col min="6653" max="6653" width="7.140625" style="64" customWidth="1"/>
    <col min="6654" max="6654" width="14.28515625" style="64" bestFit="1" customWidth="1"/>
    <col min="6655" max="6655" width="21.5703125" style="64" customWidth="1"/>
    <col min="6656" max="6656" width="3.42578125" style="64" customWidth="1"/>
    <col min="6657" max="6657" width="7.7109375" style="64" customWidth="1"/>
    <col min="6658" max="6658" width="17" style="64" bestFit="1" customWidth="1"/>
    <col min="6659" max="6659" width="11.85546875" style="64" bestFit="1" customWidth="1"/>
    <col min="6660" max="6660" width="19.140625" style="64" bestFit="1" customWidth="1"/>
    <col min="6661" max="6661" width="19.42578125" style="64" customWidth="1"/>
    <col min="6662" max="6663" width="12.85546875" style="64" customWidth="1"/>
    <col min="6664" max="6664" width="13" style="64" customWidth="1"/>
    <col min="6665" max="6669" width="9.7109375" style="64" customWidth="1"/>
    <col min="6670" max="6679" width="12.5703125" style="64" customWidth="1"/>
    <col min="6680" max="6908" width="5.42578125" style="64"/>
    <col min="6909" max="6909" width="7.140625" style="64" customWidth="1"/>
    <col min="6910" max="6910" width="14.28515625" style="64" bestFit="1" customWidth="1"/>
    <col min="6911" max="6911" width="21.5703125" style="64" customWidth="1"/>
    <col min="6912" max="6912" width="3.42578125" style="64" customWidth="1"/>
    <col min="6913" max="6913" width="7.7109375" style="64" customWidth="1"/>
    <col min="6914" max="6914" width="17" style="64" bestFit="1" customWidth="1"/>
    <col min="6915" max="6915" width="11.85546875" style="64" bestFit="1" customWidth="1"/>
    <col min="6916" max="6916" width="19.140625" style="64" bestFit="1" customWidth="1"/>
    <col min="6917" max="6917" width="19.42578125" style="64" customWidth="1"/>
    <col min="6918" max="6919" width="12.85546875" style="64" customWidth="1"/>
    <col min="6920" max="6920" width="13" style="64" customWidth="1"/>
    <col min="6921" max="6925" width="9.7109375" style="64" customWidth="1"/>
    <col min="6926" max="6935" width="12.5703125" style="64" customWidth="1"/>
    <col min="6936" max="7164" width="5.42578125" style="64"/>
    <col min="7165" max="7165" width="7.140625" style="64" customWidth="1"/>
    <col min="7166" max="7166" width="14.28515625" style="64" bestFit="1" customWidth="1"/>
    <col min="7167" max="7167" width="21.5703125" style="64" customWidth="1"/>
    <col min="7168" max="7168" width="3.42578125" style="64" customWidth="1"/>
    <col min="7169" max="7169" width="7.7109375" style="64" customWidth="1"/>
    <col min="7170" max="7170" width="17" style="64" bestFit="1" customWidth="1"/>
    <col min="7171" max="7171" width="11.85546875" style="64" bestFit="1" customWidth="1"/>
    <col min="7172" max="7172" width="19.140625" style="64" bestFit="1" customWidth="1"/>
    <col min="7173" max="7173" width="19.42578125" style="64" customWidth="1"/>
    <col min="7174" max="7175" width="12.85546875" style="64" customWidth="1"/>
    <col min="7176" max="7176" width="13" style="64" customWidth="1"/>
    <col min="7177" max="7181" width="9.7109375" style="64" customWidth="1"/>
    <col min="7182" max="7191" width="12.5703125" style="64" customWidth="1"/>
    <col min="7192" max="7420" width="5.42578125" style="64"/>
    <col min="7421" max="7421" width="7.140625" style="64" customWidth="1"/>
    <col min="7422" max="7422" width="14.28515625" style="64" bestFit="1" customWidth="1"/>
    <col min="7423" max="7423" width="21.5703125" style="64" customWidth="1"/>
    <col min="7424" max="7424" width="3.42578125" style="64" customWidth="1"/>
    <col min="7425" max="7425" width="7.7109375" style="64" customWidth="1"/>
    <col min="7426" max="7426" width="17" style="64" bestFit="1" customWidth="1"/>
    <col min="7427" max="7427" width="11.85546875" style="64" bestFit="1" customWidth="1"/>
    <col min="7428" max="7428" width="19.140625" style="64" bestFit="1" customWidth="1"/>
    <col min="7429" max="7429" width="19.42578125" style="64" customWidth="1"/>
    <col min="7430" max="7431" width="12.85546875" style="64" customWidth="1"/>
    <col min="7432" max="7432" width="13" style="64" customWidth="1"/>
    <col min="7433" max="7437" width="9.7109375" style="64" customWidth="1"/>
    <col min="7438" max="7447" width="12.5703125" style="64" customWidth="1"/>
    <col min="7448" max="7676" width="5.42578125" style="64"/>
    <col min="7677" max="7677" width="7.140625" style="64" customWidth="1"/>
    <col min="7678" max="7678" width="14.28515625" style="64" bestFit="1" customWidth="1"/>
    <col min="7679" max="7679" width="21.5703125" style="64" customWidth="1"/>
    <col min="7680" max="7680" width="3.42578125" style="64" customWidth="1"/>
    <col min="7681" max="7681" width="7.7109375" style="64" customWidth="1"/>
    <col min="7682" max="7682" width="17" style="64" bestFit="1" customWidth="1"/>
    <col min="7683" max="7683" width="11.85546875" style="64" bestFit="1" customWidth="1"/>
    <col min="7684" max="7684" width="19.140625" style="64" bestFit="1" customWidth="1"/>
    <col min="7685" max="7685" width="19.42578125" style="64" customWidth="1"/>
    <col min="7686" max="7687" width="12.85546875" style="64" customWidth="1"/>
    <col min="7688" max="7688" width="13" style="64" customWidth="1"/>
    <col min="7689" max="7693" width="9.7109375" style="64" customWidth="1"/>
    <col min="7694" max="7703" width="12.5703125" style="64" customWidth="1"/>
    <col min="7704" max="7932" width="5.42578125" style="64"/>
    <col min="7933" max="7933" width="7.140625" style="64" customWidth="1"/>
    <col min="7934" max="7934" width="14.28515625" style="64" bestFit="1" customWidth="1"/>
    <col min="7935" max="7935" width="21.5703125" style="64" customWidth="1"/>
    <col min="7936" max="7936" width="3.42578125" style="64" customWidth="1"/>
    <col min="7937" max="7937" width="7.7109375" style="64" customWidth="1"/>
    <col min="7938" max="7938" width="17" style="64" bestFit="1" customWidth="1"/>
    <col min="7939" max="7939" width="11.85546875" style="64" bestFit="1" customWidth="1"/>
    <col min="7940" max="7940" width="19.140625" style="64" bestFit="1" customWidth="1"/>
    <col min="7941" max="7941" width="19.42578125" style="64" customWidth="1"/>
    <col min="7942" max="7943" width="12.85546875" style="64" customWidth="1"/>
    <col min="7944" max="7944" width="13" style="64" customWidth="1"/>
    <col min="7945" max="7949" width="9.7109375" style="64" customWidth="1"/>
    <col min="7950" max="7959" width="12.5703125" style="64" customWidth="1"/>
    <col min="7960" max="8188" width="5.42578125" style="64"/>
    <col min="8189" max="8189" width="7.140625" style="64" customWidth="1"/>
    <col min="8190" max="8190" width="14.28515625" style="64" bestFit="1" customWidth="1"/>
    <col min="8191" max="8191" width="21.5703125" style="64" customWidth="1"/>
    <col min="8192" max="8192" width="3.42578125" style="64" customWidth="1"/>
    <col min="8193" max="8193" width="7.7109375" style="64" customWidth="1"/>
    <col min="8194" max="8194" width="17" style="64" bestFit="1" customWidth="1"/>
    <col min="8195" max="8195" width="11.85546875" style="64" bestFit="1" customWidth="1"/>
    <col min="8196" max="8196" width="19.140625" style="64" bestFit="1" customWidth="1"/>
    <col min="8197" max="8197" width="19.42578125" style="64" customWidth="1"/>
    <col min="8198" max="8199" width="12.85546875" style="64" customWidth="1"/>
    <col min="8200" max="8200" width="13" style="64" customWidth="1"/>
    <col min="8201" max="8205" width="9.7109375" style="64" customWidth="1"/>
    <col min="8206" max="8215" width="12.5703125" style="64" customWidth="1"/>
    <col min="8216" max="8444" width="5.42578125" style="64"/>
    <col min="8445" max="8445" width="7.140625" style="64" customWidth="1"/>
    <col min="8446" max="8446" width="14.28515625" style="64" bestFit="1" customWidth="1"/>
    <col min="8447" max="8447" width="21.5703125" style="64" customWidth="1"/>
    <col min="8448" max="8448" width="3.42578125" style="64" customWidth="1"/>
    <col min="8449" max="8449" width="7.7109375" style="64" customWidth="1"/>
    <col min="8450" max="8450" width="17" style="64" bestFit="1" customWidth="1"/>
    <col min="8451" max="8451" width="11.85546875" style="64" bestFit="1" customWidth="1"/>
    <col min="8452" max="8452" width="19.140625" style="64" bestFit="1" customWidth="1"/>
    <col min="8453" max="8453" width="19.42578125" style="64" customWidth="1"/>
    <col min="8454" max="8455" width="12.85546875" style="64" customWidth="1"/>
    <col min="8456" max="8456" width="13" style="64" customWidth="1"/>
    <col min="8457" max="8461" width="9.7109375" style="64" customWidth="1"/>
    <col min="8462" max="8471" width="12.5703125" style="64" customWidth="1"/>
    <col min="8472" max="8700" width="5.42578125" style="64"/>
    <col min="8701" max="8701" width="7.140625" style="64" customWidth="1"/>
    <col min="8702" max="8702" width="14.28515625" style="64" bestFit="1" customWidth="1"/>
    <col min="8703" max="8703" width="21.5703125" style="64" customWidth="1"/>
    <col min="8704" max="8704" width="3.42578125" style="64" customWidth="1"/>
    <col min="8705" max="8705" width="7.7109375" style="64" customWidth="1"/>
    <col min="8706" max="8706" width="17" style="64" bestFit="1" customWidth="1"/>
    <col min="8707" max="8707" width="11.85546875" style="64" bestFit="1" customWidth="1"/>
    <col min="8708" max="8708" width="19.140625" style="64" bestFit="1" customWidth="1"/>
    <col min="8709" max="8709" width="19.42578125" style="64" customWidth="1"/>
    <col min="8710" max="8711" width="12.85546875" style="64" customWidth="1"/>
    <col min="8712" max="8712" width="13" style="64" customWidth="1"/>
    <col min="8713" max="8717" width="9.7109375" style="64" customWidth="1"/>
    <col min="8718" max="8727" width="12.5703125" style="64" customWidth="1"/>
    <col min="8728" max="8956" width="5.42578125" style="64"/>
    <col min="8957" max="8957" width="7.140625" style="64" customWidth="1"/>
    <col min="8958" max="8958" width="14.28515625" style="64" bestFit="1" customWidth="1"/>
    <col min="8959" max="8959" width="21.5703125" style="64" customWidth="1"/>
    <col min="8960" max="8960" width="3.42578125" style="64" customWidth="1"/>
    <col min="8961" max="8961" width="7.7109375" style="64" customWidth="1"/>
    <col min="8962" max="8962" width="17" style="64" bestFit="1" customWidth="1"/>
    <col min="8963" max="8963" width="11.85546875" style="64" bestFit="1" customWidth="1"/>
    <col min="8964" max="8964" width="19.140625" style="64" bestFit="1" customWidth="1"/>
    <col min="8965" max="8965" width="19.42578125" style="64" customWidth="1"/>
    <col min="8966" max="8967" width="12.85546875" style="64" customWidth="1"/>
    <col min="8968" max="8968" width="13" style="64" customWidth="1"/>
    <col min="8969" max="8973" width="9.7109375" style="64" customWidth="1"/>
    <col min="8974" max="8983" width="12.5703125" style="64" customWidth="1"/>
    <col min="8984" max="9212" width="5.42578125" style="64"/>
    <col min="9213" max="9213" width="7.140625" style="64" customWidth="1"/>
    <col min="9214" max="9214" width="14.28515625" style="64" bestFit="1" customWidth="1"/>
    <col min="9215" max="9215" width="21.5703125" style="64" customWidth="1"/>
    <col min="9216" max="9216" width="3.42578125" style="64" customWidth="1"/>
    <col min="9217" max="9217" width="7.7109375" style="64" customWidth="1"/>
    <col min="9218" max="9218" width="17" style="64" bestFit="1" customWidth="1"/>
    <col min="9219" max="9219" width="11.85546875" style="64" bestFit="1" customWidth="1"/>
    <col min="9220" max="9220" width="19.140625" style="64" bestFit="1" customWidth="1"/>
    <col min="9221" max="9221" width="19.42578125" style="64" customWidth="1"/>
    <col min="9222" max="9223" width="12.85546875" style="64" customWidth="1"/>
    <col min="9224" max="9224" width="13" style="64" customWidth="1"/>
    <col min="9225" max="9229" width="9.7109375" style="64" customWidth="1"/>
    <col min="9230" max="9239" width="12.5703125" style="64" customWidth="1"/>
    <col min="9240" max="9468" width="5.42578125" style="64"/>
    <col min="9469" max="9469" width="7.140625" style="64" customWidth="1"/>
    <col min="9470" max="9470" width="14.28515625" style="64" bestFit="1" customWidth="1"/>
    <col min="9471" max="9471" width="21.5703125" style="64" customWidth="1"/>
    <col min="9472" max="9472" width="3.42578125" style="64" customWidth="1"/>
    <col min="9473" max="9473" width="7.7109375" style="64" customWidth="1"/>
    <col min="9474" max="9474" width="17" style="64" bestFit="1" customWidth="1"/>
    <col min="9475" max="9475" width="11.85546875" style="64" bestFit="1" customWidth="1"/>
    <col min="9476" max="9476" width="19.140625" style="64" bestFit="1" customWidth="1"/>
    <col min="9477" max="9477" width="19.42578125" style="64" customWidth="1"/>
    <col min="9478" max="9479" width="12.85546875" style="64" customWidth="1"/>
    <col min="9480" max="9480" width="13" style="64" customWidth="1"/>
    <col min="9481" max="9485" width="9.7109375" style="64" customWidth="1"/>
    <col min="9486" max="9495" width="12.5703125" style="64" customWidth="1"/>
    <col min="9496" max="9724" width="5.42578125" style="64"/>
    <col min="9725" max="9725" width="7.140625" style="64" customWidth="1"/>
    <col min="9726" max="9726" width="14.28515625" style="64" bestFit="1" customWidth="1"/>
    <col min="9727" max="9727" width="21.5703125" style="64" customWidth="1"/>
    <col min="9728" max="9728" width="3.42578125" style="64" customWidth="1"/>
    <col min="9729" max="9729" width="7.7109375" style="64" customWidth="1"/>
    <col min="9730" max="9730" width="17" style="64" bestFit="1" customWidth="1"/>
    <col min="9731" max="9731" width="11.85546875" style="64" bestFit="1" customWidth="1"/>
    <col min="9732" max="9732" width="19.140625" style="64" bestFit="1" customWidth="1"/>
    <col min="9733" max="9733" width="19.42578125" style="64" customWidth="1"/>
    <col min="9734" max="9735" width="12.85546875" style="64" customWidth="1"/>
    <col min="9736" max="9736" width="13" style="64" customWidth="1"/>
    <col min="9737" max="9741" width="9.7109375" style="64" customWidth="1"/>
    <col min="9742" max="9751" width="12.5703125" style="64" customWidth="1"/>
    <col min="9752" max="9980" width="5.42578125" style="64"/>
    <col min="9981" max="9981" width="7.140625" style="64" customWidth="1"/>
    <col min="9982" max="9982" width="14.28515625" style="64" bestFit="1" customWidth="1"/>
    <col min="9983" max="9983" width="21.5703125" style="64" customWidth="1"/>
    <col min="9984" max="9984" width="3.42578125" style="64" customWidth="1"/>
    <col min="9985" max="9985" width="7.7109375" style="64" customWidth="1"/>
    <col min="9986" max="9986" width="17" style="64" bestFit="1" customWidth="1"/>
    <col min="9987" max="9987" width="11.85546875" style="64" bestFit="1" customWidth="1"/>
    <col min="9988" max="9988" width="19.140625" style="64" bestFit="1" customWidth="1"/>
    <col min="9989" max="9989" width="19.42578125" style="64" customWidth="1"/>
    <col min="9990" max="9991" width="12.85546875" style="64" customWidth="1"/>
    <col min="9992" max="9992" width="13" style="64" customWidth="1"/>
    <col min="9993" max="9997" width="9.7109375" style="64" customWidth="1"/>
    <col min="9998" max="10007" width="12.5703125" style="64" customWidth="1"/>
    <col min="10008" max="10236" width="5.42578125" style="64"/>
    <col min="10237" max="10237" width="7.140625" style="64" customWidth="1"/>
    <col min="10238" max="10238" width="14.28515625" style="64" bestFit="1" customWidth="1"/>
    <col min="10239" max="10239" width="21.5703125" style="64" customWidth="1"/>
    <col min="10240" max="10240" width="3.42578125" style="64" customWidth="1"/>
    <col min="10241" max="10241" width="7.7109375" style="64" customWidth="1"/>
    <col min="10242" max="10242" width="17" style="64" bestFit="1" customWidth="1"/>
    <col min="10243" max="10243" width="11.85546875" style="64" bestFit="1" customWidth="1"/>
    <col min="10244" max="10244" width="19.140625" style="64" bestFit="1" customWidth="1"/>
    <col min="10245" max="10245" width="19.42578125" style="64" customWidth="1"/>
    <col min="10246" max="10247" width="12.85546875" style="64" customWidth="1"/>
    <col min="10248" max="10248" width="13" style="64" customWidth="1"/>
    <col min="10249" max="10253" width="9.7109375" style="64" customWidth="1"/>
    <col min="10254" max="10263" width="12.5703125" style="64" customWidth="1"/>
    <col min="10264" max="10492" width="5.42578125" style="64"/>
    <col min="10493" max="10493" width="7.140625" style="64" customWidth="1"/>
    <col min="10494" max="10494" width="14.28515625" style="64" bestFit="1" customWidth="1"/>
    <col min="10495" max="10495" width="21.5703125" style="64" customWidth="1"/>
    <col min="10496" max="10496" width="3.42578125" style="64" customWidth="1"/>
    <col min="10497" max="10497" width="7.7109375" style="64" customWidth="1"/>
    <col min="10498" max="10498" width="17" style="64" bestFit="1" customWidth="1"/>
    <col min="10499" max="10499" width="11.85546875" style="64" bestFit="1" customWidth="1"/>
    <col min="10500" max="10500" width="19.140625" style="64" bestFit="1" customWidth="1"/>
    <col min="10501" max="10501" width="19.42578125" style="64" customWidth="1"/>
    <col min="10502" max="10503" width="12.85546875" style="64" customWidth="1"/>
    <col min="10504" max="10504" width="13" style="64" customWidth="1"/>
    <col min="10505" max="10509" width="9.7109375" style="64" customWidth="1"/>
    <col min="10510" max="10519" width="12.5703125" style="64" customWidth="1"/>
    <col min="10520" max="10748" width="5.42578125" style="64"/>
    <col min="10749" max="10749" width="7.140625" style="64" customWidth="1"/>
    <col min="10750" max="10750" width="14.28515625" style="64" bestFit="1" customWidth="1"/>
    <col min="10751" max="10751" width="21.5703125" style="64" customWidth="1"/>
    <col min="10752" max="10752" width="3.42578125" style="64" customWidth="1"/>
    <col min="10753" max="10753" width="7.7109375" style="64" customWidth="1"/>
    <col min="10754" max="10754" width="17" style="64" bestFit="1" customWidth="1"/>
    <col min="10755" max="10755" width="11.85546875" style="64" bestFit="1" customWidth="1"/>
    <col min="10756" max="10756" width="19.140625" style="64" bestFit="1" customWidth="1"/>
    <col min="10757" max="10757" width="19.42578125" style="64" customWidth="1"/>
    <col min="10758" max="10759" width="12.85546875" style="64" customWidth="1"/>
    <col min="10760" max="10760" width="13" style="64" customWidth="1"/>
    <col min="10761" max="10765" width="9.7109375" style="64" customWidth="1"/>
    <col min="10766" max="10775" width="12.5703125" style="64" customWidth="1"/>
    <col min="10776" max="11004" width="5.42578125" style="64"/>
    <col min="11005" max="11005" width="7.140625" style="64" customWidth="1"/>
    <col min="11006" max="11006" width="14.28515625" style="64" bestFit="1" customWidth="1"/>
    <col min="11007" max="11007" width="21.5703125" style="64" customWidth="1"/>
    <col min="11008" max="11008" width="3.42578125" style="64" customWidth="1"/>
    <col min="11009" max="11009" width="7.7109375" style="64" customWidth="1"/>
    <col min="11010" max="11010" width="17" style="64" bestFit="1" customWidth="1"/>
    <col min="11011" max="11011" width="11.85546875" style="64" bestFit="1" customWidth="1"/>
    <col min="11012" max="11012" width="19.140625" style="64" bestFit="1" customWidth="1"/>
    <col min="11013" max="11013" width="19.42578125" style="64" customWidth="1"/>
    <col min="11014" max="11015" width="12.85546875" style="64" customWidth="1"/>
    <col min="11016" max="11016" width="13" style="64" customWidth="1"/>
    <col min="11017" max="11021" width="9.7109375" style="64" customWidth="1"/>
    <col min="11022" max="11031" width="12.5703125" style="64" customWidth="1"/>
    <col min="11032" max="11260" width="5.42578125" style="64"/>
    <col min="11261" max="11261" width="7.140625" style="64" customWidth="1"/>
    <col min="11262" max="11262" width="14.28515625" style="64" bestFit="1" customWidth="1"/>
    <col min="11263" max="11263" width="21.5703125" style="64" customWidth="1"/>
    <col min="11264" max="11264" width="3.42578125" style="64" customWidth="1"/>
    <col min="11265" max="11265" width="7.7109375" style="64" customWidth="1"/>
    <col min="11266" max="11266" width="17" style="64" bestFit="1" customWidth="1"/>
    <col min="11267" max="11267" width="11.85546875" style="64" bestFit="1" customWidth="1"/>
    <col min="11268" max="11268" width="19.140625" style="64" bestFit="1" customWidth="1"/>
    <col min="11269" max="11269" width="19.42578125" style="64" customWidth="1"/>
    <col min="11270" max="11271" width="12.85546875" style="64" customWidth="1"/>
    <col min="11272" max="11272" width="13" style="64" customWidth="1"/>
    <col min="11273" max="11277" width="9.7109375" style="64" customWidth="1"/>
    <col min="11278" max="11287" width="12.5703125" style="64" customWidth="1"/>
    <col min="11288" max="11516" width="5.42578125" style="64"/>
    <col min="11517" max="11517" width="7.140625" style="64" customWidth="1"/>
    <col min="11518" max="11518" width="14.28515625" style="64" bestFit="1" customWidth="1"/>
    <col min="11519" max="11519" width="21.5703125" style="64" customWidth="1"/>
    <col min="11520" max="11520" width="3.42578125" style="64" customWidth="1"/>
    <col min="11521" max="11521" width="7.7109375" style="64" customWidth="1"/>
    <col min="11522" max="11522" width="17" style="64" bestFit="1" customWidth="1"/>
    <col min="11523" max="11523" width="11.85546875" style="64" bestFit="1" customWidth="1"/>
    <col min="11524" max="11524" width="19.140625" style="64" bestFit="1" customWidth="1"/>
    <col min="11525" max="11525" width="19.42578125" style="64" customWidth="1"/>
    <col min="11526" max="11527" width="12.85546875" style="64" customWidth="1"/>
    <col min="11528" max="11528" width="13" style="64" customWidth="1"/>
    <col min="11529" max="11533" width="9.7109375" style="64" customWidth="1"/>
    <col min="11534" max="11543" width="12.5703125" style="64" customWidth="1"/>
    <col min="11544" max="11772" width="5.42578125" style="64"/>
    <col min="11773" max="11773" width="7.140625" style="64" customWidth="1"/>
    <col min="11774" max="11774" width="14.28515625" style="64" bestFit="1" customWidth="1"/>
    <col min="11775" max="11775" width="21.5703125" style="64" customWidth="1"/>
    <col min="11776" max="11776" width="3.42578125" style="64" customWidth="1"/>
    <col min="11777" max="11777" width="7.7109375" style="64" customWidth="1"/>
    <col min="11778" max="11778" width="17" style="64" bestFit="1" customWidth="1"/>
    <col min="11779" max="11779" width="11.85546875" style="64" bestFit="1" customWidth="1"/>
    <col min="11780" max="11780" width="19.140625" style="64" bestFit="1" customWidth="1"/>
    <col min="11781" max="11781" width="19.42578125" style="64" customWidth="1"/>
    <col min="11782" max="11783" width="12.85546875" style="64" customWidth="1"/>
    <col min="11784" max="11784" width="13" style="64" customWidth="1"/>
    <col min="11785" max="11789" width="9.7109375" style="64" customWidth="1"/>
    <col min="11790" max="11799" width="12.5703125" style="64" customWidth="1"/>
    <col min="11800" max="12028" width="5.42578125" style="64"/>
    <col min="12029" max="12029" width="7.140625" style="64" customWidth="1"/>
    <col min="12030" max="12030" width="14.28515625" style="64" bestFit="1" customWidth="1"/>
    <col min="12031" max="12031" width="21.5703125" style="64" customWidth="1"/>
    <col min="12032" max="12032" width="3.42578125" style="64" customWidth="1"/>
    <col min="12033" max="12033" width="7.7109375" style="64" customWidth="1"/>
    <col min="12034" max="12034" width="17" style="64" bestFit="1" customWidth="1"/>
    <col min="12035" max="12035" width="11.85546875" style="64" bestFit="1" customWidth="1"/>
    <col min="12036" max="12036" width="19.140625" style="64" bestFit="1" customWidth="1"/>
    <col min="12037" max="12037" width="19.42578125" style="64" customWidth="1"/>
    <col min="12038" max="12039" width="12.85546875" style="64" customWidth="1"/>
    <col min="12040" max="12040" width="13" style="64" customWidth="1"/>
    <col min="12041" max="12045" width="9.7109375" style="64" customWidth="1"/>
    <col min="12046" max="12055" width="12.5703125" style="64" customWidth="1"/>
    <col min="12056" max="12284" width="5.42578125" style="64"/>
    <col min="12285" max="12285" width="7.140625" style="64" customWidth="1"/>
    <col min="12286" max="12286" width="14.28515625" style="64" bestFit="1" customWidth="1"/>
    <col min="12287" max="12287" width="21.5703125" style="64" customWidth="1"/>
    <col min="12288" max="12288" width="3.42578125" style="64" customWidth="1"/>
    <col min="12289" max="12289" width="7.7109375" style="64" customWidth="1"/>
    <col min="12290" max="12290" width="17" style="64" bestFit="1" customWidth="1"/>
    <col min="12291" max="12291" width="11.85546875" style="64" bestFit="1" customWidth="1"/>
    <col min="12292" max="12292" width="19.140625" style="64" bestFit="1" customWidth="1"/>
    <col min="12293" max="12293" width="19.42578125" style="64" customWidth="1"/>
    <col min="12294" max="12295" width="12.85546875" style="64" customWidth="1"/>
    <col min="12296" max="12296" width="13" style="64" customWidth="1"/>
    <col min="12297" max="12301" width="9.7109375" style="64" customWidth="1"/>
    <col min="12302" max="12311" width="12.5703125" style="64" customWidth="1"/>
    <col min="12312" max="12540" width="5.42578125" style="64"/>
    <col min="12541" max="12541" width="7.140625" style="64" customWidth="1"/>
    <col min="12542" max="12542" width="14.28515625" style="64" bestFit="1" customWidth="1"/>
    <col min="12543" max="12543" width="21.5703125" style="64" customWidth="1"/>
    <col min="12544" max="12544" width="3.42578125" style="64" customWidth="1"/>
    <col min="12545" max="12545" width="7.7109375" style="64" customWidth="1"/>
    <col min="12546" max="12546" width="17" style="64" bestFit="1" customWidth="1"/>
    <col min="12547" max="12547" width="11.85546875" style="64" bestFit="1" customWidth="1"/>
    <col min="12548" max="12548" width="19.140625" style="64" bestFit="1" customWidth="1"/>
    <col min="12549" max="12549" width="19.42578125" style="64" customWidth="1"/>
    <col min="12550" max="12551" width="12.85546875" style="64" customWidth="1"/>
    <col min="12552" max="12552" width="13" style="64" customWidth="1"/>
    <col min="12553" max="12557" width="9.7109375" style="64" customWidth="1"/>
    <col min="12558" max="12567" width="12.5703125" style="64" customWidth="1"/>
    <col min="12568" max="12796" width="5.42578125" style="64"/>
    <col min="12797" max="12797" width="7.140625" style="64" customWidth="1"/>
    <col min="12798" max="12798" width="14.28515625" style="64" bestFit="1" customWidth="1"/>
    <col min="12799" max="12799" width="21.5703125" style="64" customWidth="1"/>
    <col min="12800" max="12800" width="3.42578125" style="64" customWidth="1"/>
    <col min="12801" max="12801" width="7.7109375" style="64" customWidth="1"/>
    <col min="12802" max="12802" width="17" style="64" bestFit="1" customWidth="1"/>
    <col min="12803" max="12803" width="11.85546875" style="64" bestFit="1" customWidth="1"/>
    <col min="12804" max="12804" width="19.140625" style="64" bestFit="1" customWidth="1"/>
    <col min="12805" max="12805" width="19.42578125" style="64" customWidth="1"/>
    <col min="12806" max="12807" width="12.85546875" style="64" customWidth="1"/>
    <col min="12808" max="12808" width="13" style="64" customWidth="1"/>
    <col min="12809" max="12813" width="9.7109375" style="64" customWidth="1"/>
    <col min="12814" max="12823" width="12.5703125" style="64" customWidth="1"/>
    <col min="12824" max="13052" width="5.42578125" style="64"/>
    <col min="13053" max="13053" width="7.140625" style="64" customWidth="1"/>
    <col min="13054" max="13054" width="14.28515625" style="64" bestFit="1" customWidth="1"/>
    <col min="13055" max="13055" width="21.5703125" style="64" customWidth="1"/>
    <col min="13056" max="13056" width="3.42578125" style="64" customWidth="1"/>
    <col min="13057" max="13057" width="7.7109375" style="64" customWidth="1"/>
    <col min="13058" max="13058" width="17" style="64" bestFit="1" customWidth="1"/>
    <col min="13059" max="13059" width="11.85546875" style="64" bestFit="1" customWidth="1"/>
    <col min="13060" max="13060" width="19.140625" style="64" bestFit="1" customWidth="1"/>
    <col min="13061" max="13061" width="19.42578125" style="64" customWidth="1"/>
    <col min="13062" max="13063" width="12.85546875" style="64" customWidth="1"/>
    <col min="13064" max="13064" width="13" style="64" customWidth="1"/>
    <col min="13065" max="13069" width="9.7109375" style="64" customWidth="1"/>
    <col min="13070" max="13079" width="12.5703125" style="64" customWidth="1"/>
    <col min="13080" max="13308" width="5.42578125" style="64"/>
    <col min="13309" max="13309" width="7.140625" style="64" customWidth="1"/>
    <col min="13310" max="13310" width="14.28515625" style="64" bestFit="1" customWidth="1"/>
    <col min="13311" max="13311" width="21.5703125" style="64" customWidth="1"/>
    <col min="13312" max="13312" width="3.42578125" style="64" customWidth="1"/>
    <col min="13313" max="13313" width="7.7109375" style="64" customWidth="1"/>
    <col min="13314" max="13314" width="17" style="64" bestFit="1" customWidth="1"/>
    <col min="13315" max="13315" width="11.85546875" style="64" bestFit="1" customWidth="1"/>
    <col min="13316" max="13316" width="19.140625" style="64" bestFit="1" customWidth="1"/>
    <col min="13317" max="13317" width="19.42578125" style="64" customWidth="1"/>
    <col min="13318" max="13319" width="12.85546875" style="64" customWidth="1"/>
    <col min="13320" max="13320" width="13" style="64" customWidth="1"/>
    <col min="13321" max="13325" width="9.7109375" style="64" customWidth="1"/>
    <col min="13326" max="13335" width="12.5703125" style="64" customWidth="1"/>
    <col min="13336" max="13564" width="5.42578125" style="64"/>
    <col min="13565" max="13565" width="7.140625" style="64" customWidth="1"/>
    <col min="13566" max="13566" width="14.28515625" style="64" bestFit="1" customWidth="1"/>
    <col min="13567" max="13567" width="21.5703125" style="64" customWidth="1"/>
    <col min="13568" max="13568" width="3.42578125" style="64" customWidth="1"/>
    <col min="13569" max="13569" width="7.7109375" style="64" customWidth="1"/>
    <col min="13570" max="13570" width="17" style="64" bestFit="1" customWidth="1"/>
    <col min="13571" max="13571" width="11.85546875" style="64" bestFit="1" customWidth="1"/>
    <col min="13572" max="13572" width="19.140625" style="64" bestFit="1" customWidth="1"/>
    <col min="13573" max="13573" width="19.42578125" style="64" customWidth="1"/>
    <col min="13574" max="13575" width="12.85546875" style="64" customWidth="1"/>
    <col min="13576" max="13576" width="13" style="64" customWidth="1"/>
    <col min="13577" max="13581" width="9.7109375" style="64" customWidth="1"/>
    <col min="13582" max="13591" width="12.5703125" style="64" customWidth="1"/>
    <col min="13592" max="13820" width="5.42578125" style="64"/>
    <col min="13821" max="13821" width="7.140625" style="64" customWidth="1"/>
    <col min="13822" max="13822" width="14.28515625" style="64" bestFit="1" customWidth="1"/>
    <col min="13823" max="13823" width="21.5703125" style="64" customWidth="1"/>
    <col min="13824" max="13824" width="3.42578125" style="64" customWidth="1"/>
    <col min="13825" max="13825" width="7.7109375" style="64" customWidth="1"/>
    <col min="13826" max="13826" width="17" style="64" bestFit="1" customWidth="1"/>
    <col min="13827" max="13827" width="11.85546875" style="64" bestFit="1" customWidth="1"/>
    <col min="13828" max="13828" width="19.140625" style="64" bestFit="1" customWidth="1"/>
    <col min="13829" max="13829" width="19.42578125" style="64" customWidth="1"/>
    <col min="13830" max="13831" width="12.85546875" style="64" customWidth="1"/>
    <col min="13832" max="13832" width="13" style="64" customWidth="1"/>
    <col min="13833" max="13837" width="9.7109375" style="64" customWidth="1"/>
    <col min="13838" max="13847" width="12.5703125" style="64" customWidth="1"/>
    <col min="13848" max="14076" width="5.42578125" style="64"/>
    <col min="14077" max="14077" width="7.140625" style="64" customWidth="1"/>
    <col min="14078" max="14078" width="14.28515625" style="64" bestFit="1" customWidth="1"/>
    <col min="14079" max="14079" width="21.5703125" style="64" customWidth="1"/>
    <col min="14080" max="14080" width="3.42578125" style="64" customWidth="1"/>
    <col min="14081" max="14081" width="7.7109375" style="64" customWidth="1"/>
    <col min="14082" max="14082" width="17" style="64" bestFit="1" customWidth="1"/>
    <col min="14083" max="14083" width="11.85546875" style="64" bestFit="1" customWidth="1"/>
    <col min="14084" max="14084" width="19.140625" style="64" bestFit="1" customWidth="1"/>
    <col min="14085" max="14085" width="19.42578125" style="64" customWidth="1"/>
    <col min="14086" max="14087" width="12.85546875" style="64" customWidth="1"/>
    <col min="14088" max="14088" width="13" style="64" customWidth="1"/>
    <col min="14089" max="14093" width="9.7109375" style="64" customWidth="1"/>
    <col min="14094" max="14103" width="12.5703125" style="64" customWidth="1"/>
    <col min="14104" max="14332" width="5.42578125" style="64"/>
    <col min="14333" max="14333" width="7.140625" style="64" customWidth="1"/>
    <col min="14334" max="14334" width="14.28515625" style="64" bestFit="1" customWidth="1"/>
    <col min="14335" max="14335" width="21.5703125" style="64" customWidth="1"/>
    <col min="14336" max="14336" width="3.42578125" style="64" customWidth="1"/>
    <col min="14337" max="14337" width="7.7109375" style="64" customWidth="1"/>
    <col min="14338" max="14338" width="17" style="64" bestFit="1" customWidth="1"/>
    <col min="14339" max="14339" width="11.85546875" style="64" bestFit="1" customWidth="1"/>
    <col min="14340" max="14340" width="19.140625" style="64" bestFit="1" customWidth="1"/>
    <col min="14341" max="14341" width="19.42578125" style="64" customWidth="1"/>
    <col min="14342" max="14343" width="12.85546875" style="64" customWidth="1"/>
    <col min="14344" max="14344" width="13" style="64" customWidth="1"/>
    <col min="14345" max="14349" width="9.7109375" style="64" customWidth="1"/>
    <col min="14350" max="14359" width="12.5703125" style="64" customWidth="1"/>
    <col min="14360" max="14588" width="5.42578125" style="64"/>
    <col min="14589" max="14589" width="7.140625" style="64" customWidth="1"/>
    <col min="14590" max="14590" width="14.28515625" style="64" bestFit="1" customWidth="1"/>
    <col min="14591" max="14591" width="21.5703125" style="64" customWidth="1"/>
    <col min="14592" max="14592" width="3.42578125" style="64" customWidth="1"/>
    <col min="14593" max="14593" width="7.7109375" style="64" customWidth="1"/>
    <col min="14594" max="14594" width="17" style="64" bestFit="1" customWidth="1"/>
    <col min="14595" max="14595" width="11.85546875" style="64" bestFit="1" customWidth="1"/>
    <col min="14596" max="14596" width="19.140625" style="64" bestFit="1" customWidth="1"/>
    <col min="14597" max="14597" width="19.42578125" style="64" customWidth="1"/>
    <col min="14598" max="14599" width="12.85546875" style="64" customWidth="1"/>
    <col min="14600" max="14600" width="13" style="64" customWidth="1"/>
    <col min="14601" max="14605" width="9.7109375" style="64" customWidth="1"/>
    <col min="14606" max="14615" width="12.5703125" style="64" customWidth="1"/>
    <col min="14616" max="14844" width="5.42578125" style="64"/>
    <col min="14845" max="14845" width="7.140625" style="64" customWidth="1"/>
    <col min="14846" max="14846" width="14.28515625" style="64" bestFit="1" customWidth="1"/>
    <col min="14847" max="14847" width="21.5703125" style="64" customWidth="1"/>
    <col min="14848" max="14848" width="3.42578125" style="64" customWidth="1"/>
    <col min="14849" max="14849" width="7.7109375" style="64" customWidth="1"/>
    <col min="14850" max="14850" width="17" style="64" bestFit="1" customWidth="1"/>
    <col min="14851" max="14851" width="11.85546875" style="64" bestFit="1" customWidth="1"/>
    <col min="14852" max="14852" width="19.140625" style="64" bestFit="1" customWidth="1"/>
    <col min="14853" max="14853" width="19.42578125" style="64" customWidth="1"/>
    <col min="14854" max="14855" width="12.85546875" style="64" customWidth="1"/>
    <col min="14856" max="14856" width="13" style="64" customWidth="1"/>
    <col min="14857" max="14861" width="9.7109375" style="64" customWidth="1"/>
    <col min="14862" max="14871" width="12.5703125" style="64" customWidth="1"/>
    <col min="14872" max="15100" width="5.42578125" style="64"/>
    <col min="15101" max="15101" width="7.140625" style="64" customWidth="1"/>
    <col min="15102" max="15102" width="14.28515625" style="64" bestFit="1" customWidth="1"/>
    <col min="15103" max="15103" width="21.5703125" style="64" customWidth="1"/>
    <col min="15104" max="15104" width="3.42578125" style="64" customWidth="1"/>
    <col min="15105" max="15105" width="7.7109375" style="64" customWidth="1"/>
    <col min="15106" max="15106" width="17" style="64" bestFit="1" customWidth="1"/>
    <col min="15107" max="15107" width="11.85546875" style="64" bestFit="1" customWidth="1"/>
    <col min="15108" max="15108" width="19.140625" style="64" bestFit="1" customWidth="1"/>
    <col min="15109" max="15109" width="19.42578125" style="64" customWidth="1"/>
    <col min="15110" max="15111" width="12.85546875" style="64" customWidth="1"/>
    <col min="15112" max="15112" width="13" style="64" customWidth="1"/>
    <col min="15113" max="15117" width="9.7109375" style="64" customWidth="1"/>
    <col min="15118" max="15127" width="12.5703125" style="64" customWidth="1"/>
    <col min="15128" max="15356" width="5.42578125" style="64"/>
    <col min="15357" max="15357" width="7.140625" style="64" customWidth="1"/>
    <col min="15358" max="15358" width="14.28515625" style="64" bestFit="1" customWidth="1"/>
    <col min="15359" max="15359" width="21.5703125" style="64" customWidth="1"/>
    <col min="15360" max="15360" width="3.42578125" style="64" customWidth="1"/>
    <col min="15361" max="15361" width="7.7109375" style="64" customWidth="1"/>
    <col min="15362" max="15362" width="17" style="64" bestFit="1" customWidth="1"/>
    <col min="15363" max="15363" width="11.85546875" style="64" bestFit="1" customWidth="1"/>
    <col min="15364" max="15364" width="19.140625" style="64" bestFit="1" customWidth="1"/>
    <col min="15365" max="15365" width="19.42578125" style="64" customWidth="1"/>
    <col min="15366" max="15367" width="12.85546875" style="64" customWidth="1"/>
    <col min="15368" max="15368" width="13" style="64" customWidth="1"/>
    <col min="15369" max="15373" width="9.7109375" style="64" customWidth="1"/>
    <col min="15374" max="15383" width="12.5703125" style="64" customWidth="1"/>
    <col min="15384" max="15612" width="5.42578125" style="64"/>
    <col min="15613" max="15613" width="7.140625" style="64" customWidth="1"/>
    <col min="15614" max="15614" width="14.28515625" style="64" bestFit="1" customWidth="1"/>
    <col min="15615" max="15615" width="21.5703125" style="64" customWidth="1"/>
    <col min="15616" max="15616" width="3.42578125" style="64" customWidth="1"/>
    <col min="15617" max="15617" width="7.7109375" style="64" customWidth="1"/>
    <col min="15618" max="15618" width="17" style="64" bestFit="1" customWidth="1"/>
    <col min="15619" max="15619" width="11.85546875" style="64" bestFit="1" customWidth="1"/>
    <col min="15620" max="15620" width="19.140625" style="64" bestFit="1" customWidth="1"/>
    <col min="15621" max="15621" width="19.42578125" style="64" customWidth="1"/>
    <col min="15622" max="15623" width="12.85546875" style="64" customWidth="1"/>
    <col min="15624" max="15624" width="13" style="64" customWidth="1"/>
    <col min="15625" max="15629" width="9.7109375" style="64" customWidth="1"/>
    <col min="15630" max="15639" width="12.5703125" style="64" customWidth="1"/>
    <col min="15640" max="15868" width="5.42578125" style="64"/>
    <col min="15869" max="15869" width="7.140625" style="64" customWidth="1"/>
    <col min="15870" max="15870" width="14.28515625" style="64" bestFit="1" customWidth="1"/>
    <col min="15871" max="15871" width="21.5703125" style="64" customWidth="1"/>
    <col min="15872" max="15872" width="3.42578125" style="64" customWidth="1"/>
    <col min="15873" max="15873" width="7.7109375" style="64" customWidth="1"/>
    <col min="15874" max="15874" width="17" style="64" bestFit="1" customWidth="1"/>
    <col min="15875" max="15875" width="11.85546875" style="64" bestFit="1" customWidth="1"/>
    <col min="15876" max="15876" width="19.140625" style="64" bestFit="1" customWidth="1"/>
    <col min="15877" max="15877" width="19.42578125" style="64" customWidth="1"/>
    <col min="15878" max="15879" width="12.85546875" style="64" customWidth="1"/>
    <col min="15880" max="15880" width="13" style="64" customWidth="1"/>
    <col min="15881" max="15885" width="9.7109375" style="64" customWidth="1"/>
    <col min="15886" max="15895" width="12.5703125" style="64" customWidth="1"/>
    <col min="15896" max="16124" width="5.42578125" style="64"/>
    <col min="16125" max="16125" width="7.140625" style="64" customWidth="1"/>
    <col min="16126" max="16126" width="14.28515625" style="64" bestFit="1" customWidth="1"/>
    <col min="16127" max="16127" width="21.5703125" style="64" customWidth="1"/>
    <col min="16128" max="16128" width="3.42578125" style="64" customWidth="1"/>
    <col min="16129" max="16129" width="7.7109375" style="64" customWidth="1"/>
    <col min="16130" max="16130" width="17" style="64" bestFit="1" customWidth="1"/>
    <col min="16131" max="16131" width="11.85546875" style="64" bestFit="1" customWidth="1"/>
    <col min="16132" max="16132" width="19.140625" style="64" bestFit="1" customWidth="1"/>
    <col min="16133" max="16133" width="19.42578125" style="64" customWidth="1"/>
    <col min="16134" max="16135" width="12.85546875" style="64" customWidth="1"/>
    <col min="16136" max="16136" width="13" style="64" customWidth="1"/>
    <col min="16137" max="16141" width="9.7109375" style="64" customWidth="1"/>
    <col min="16142" max="16151" width="12.5703125" style="64" customWidth="1"/>
    <col min="16152" max="16384" width="5.42578125" style="64"/>
  </cols>
  <sheetData>
    <row r="1" spans="1:23" s="60" customFormat="1" ht="32.25" customHeight="1" x14ac:dyDescent="0.2">
      <c r="A1" s="55" t="s">
        <v>286</v>
      </c>
      <c r="B1" s="56" t="s">
        <v>263</v>
      </c>
      <c r="C1" s="56" t="s">
        <v>264</v>
      </c>
      <c r="D1" s="57"/>
      <c r="E1" s="58">
        <v>1995</v>
      </c>
      <c r="F1" s="58">
        <v>1996</v>
      </c>
      <c r="G1" s="58">
        <v>1997</v>
      </c>
      <c r="H1" s="58">
        <v>1998</v>
      </c>
      <c r="I1" s="58">
        <v>1999</v>
      </c>
      <c r="J1" s="58">
        <v>2000</v>
      </c>
      <c r="K1" s="58">
        <v>2001</v>
      </c>
      <c r="L1" s="58">
        <v>2002</v>
      </c>
      <c r="M1" s="58">
        <v>2003</v>
      </c>
      <c r="N1" s="58">
        <v>2004</v>
      </c>
      <c r="O1" s="58">
        <v>2005</v>
      </c>
      <c r="P1" s="58">
        <v>2006</v>
      </c>
      <c r="Q1" s="59"/>
      <c r="R1" s="55" t="s">
        <v>448</v>
      </c>
    </row>
    <row r="2" spans="1:23" ht="14.1" customHeight="1" x14ac:dyDescent="0.2">
      <c r="B2" s="62"/>
      <c r="C2" s="62"/>
      <c r="D2" s="62"/>
    </row>
    <row r="3" spans="1:23" ht="14.1" customHeight="1" x14ac:dyDescent="0.2">
      <c r="B3" s="65"/>
      <c r="C3" s="65"/>
      <c r="D3" s="62"/>
    </row>
    <row r="4" spans="1:23" ht="14.1" customHeight="1" x14ac:dyDescent="0.2">
      <c r="A4" s="66" t="s">
        <v>15</v>
      </c>
      <c r="B4" s="67" t="s">
        <v>16</v>
      </c>
      <c r="C4" s="67" t="s">
        <v>288</v>
      </c>
      <c r="D4" s="62"/>
      <c r="E4" s="68"/>
      <c r="F4" s="68"/>
      <c r="G4" s="69"/>
      <c r="H4" s="69"/>
      <c r="I4" s="69"/>
      <c r="J4" s="69"/>
      <c r="K4" s="68"/>
      <c r="L4" s="68">
        <v>29.183</v>
      </c>
      <c r="M4" s="68"/>
      <c r="N4" s="68"/>
      <c r="O4" s="68"/>
      <c r="P4" s="68"/>
      <c r="R4" s="70">
        <v>29.183</v>
      </c>
      <c r="S4" s="71"/>
      <c r="T4" s="71"/>
      <c r="U4" s="71"/>
      <c r="V4" s="71"/>
      <c r="W4" s="71"/>
    </row>
    <row r="5" spans="1:23" ht="14.1" customHeight="1" x14ac:dyDescent="0.2">
      <c r="A5" s="66" t="s">
        <v>17</v>
      </c>
      <c r="B5" s="67" t="s">
        <v>16</v>
      </c>
      <c r="C5" s="67" t="s">
        <v>449</v>
      </c>
      <c r="D5" s="62" t="s">
        <v>271</v>
      </c>
      <c r="E5" s="68"/>
      <c r="F5" s="68"/>
      <c r="G5" s="69"/>
      <c r="H5" s="69"/>
      <c r="I5" s="69">
        <v>37.067</v>
      </c>
      <c r="J5" s="69"/>
      <c r="K5" s="68"/>
      <c r="L5" s="68"/>
      <c r="M5" s="68"/>
      <c r="N5" s="68"/>
      <c r="O5" s="68"/>
      <c r="P5" s="68"/>
      <c r="R5" s="70">
        <v>37.067</v>
      </c>
      <c r="S5" s="71"/>
      <c r="T5" s="71"/>
      <c r="U5" s="71"/>
      <c r="V5" s="71"/>
      <c r="W5" s="71"/>
    </row>
    <row r="6" spans="1:23" ht="14.1" customHeight="1" x14ac:dyDescent="0.2">
      <c r="A6" s="66" t="s">
        <v>19</v>
      </c>
      <c r="B6" s="67" t="s">
        <v>16</v>
      </c>
      <c r="C6" s="67" t="s">
        <v>289</v>
      </c>
      <c r="D6" s="62" t="s">
        <v>271</v>
      </c>
      <c r="E6" s="68"/>
      <c r="F6" s="68"/>
      <c r="G6" s="69"/>
      <c r="H6" s="69"/>
      <c r="I6" s="69">
        <v>36.75</v>
      </c>
      <c r="J6" s="69"/>
      <c r="K6" s="68"/>
      <c r="L6" s="68"/>
      <c r="M6" s="68"/>
      <c r="N6" s="68"/>
      <c r="O6" s="68"/>
      <c r="P6" s="68"/>
      <c r="R6" s="70">
        <v>36.75</v>
      </c>
      <c r="S6" s="71"/>
      <c r="T6" s="71"/>
      <c r="U6" s="71"/>
      <c r="V6" s="71"/>
      <c r="W6" s="71"/>
    </row>
    <row r="7" spans="1:23" ht="14.1" customHeight="1" x14ac:dyDescent="0.2">
      <c r="A7" s="66" t="s">
        <v>20</v>
      </c>
      <c r="B7" s="67" t="s">
        <v>16</v>
      </c>
      <c r="C7" s="67" t="s">
        <v>290</v>
      </c>
      <c r="D7" s="62" t="s">
        <v>271</v>
      </c>
      <c r="E7" s="68"/>
      <c r="F7" s="68"/>
      <c r="G7" s="69"/>
      <c r="H7" s="69">
        <v>31.518999999999998</v>
      </c>
      <c r="I7" s="69"/>
      <c r="J7" s="69"/>
      <c r="K7" s="68"/>
      <c r="L7" s="68"/>
      <c r="M7" s="68"/>
      <c r="N7" s="68"/>
      <c r="O7" s="68"/>
      <c r="P7" s="68"/>
      <c r="R7" s="70">
        <v>31.518999999999998</v>
      </c>
      <c r="S7" s="71"/>
      <c r="T7" s="71"/>
      <c r="U7" s="71"/>
      <c r="V7" s="71"/>
      <c r="W7" s="71"/>
    </row>
    <row r="8" spans="1:23" ht="14.1" customHeight="1" x14ac:dyDescent="0.2">
      <c r="A8" s="66" t="s">
        <v>21</v>
      </c>
      <c r="B8" s="67" t="s">
        <v>16</v>
      </c>
      <c r="C8" s="67" t="s">
        <v>291</v>
      </c>
      <c r="D8" s="62"/>
      <c r="E8" s="68"/>
      <c r="F8" s="72">
        <v>40.08</v>
      </c>
      <c r="G8" s="69"/>
      <c r="H8" s="69"/>
      <c r="I8" s="69"/>
      <c r="J8" s="69"/>
      <c r="K8" s="68"/>
      <c r="L8" s="68"/>
      <c r="M8" s="68"/>
      <c r="N8" s="68"/>
      <c r="O8" s="68"/>
      <c r="P8" s="68"/>
      <c r="R8" s="70">
        <v>40.08</v>
      </c>
      <c r="S8" s="71"/>
      <c r="T8" s="71"/>
      <c r="U8" s="71"/>
      <c r="V8" s="71"/>
      <c r="W8" s="71"/>
    </row>
    <row r="9" spans="1:23" ht="14.1" customHeight="1" x14ac:dyDescent="0.2">
      <c r="A9" s="66" t="s">
        <v>22</v>
      </c>
      <c r="B9" s="67" t="s">
        <v>16</v>
      </c>
      <c r="C9" s="67" t="s">
        <v>292</v>
      </c>
      <c r="D9" s="62"/>
      <c r="E9" s="68"/>
      <c r="F9" s="68"/>
      <c r="G9" s="69">
        <v>39.981999999999999</v>
      </c>
      <c r="H9" s="69"/>
      <c r="I9" s="69"/>
      <c r="J9" s="69"/>
      <c r="K9" s="68"/>
      <c r="L9" s="68"/>
      <c r="M9" s="68"/>
      <c r="N9" s="68"/>
      <c r="O9" s="68"/>
      <c r="P9" s="68"/>
      <c r="R9" s="70">
        <v>39.981999999999999</v>
      </c>
      <c r="S9" s="71"/>
      <c r="T9" s="71"/>
      <c r="U9" s="71"/>
      <c r="V9" s="71"/>
      <c r="W9" s="71"/>
    </row>
    <row r="10" spans="1:23" ht="14.1" customHeight="1" x14ac:dyDescent="0.2">
      <c r="A10" s="66" t="s">
        <v>23</v>
      </c>
      <c r="B10" s="67" t="s">
        <v>16</v>
      </c>
      <c r="C10" s="67" t="s">
        <v>293</v>
      </c>
      <c r="D10" s="62" t="s">
        <v>271</v>
      </c>
      <c r="E10" s="68"/>
      <c r="F10" s="68"/>
      <c r="G10" s="69"/>
      <c r="H10" s="69">
        <v>37.505000000000003</v>
      </c>
      <c r="I10" s="69"/>
      <c r="J10" s="69"/>
      <c r="K10" s="68"/>
      <c r="L10" s="68"/>
      <c r="M10" s="68"/>
      <c r="N10" s="68"/>
      <c r="O10" s="68"/>
      <c r="P10" s="68"/>
      <c r="R10" s="70">
        <v>37.505000000000003</v>
      </c>
      <c r="S10" s="71"/>
      <c r="T10" s="71"/>
      <c r="U10" s="71"/>
      <c r="V10" s="71"/>
      <c r="W10" s="71"/>
    </row>
    <row r="11" spans="1:23" ht="14.1" customHeight="1" x14ac:dyDescent="0.2">
      <c r="A11" s="66" t="s">
        <v>24</v>
      </c>
      <c r="B11" s="67" t="s">
        <v>25</v>
      </c>
      <c r="C11" s="67" t="s">
        <v>25</v>
      </c>
      <c r="D11" s="62" t="s">
        <v>271</v>
      </c>
      <c r="E11" s="68"/>
      <c r="F11" s="68"/>
      <c r="G11" s="69"/>
      <c r="H11" s="69">
        <v>37.256</v>
      </c>
      <c r="I11" s="69"/>
      <c r="J11" s="69"/>
      <c r="K11" s="68"/>
      <c r="L11" s="68"/>
      <c r="M11" s="68"/>
      <c r="N11" s="68"/>
      <c r="O11" s="68"/>
      <c r="P11" s="68"/>
      <c r="R11" s="70">
        <v>37.256</v>
      </c>
      <c r="S11" s="71"/>
      <c r="T11" s="71"/>
      <c r="U11" s="71"/>
      <c r="V11" s="71"/>
      <c r="W11" s="71"/>
    </row>
    <row r="12" spans="1:23" ht="14.1" customHeight="1" x14ac:dyDescent="0.2">
      <c r="A12" s="66" t="s">
        <v>26</v>
      </c>
      <c r="B12" s="67" t="s">
        <v>25</v>
      </c>
      <c r="C12" s="67" t="s">
        <v>294</v>
      </c>
      <c r="D12" s="62"/>
      <c r="E12" s="68"/>
      <c r="F12" s="72">
        <v>38.902999999999999</v>
      </c>
      <c r="G12" s="69"/>
      <c r="H12" s="69"/>
      <c r="I12" s="69"/>
      <c r="J12" s="69"/>
      <c r="K12" s="68"/>
      <c r="L12" s="68"/>
      <c r="M12" s="68"/>
      <c r="N12" s="68"/>
      <c r="O12" s="68"/>
      <c r="P12" s="68"/>
      <c r="R12" s="70">
        <v>38.902999999999999</v>
      </c>
      <c r="S12" s="71"/>
      <c r="T12" s="71"/>
      <c r="U12" s="71"/>
      <c r="V12" s="71"/>
      <c r="W12" s="71"/>
    </row>
    <row r="13" spans="1:23" ht="14.1" customHeight="1" x14ac:dyDescent="0.2">
      <c r="A13" s="66" t="s">
        <v>27</v>
      </c>
      <c r="B13" s="67" t="s">
        <v>28</v>
      </c>
      <c r="C13" s="67" t="s">
        <v>295</v>
      </c>
      <c r="D13" s="62" t="s">
        <v>271</v>
      </c>
      <c r="E13" s="68"/>
      <c r="F13" s="68"/>
      <c r="G13" s="69"/>
      <c r="H13" s="69"/>
      <c r="I13" s="69">
        <v>32.972999999999999</v>
      </c>
      <c r="J13" s="69"/>
      <c r="K13" s="68"/>
      <c r="L13" s="68"/>
      <c r="M13" s="68"/>
      <c r="N13" s="68"/>
      <c r="O13" s="68"/>
      <c r="P13" s="68"/>
      <c r="R13" s="70">
        <v>32.972999999999999</v>
      </c>
      <c r="S13" s="71"/>
      <c r="T13" s="71"/>
      <c r="U13" s="71"/>
      <c r="V13" s="71"/>
      <c r="W13" s="71"/>
    </row>
    <row r="14" spans="1:23" ht="14.1" customHeight="1" x14ac:dyDescent="0.2">
      <c r="A14" s="66" t="s">
        <v>29</v>
      </c>
      <c r="B14" s="67" t="s">
        <v>28</v>
      </c>
      <c r="C14" s="67" t="s">
        <v>296</v>
      </c>
      <c r="D14" s="62"/>
      <c r="E14" s="68"/>
      <c r="F14" s="72">
        <v>40.08</v>
      </c>
      <c r="G14" s="69"/>
      <c r="H14" s="69"/>
      <c r="I14" s="69"/>
      <c r="J14" s="69"/>
      <c r="K14" s="68"/>
      <c r="L14" s="68"/>
      <c r="M14" s="68"/>
      <c r="N14" s="68"/>
      <c r="O14" s="68"/>
      <c r="P14" s="68"/>
      <c r="R14" s="70">
        <v>40.08</v>
      </c>
      <c r="S14" s="71"/>
      <c r="T14" s="71"/>
      <c r="U14" s="71"/>
      <c r="V14" s="71"/>
      <c r="W14" s="71"/>
    </row>
    <row r="15" spans="1:23" ht="14.1" customHeight="1" x14ac:dyDescent="0.2">
      <c r="A15" s="66" t="s">
        <v>30</v>
      </c>
      <c r="B15" s="67" t="s">
        <v>28</v>
      </c>
      <c r="C15" s="67" t="s">
        <v>297</v>
      </c>
      <c r="D15" s="62"/>
      <c r="E15" s="68"/>
      <c r="F15" s="68"/>
      <c r="G15" s="69"/>
      <c r="H15" s="69"/>
      <c r="I15" s="69"/>
      <c r="J15" s="69"/>
      <c r="K15" s="68"/>
      <c r="L15" s="68"/>
      <c r="M15" s="68"/>
      <c r="N15" s="68"/>
      <c r="O15" s="68"/>
      <c r="P15" s="68"/>
      <c r="R15" s="70">
        <v>0</v>
      </c>
      <c r="S15" s="71"/>
      <c r="T15" s="71"/>
      <c r="U15" s="71"/>
      <c r="V15" s="71"/>
      <c r="W15" s="71"/>
    </row>
    <row r="16" spans="1:23" ht="14.1" customHeight="1" x14ac:dyDescent="0.2">
      <c r="A16" s="66" t="s">
        <v>31</v>
      </c>
      <c r="B16" s="67" t="s">
        <v>28</v>
      </c>
      <c r="C16" s="67" t="s">
        <v>298</v>
      </c>
      <c r="D16" s="62" t="s">
        <v>271</v>
      </c>
      <c r="E16" s="68"/>
      <c r="F16" s="68"/>
      <c r="G16" s="69"/>
      <c r="H16" s="69">
        <v>33.573</v>
      </c>
      <c r="I16" s="69"/>
      <c r="J16" s="69"/>
      <c r="K16" s="68"/>
      <c r="L16" s="68"/>
      <c r="M16" s="68"/>
      <c r="N16" s="68"/>
      <c r="O16" s="68"/>
      <c r="P16" s="68"/>
      <c r="R16" s="70">
        <v>33.573</v>
      </c>
      <c r="S16" s="71"/>
      <c r="T16" s="71"/>
      <c r="U16" s="71"/>
      <c r="V16" s="71"/>
      <c r="W16" s="71"/>
    </row>
    <row r="17" spans="1:23" ht="14.1" customHeight="1" x14ac:dyDescent="0.2">
      <c r="A17" s="66" t="s">
        <v>32</v>
      </c>
      <c r="B17" s="67" t="s">
        <v>28</v>
      </c>
      <c r="C17" s="67" t="s">
        <v>299</v>
      </c>
      <c r="D17" s="62" t="s">
        <v>271</v>
      </c>
      <c r="E17" s="68"/>
      <c r="F17" s="68"/>
      <c r="G17" s="69"/>
      <c r="H17" s="69">
        <v>39.569000000000003</v>
      </c>
      <c r="I17" s="69"/>
      <c r="J17" s="69"/>
      <c r="K17" s="68"/>
      <c r="L17" s="68"/>
      <c r="M17" s="68"/>
      <c r="N17" s="68"/>
      <c r="O17" s="68"/>
      <c r="P17" s="68"/>
      <c r="R17" s="70">
        <v>39.569000000000003</v>
      </c>
      <c r="S17" s="71"/>
      <c r="T17" s="71"/>
      <c r="U17" s="71"/>
      <c r="V17" s="71"/>
      <c r="W17" s="71"/>
    </row>
    <row r="18" spans="1:23" ht="14.1" customHeight="1" x14ac:dyDescent="0.2">
      <c r="A18" s="66" t="s">
        <v>33</v>
      </c>
      <c r="B18" s="67" t="s">
        <v>28</v>
      </c>
      <c r="C18" s="67" t="s">
        <v>300</v>
      </c>
      <c r="D18" s="62"/>
      <c r="E18" s="68"/>
      <c r="F18" s="68"/>
      <c r="G18" s="69"/>
      <c r="H18" s="69"/>
      <c r="I18" s="69"/>
      <c r="J18" s="69"/>
      <c r="K18" s="68">
        <v>30.446999999999999</v>
      </c>
      <c r="L18" s="68"/>
      <c r="M18" s="68"/>
      <c r="N18" s="68"/>
      <c r="O18" s="68"/>
      <c r="P18" s="68"/>
      <c r="R18" s="70">
        <v>30.446999999999999</v>
      </c>
      <c r="S18" s="71"/>
      <c r="T18" s="71"/>
      <c r="U18" s="71"/>
      <c r="V18" s="71"/>
      <c r="W18" s="71"/>
    </row>
    <row r="19" spans="1:23" ht="14.1" customHeight="1" x14ac:dyDescent="0.2">
      <c r="A19" s="66" t="s">
        <v>34</v>
      </c>
      <c r="B19" s="67" t="s">
        <v>28</v>
      </c>
      <c r="C19" s="67" t="s">
        <v>301</v>
      </c>
      <c r="D19" s="62"/>
      <c r="E19" s="68"/>
      <c r="F19" s="72">
        <v>40.08</v>
      </c>
      <c r="G19" s="69"/>
      <c r="H19" s="69"/>
      <c r="I19" s="69"/>
      <c r="J19" s="69"/>
      <c r="K19" s="68"/>
      <c r="L19" s="68"/>
      <c r="M19" s="68"/>
      <c r="N19" s="68"/>
      <c r="O19" s="68"/>
      <c r="P19" s="68"/>
      <c r="R19" s="70">
        <v>40.08</v>
      </c>
      <c r="S19" s="71"/>
      <c r="T19" s="71"/>
      <c r="U19" s="71"/>
      <c r="V19" s="71"/>
      <c r="W19" s="71"/>
    </row>
    <row r="20" spans="1:23" ht="14.1" customHeight="1" x14ac:dyDescent="0.2">
      <c r="A20" s="66" t="s">
        <v>35</v>
      </c>
      <c r="B20" s="67" t="s">
        <v>36</v>
      </c>
      <c r="C20" s="67" t="s">
        <v>36</v>
      </c>
      <c r="D20" s="62" t="s">
        <v>271</v>
      </c>
      <c r="E20" s="68"/>
      <c r="F20" s="68"/>
      <c r="G20" s="69"/>
      <c r="H20" s="69">
        <v>33.697000000000003</v>
      </c>
      <c r="I20" s="69"/>
      <c r="J20" s="69"/>
      <c r="K20" s="68"/>
      <c r="L20" s="68"/>
      <c r="M20" s="68"/>
      <c r="N20" s="68"/>
      <c r="O20" s="68"/>
      <c r="P20" s="68"/>
      <c r="R20" s="70">
        <v>33.697000000000003</v>
      </c>
      <c r="S20" s="71"/>
      <c r="T20" s="71"/>
      <c r="U20" s="71"/>
      <c r="V20" s="71"/>
      <c r="W20" s="71"/>
    </row>
    <row r="21" spans="1:23" ht="14.1" customHeight="1" x14ac:dyDescent="0.2">
      <c r="A21" s="66" t="s">
        <v>37</v>
      </c>
      <c r="B21" s="67" t="s">
        <v>38</v>
      </c>
      <c r="C21" s="67" t="s">
        <v>302</v>
      </c>
      <c r="D21" s="62"/>
      <c r="E21" s="68"/>
      <c r="F21" s="72">
        <v>38.399000000000001</v>
      </c>
      <c r="G21" s="69"/>
      <c r="H21" s="69"/>
      <c r="I21" s="69"/>
      <c r="J21" s="69"/>
      <c r="K21" s="68"/>
      <c r="L21" s="68"/>
      <c r="M21" s="68"/>
      <c r="N21" s="68"/>
      <c r="O21" s="68"/>
      <c r="P21" s="68"/>
      <c r="R21" s="70">
        <v>38.399000000000001</v>
      </c>
      <c r="S21" s="71"/>
      <c r="T21" s="71"/>
      <c r="U21" s="71"/>
      <c r="V21" s="71"/>
      <c r="W21" s="71"/>
    </row>
    <row r="22" spans="1:23" ht="14.1" customHeight="1" x14ac:dyDescent="0.2">
      <c r="A22" s="66" t="s">
        <v>39</v>
      </c>
      <c r="B22" s="67" t="s">
        <v>38</v>
      </c>
      <c r="C22" s="67" t="s">
        <v>303</v>
      </c>
      <c r="D22" s="62"/>
      <c r="E22" s="68"/>
      <c r="F22" s="68"/>
      <c r="G22" s="69">
        <v>28.154</v>
      </c>
      <c r="H22" s="69"/>
      <c r="I22" s="69"/>
      <c r="J22" s="69"/>
      <c r="K22" s="68"/>
      <c r="L22" s="68"/>
      <c r="M22" s="68"/>
      <c r="N22" s="68"/>
      <c r="O22" s="68"/>
      <c r="P22" s="68"/>
      <c r="R22" s="70">
        <v>28.154</v>
      </c>
      <c r="S22" s="71"/>
      <c r="T22" s="71"/>
      <c r="U22" s="71"/>
      <c r="V22" s="71"/>
      <c r="W22" s="71"/>
    </row>
    <row r="23" spans="1:23" ht="14.1" customHeight="1" x14ac:dyDescent="0.2">
      <c r="A23" s="66" t="s">
        <v>40</v>
      </c>
      <c r="B23" s="67" t="s">
        <v>38</v>
      </c>
      <c r="C23" s="67" t="s">
        <v>304</v>
      </c>
      <c r="D23" s="62"/>
      <c r="E23" s="68"/>
      <c r="F23" s="72">
        <v>41.75</v>
      </c>
      <c r="G23" s="69"/>
      <c r="H23" s="69"/>
      <c r="I23" s="69"/>
      <c r="J23" s="69"/>
      <c r="K23" s="68"/>
      <c r="L23" s="68"/>
      <c r="M23" s="68"/>
      <c r="N23" s="68"/>
      <c r="O23" s="68"/>
      <c r="P23" s="68"/>
      <c r="R23" s="70">
        <v>41.75</v>
      </c>
      <c r="S23" s="71"/>
      <c r="T23" s="71"/>
      <c r="U23" s="71"/>
      <c r="V23" s="71"/>
      <c r="W23" s="71"/>
    </row>
    <row r="24" spans="1:23" ht="14.1" customHeight="1" x14ac:dyDescent="0.2">
      <c r="A24" s="66" t="s">
        <v>41</v>
      </c>
      <c r="B24" s="67" t="s">
        <v>38</v>
      </c>
      <c r="C24" s="67" t="s">
        <v>305</v>
      </c>
      <c r="D24" s="62"/>
      <c r="E24" s="68"/>
      <c r="F24" s="68"/>
      <c r="G24" s="69">
        <v>40.08</v>
      </c>
      <c r="H24" s="69"/>
      <c r="I24" s="69"/>
      <c r="J24" s="69"/>
      <c r="K24" s="68"/>
      <c r="L24" s="68"/>
      <c r="M24" s="68"/>
      <c r="N24" s="68"/>
      <c r="O24" s="68"/>
      <c r="P24" s="68"/>
      <c r="R24" s="70">
        <v>40.08</v>
      </c>
      <c r="S24" s="71"/>
      <c r="T24" s="71"/>
      <c r="U24" s="71"/>
      <c r="V24" s="71"/>
      <c r="W24" s="71"/>
    </row>
    <row r="25" spans="1:23" ht="14.1" customHeight="1" x14ac:dyDescent="0.2">
      <c r="A25" s="66" t="s">
        <v>42</v>
      </c>
      <c r="B25" s="67" t="s">
        <v>38</v>
      </c>
      <c r="C25" s="67" t="s">
        <v>306</v>
      </c>
      <c r="D25" s="62"/>
      <c r="E25" s="68"/>
      <c r="F25" s="68"/>
      <c r="G25" s="69">
        <v>18.3</v>
      </c>
      <c r="H25" s="69"/>
      <c r="I25" s="69"/>
      <c r="J25" s="69"/>
      <c r="K25" s="68"/>
      <c r="L25" s="68"/>
      <c r="M25" s="68"/>
      <c r="N25" s="68"/>
      <c r="O25" s="68"/>
      <c r="P25" s="68"/>
      <c r="R25" s="70">
        <v>18.3</v>
      </c>
      <c r="S25" s="71"/>
      <c r="T25" s="71"/>
      <c r="U25" s="71"/>
      <c r="V25" s="71"/>
      <c r="W25" s="71"/>
    </row>
    <row r="26" spans="1:23" ht="14.1" customHeight="1" x14ac:dyDescent="0.2">
      <c r="A26" s="66" t="s">
        <v>43</v>
      </c>
      <c r="B26" s="67" t="s">
        <v>44</v>
      </c>
      <c r="C26" s="67" t="s">
        <v>45</v>
      </c>
      <c r="D26" s="62"/>
      <c r="E26" s="68"/>
      <c r="F26" s="68"/>
      <c r="G26" s="69">
        <v>37.613</v>
      </c>
      <c r="H26" s="69"/>
      <c r="I26" s="69"/>
      <c r="J26" s="69"/>
      <c r="K26" s="68"/>
      <c r="L26" s="68"/>
      <c r="M26" s="68"/>
      <c r="N26" s="68"/>
      <c r="O26" s="68"/>
      <c r="P26" s="68"/>
      <c r="R26" s="70">
        <v>37.613</v>
      </c>
      <c r="S26" s="71"/>
      <c r="T26" s="71"/>
      <c r="U26" s="71"/>
      <c r="V26" s="71"/>
      <c r="W26" s="71"/>
    </row>
    <row r="27" spans="1:23" ht="14.1" customHeight="1" x14ac:dyDescent="0.2">
      <c r="A27" s="66" t="s">
        <v>46</v>
      </c>
      <c r="B27" s="67" t="s">
        <v>44</v>
      </c>
      <c r="C27" s="67" t="s">
        <v>307</v>
      </c>
      <c r="D27" s="62"/>
      <c r="E27" s="68"/>
      <c r="F27" s="68"/>
      <c r="G27" s="69">
        <v>25.385999999999999</v>
      </c>
      <c r="H27" s="69"/>
      <c r="I27" s="69"/>
      <c r="J27" s="69"/>
      <c r="K27" s="68"/>
      <c r="L27" s="68"/>
      <c r="M27" s="68"/>
      <c r="N27" s="68"/>
      <c r="O27" s="68"/>
      <c r="P27" s="68"/>
      <c r="R27" s="70">
        <v>25.385999999999999</v>
      </c>
      <c r="S27" s="71"/>
      <c r="T27" s="71"/>
      <c r="U27" s="71"/>
      <c r="V27" s="71"/>
      <c r="W27" s="71"/>
    </row>
    <row r="28" spans="1:23" ht="14.1" customHeight="1" x14ac:dyDescent="0.2">
      <c r="A28" s="66" t="s">
        <v>47</v>
      </c>
      <c r="B28" s="67" t="s">
        <v>48</v>
      </c>
      <c r="C28" s="67" t="s">
        <v>308</v>
      </c>
      <c r="D28" s="62" t="s">
        <v>271</v>
      </c>
      <c r="E28" s="68"/>
      <c r="F28" s="68"/>
      <c r="G28" s="69"/>
      <c r="H28" s="69">
        <v>35.552</v>
      </c>
      <c r="I28" s="69"/>
      <c r="J28" s="69"/>
      <c r="K28" s="68"/>
      <c r="L28" s="68"/>
      <c r="M28" s="68"/>
      <c r="N28" s="68"/>
      <c r="O28" s="68"/>
      <c r="P28" s="68"/>
      <c r="R28" s="70">
        <v>35.552</v>
      </c>
      <c r="S28" s="71"/>
      <c r="T28" s="71"/>
      <c r="U28" s="71"/>
      <c r="V28" s="71"/>
      <c r="W28" s="71"/>
    </row>
    <row r="29" spans="1:23" ht="14.1" customHeight="1" x14ac:dyDescent="0.2">
      <c r="A29" s="66" t="s">
        <v>49</v>
      </c>
      <c r="B29" s="67" t="s">
        <v>48</v>
      </c>
      <c r="C29" s="67" t="s">
        <v>48</v>
      </c>
      <c r="D29" s="62" t="s">
        <v>271</v>
      </c>
      <c r="E29" s="68"/>
      <c r="F29" s="68"/>
      <c r="G29" s="69"/>
      <c r="H29" s="69"/>
      <c r="I29" s="69">
        <v>36.75</v>
      </c>
      <c r="J29" s="69"/>
      <c r="K29" s="68"/>
      <c r="L29" s="68"/>
      <c r="M29" s="68"/>
      <c r="N29" s="68"/>
      <c r="O29" s="68"/>
      <c r="P29" s="68"/>
      <c r="R29" s="70">
        <v>36.75</v>
      </c>
      <c r="S29" s="71"/>
      <c r="T29" s="71"/>
      <c r="U29" s="71"/>
      <c r="V29" s="71"/>
      <c r="W29" s="71"/>
    </row>
    <row r="30" spans="1:23" ht="14.1" customHeight="1" x14ac:dyDescent="0.2">
      <c r="A30" s="66" t="s">
        <v>50</v>
      </c>
      <c r="B30" s="67" t="s">
        <v>51</v>
      </c>
      <c r="C30" s="67" t="s">
        <v>309</v>
      </c>
      <c r="D30" s="62" t="s">
        <v>271</v>
      </c>
      <c r="E30" s="68"/>
      <c r="F30" s="68"/>
      <c r="G30" s="69"/>
      <c r="H30" s="69"/>
      <c r="I30" s="69">
        <v>23.206</v>
      </c>
      <c r="J30" s="69"/>
      <c r="K30" s="68"/>
      <c r="L30" s="68"/>
      <c r="M30" s="68"/>
      <c r="N30" s="68"/>
      <c r="O30" s="68"/>
      <c r="P30" s="68"/>
      <c r="R30" s="70">
        <v>23.206</v>
      </c>
      <c r="S30" s="71"/>
      <c r="T30" s="71"/>
      <c r="U30" s="71"/>
      <c r="V30" s="71"/>
      <c r="W30" s="71"/>
    </row>
    <row r="31" spans="1:23" ht="14.1" customHeight="1" x14ac:dyDescent="0.2">
      <c r="A31" s="66" t="s">
        <v>52</v>
      </c>
      <c r="B31" s="67" t="s">
        <v>51</v>
      </c>
      <c r="C31" s="67" t="s">
        <v>310</v>
      </c>
      <c r="D31" s="62" t="s">
        <v>271</v>
      </c>
      <c r="E31" s="68"/>
      <c r="F31" s="68"/>
      <c r="G31" s="69"/>
      <c r="H31" s="69">
        <v>25.079000000000001</v>
      </c>
      <c r="I31" s="69"/>
      <c r="J31" s="69"/>
      <c r="K31" s="68"/>
      <c r="L31" s="68"/>
      <c r="M31" s="68"/>
      <c r="N31" s="68"/>
      <c r="O31" s="68"/>
      <c r="P31" s="68"/>
      <c r="R31" s="70">
        <v>25.079000000000001</v>
      </c>
      <c r="S31" s="71"/>
      <c r="T31" s="71"/>
      <c r="U31" s="71"/>
      <c r="V31" s="71"/>
      <c r="W31" s="71"/>
    </row>
    <row r="32" spans="1:23" ht="14.1" customHeight="1" x14ac:dyDescent="0.2">
      <c r="A32" s="66" t="s">
        <v>53</v>
      </c>
      <c r="B32" s="67" t="s">
        <v>54</v>
      </c>
      <c r="C32" s="67" t="s">
        <v>55</v>
      </c>
      <c r="D32" s="62"/>
      <c r="E32" s="68"/>
      <c r="F32" s="68"/>
      <c r="G32" s="69">
        <v>19.187000000000001</v>
      </c>
      <c r="H32" s="69"/>
      <c r="I32" s="69"/>
      <c r="J32" s="69"/>
      <c r="K32" s="68"/>
      <c r="L32" s="68"/>
      <c r="M32" s="68"/>
      <c r="N32" s="68"/>
      <c r="O32" s="68"/>
      <c r="P32" s="68"/>
      <c r="R32" s="70">
        <v>19.187000000000001</v>
      </c>
      <c r="S32" s="71"/>
      <c r="T32" s="71"/>
      <c r="U32" s="71"/>
      <c r="V32" s="71"/>
      <c r="W32" s="71"/>
    </row>
    <row r="33" spans="1:23" ht="14.1" customHeight="1" x14ac:dyDescent="0.2">
      <c r="A33" s="66" t="s">
        <v>56</v>
      </c>
      <c r="B33" s="67" t="s">
        <v>54</v>
      </c>
      <c r="C33" s="67" t="s">
        <v>54</v>
      </c>
      <c r="D33" s="62"/>
      <c r="E33" s="68"/>
      <c r="F33" s="72">
        <v>15.558</v>
      </c>
      <c r="G33" s="69"/>
      <c r="H33" s="69"/>
      <c r="I33" s="69"/>
      <c r="J33" s="69"/>
      <c r="K33" s="68"/>
      <c r="L33" s="68"/>
      <c r="M33" s="68"/>
      <c r="N33" s="68"/>
      <c r="O33" s="68"/>
      <c r="P33" s="68"/>
      <c r="R33" s="70">
        <v>15.558</v>
      </c>
      <c r="S33" s="71"/>
      <c r="T33" s="71"/>
      <c r="U33" s="71"/>
      <c r="V33" s="71"/>
      <c r="W33" s="71"/>
    </row>
    <row r="34" spans="1:23" ht="14.1" customHeight="1" x14ac:dyDescent="0.2">
      <c r="A34" s="66" t="s">
        <v>57</v>
      </c>
      <c r="B34" s="67" t="s">
        <v>58</v>
      </c>
      <c r="C34" s="67" t="s">
        <v>58</v>
      </c>
      <c r="D34" s="62" t="s">
        <v>271</v>
      </c>
      <c r="E34" s="68"/>
      <c r="F34" s="68"/>
      <c r="G34" s="69"/>
      <c r="H34" s="69"/>
      <c r="I34" s="69">
        <v>27.413</v>
      </c>
      <c r="J34" s="69"/>
      <c r="K34" s="68"/>
      <c r="L34" s="68"/>
      <c r="M34" s="68"/>
      <c r="N34" s="68"/>
      <c r="O34" s="68"/>
      <c r="P34" s="68"/>
      <c r="R34" s="70">
        <v>27.413</v>
      </c>
      <c r="S34" s="71"/>
      <c r="T34" s="71"/>
      <c r="U34" s="71"/>
      <c r="V34" s="71"/>
      <c r="W34" s="71"/>
    </row>
    <row r="35" spans="1:23" ht="14.1" customHeight="1" x14ac:dyDescent="0.2">
      <c r="A35" s="66" t="s">
        <v>59</v>
      </c>
      <c r="B35" s="67" t="s">
        <v>60</v>
      </c>
      <c r="C35" s="67" t="s">
        <v>311</v>
      </c>
      <c r="D35" s="62"/>
      <c r="E35" s="68"/>
      <c r="F35" s="72">
        <v>24.454000000000001</v>
      </c>
      <c r="G35" s="69"/>
      <c r="H35" s="69"/>
      <c r="I35" s="69"/>
      <c r="J35" s="69"/>
      <c r="K35" s="68"/>
      <c r="L35" s="68"/>
      <c r="M35" s="68"/>
      <c r="N35" s="68"/>
      <c r="O35" s="68"/>
      <c r="P35" s="68"/>
      <c r="R35" s="70">
        <v>24.454000000000001</v>
      </c>
      <c r="S35" s="71"/>
      <c r="T35" s="71"/>
      <c r="U35" s="71"/>
      <c r="V35" s="71"/>
      <c r="W35" s="71"/>
    </row>
    <row r="36" spans="1:23" ht="14.1" customHeight="1" x14ac:dyDescent="0.2">
      <c r="A36" s="66" t="s">
        <v>61</v>
      </c>
      <c r="B36" s="67" t="s">
        <v>60</v>
      </c>
      <c r="C36" s="67" t="s">
        <v>312</v>
      </c>
      <c r="D36" s="62"/>
      <c r="E36" s="68"/>
      <c r="F36" s="72">
        <v>40.08</v>
      </c>
      <c r="G36" s="69"/>
      <c r="H36" s="69"/>
      <c r="I36" s="69"/>
      <c r="J36" s="69"/>
      <c r="K36" s="68"/>
      <c r="L36" s="68"/>
      <c r="M36" s="68"/>
      <c r="N36" s="68"/>
      <c r="O36" s="68"/>
      <c r="P36" s="68"/>
      <c r="R36" s="70">
        <v>40.08</v>
      </c>
      <c r="S36" s="71"/>
      <c r="T36" s="71"/>
      <c r="U36" s="71"/>
      <c r="V36" s="71"/>
      <c r="W36" s="71"/>
    </row>
    <row r="37" spans="1:23" ht="14.1" customHeight="1" x14ac:dyDescent="0.2">
      <c r="A37" s="66" t="s">
        <v>62</v>
      </c>
      <c r="B37" s="67" t="s">
        <v>60</v>
      </c>
      <c r="C37" s="67" t="s">
        <v>313</v>
      </c>
      <c r="D37" s="62"/>
      <c r="E37" s="68"/>
      <c r="F37" s="72">
        <v>41.457999999999998</v>
      </c>
      <c r="G37" s="69"/>
      <c r="H37" s="69"/>
      <c r="I37" s="69"/>
      <c r="J37" s="69"/>
      <c r="K37" s="68"/>
      <c r="L37" s="68"/>
      <c r="M37" s="68"/>
      <c r="N37" s="68"/>
      <c r="O37" s="68"/>
      <c r="P37" s="68"/>
      <c r="R37" s="70">
        <v>41.457999999999998</v>
      </c>
      <c r="S37" s="71"/>
      <c r="T37" s="71"/>
      <c r="U37" s="71"/>
      <c r="V37" s="71"/>
      <c r="W37" s="71"/>
    </row>
    <row r="38" spans="1:23" ht="14.1" customHeight="1" x14ac:dyDescent="0.2">
      <c r="A38" s="66" t="s">
        <v>63</v>
      </c>
      <c r="B38" s="67" t="s">
        <v>64</v>
      </c>
      <c r="C38" s="67" t="s">
        <v>314</v>
      </c>
      <c r="D38" s="62"/>
      <c r="E38" s="68"/>
      <c r="F38" s="68"/>
      <c r="G38" s="69">
        <v>28.469000000000001</v>
      </c>
      <c r="H38" s="69"/>
      <c r="I38" s="69"/>
      <c r="J38" s="69"/>
      <c r="K38" s="68"/>
      <c r="L38" s="68"/>
      <c r="M38" s="68"/>
      <c r="N38" s="68"/>
      <c r="O38" s="68"/>
      <c r="P38" s="68"/>
      <c r="R38" s="70">
        <v>28.469000000000001</v>
      </c>
      <c r="S38" s="71"/>
      <c r="T38" s="71"/>
      <c r="U38" s="71"/>
      <c r="V38" s="71"/>
      <c r="W38" s="71"/>
    </row>
    <row r="39" spans="1:23" ht="14.1" customHeight="1" x14ac:dyDescent="0.2">
      <c r="A39" s="66" t="s">
        <v>65</v>
      </c>
      <c r="B39" s="67" t="s">
        <v>64</v>
      </c>
      <c r="C39" s="67" t="s">
        <v>315</v>
      </c>
      <c r="D39" s="62"/>
      <c r="E39" s="68"/>
      <c r="F39" s="72">
        <v>40.357999999999997</v>
      </c>
      <c r="G39" s="69"/>
      <c r="H39" s="69"/>
      <c r="I39" s="69"/>
      <c r="J39" s="69"/>
      <c r="K39" s="68"/>
      <c r="L39" s="68"/>
      <c r="M39" s="68"/>
      <c r="N39" s="68"/>
      <c r="O39" s="68"/>
      <c r="P39" s="68"/>
      <c r="R39" s="70">
        <v>40.357999999999997</v>
      </c>
      <c r="S39" s="71"/>
      <c r="T39" s="71"/>
      <c r="U39" s="71"/>
      <c r="V39" s="71"/>
      <c r="W39" s="71"/>
    </row>
    <row r="40" spans="1:23" ht="14.1" customHeight="1" x14ac:dyDescent="0.2">
      <c r="A40" s="66" t="s">
        <v>66</v>
      </c>
      <c r="B40" s="67" t="s">
        <v>67</v>
      </c>
      <c r="C40" s="67" t="s">
        <v>67</v>
      </c>
      <c r="D40" s="62"/>
      <c r="E40" s="72">
        <v>40.08</v>
      </c>
      <c r="F40" s="68"/>
      <c r="G40" s="69"/>
      <c r="H40" s="69"/>
      <c r="I40" s="69"/>
      <c r="J40" s="69"/>
      <c r="K40" s="68"/>
      <c r="L40" s="68"/>
      <c r="M40" s="68"/>
      <c r="N40" s="68"/>
      <c r="O40" s="68"/>
      <c r="P40" s="68"/>
      <c r="R40" s="70">
        <v>40.08</v>
      </c>
      <c r="S40" s="71"/>
      <c r="T40" s="71"/>
      <c r="U40" s="71"/>
      <c r="V40" s="71"/>
      <c r="W40" s="71"/>
    </row>
    <row r="41" spans="1:23" ht="14.1" customHeight="1" x14ac:dyDescent="0.2">
      <c r="A41" s="66" t="s">
        <v>68</v>
      </c>
      <c r="B41" s="67" t="s">
        <v>69</v>
      </c>
      <c r="C41" s="67" t="s">
        <v>450</v>
      </c>
      <c r="D41" s="62"/>
      <c r="E41" s="68"/>
      <c r="F41" s="68"/>
      <c r="G41" s="69">
        <v>36.905999999999999</v>
      </c>
      <c r="H41" s="69"/>
      <c r="I41" s="69"/>
      <c r="J41" s="69"/>
      <c r="K41" s="68"/>
      <c r="L41" s="68"/>
      <c r="M41" s="68"/>
      <c r="N41" s="68"/>
      <c r="O41" s="68"/>
      <c r="P41" s="68"/>
      <c r="R41" s="70">
        <v>36.905999999999999</v>
      </c>
      <c r="S41" s="71"/>
      <c r="T41" s="71"/>
      <c r="U41" s="71"/>
      <c r="V41" s="71"/>
      <c r="W41" s="71"/>
    </row>
    <row r="42" spans="1:23" ht="14.1" customHeight="1" x14ac:dyDescent="0.2">
      <c r="A42" s="66" t="s">
        <v>70</v>
      </c>
      <c r="B42" s="67" t="s">
        <v>71</v>
      </c>
      <c r="C42" s="67" t="s">
        <v>71</v>
      </c>
      <c r="D42" s="62" t="s">
        <v>271</v>
      </c>
      <c r="E42" s="68"/>
      <c r="F42" s="68"/>
      <c r="G42" s="69"/>
      <c r="H42" s="69"/>
      <c r="I42" s="69">
        <v>32.476999999999997</v>
      </c>
      <c r="J42" s="69"/>
      <c r="K42" s="68"/>
      <c r="L42" s="68"/>
      <c r="M42" s="68"/>
      <c r="N42" s="68"/>
      <c r="O42" s="68"/>
      <c r="P42" s="68"/>
      <c r="R42" s="70">
        <v>32.476999999999997</v>
      </c>
      <c r="S42" s="71"/>
      <c r="T42" s="71"/>
      <c r="U42" s="71"/>
      <c r="V42" s="71"/>
      <c r="W42" s="71"/>
    </row>
    <row r="43" spans="1:23" ht="14.1" customHeight="1" x14ac:dyDescent="0.2">
      <c r="A43" s="66" t="s">
        <v>72</v>
      </c>
      <c r="B43" s="67" t="s">
        <v>73</v>
      </c>
      <c r="C43" s="67" t="s">
        <v>73</v>
      </c>
      <c r="D43" s="62" t="s">
        <v>271</v>
      </c>
      <c r="E43" s="68"/>
      <c r="F43" s="68"/>
      <c r="G43" s="69"/>
      <c r="H43" s="69"/>
      <c r="I43" s="69">
        <v>37.226999999999997</v>
      </c>
      <c r="J43" s="69"/>
      <c r="K43" s="68"/>
      <c r="L43" s="68"/>
      <c r="M43" s="68"/>
      <c r="N43" s="68"/>
      <c r="O43" s="68"/>
      <c r="P43" s="68"/>
      <c r="R43" s="70">
        <v>37.226999999999997</v>
      </c>
      <c r="S43" s="71"/>
      <c r="T43" s="71"/>
      <c r="U43" s="71"/>
      <c r="V43" s="71"/>
      <c r="W43" s="71"/>
    </row>
    <row r="44" spans="1:23" ht="14.1" customHeight="1" x14ac:dyDescent="0.2">
      <c r="A44" s="66" t="s">
        <v>74</v>
      </c>
      <c r="B44" s="67" t="s">
        <v>75</v>
      </c>
      <c r="C44" s="67" t="s">
        <v>75</v>
      </c>
      <c r="D44" s="62"/>
      <c r="E44" s="68"/>
      <c r="F44" s="72">
        <v>32.773000000000003</v>
      </c>
      <c r="G44" s="69"/>
      <c r="H44" s="69"/>
      <c r="I44" s="69"/>
      <c r="J44" s="69"/>
      <c r="K44" s="68"/>
      <c r="L44" s="68"/>
      <c r="M44" s="68"/>
      <c r="N44" s="68"/>
      <c r="O44" s="68"/>
      <c r="P44" s="68"/>
      <c r="R44" s="70">
        <v>32.773000000000003</v>
      </c>
      <c r="S44" s="71"/>
      <c r="T44" s="71"/>
      <c r="U44" s="71"/>
      <c r="V44" s="71"/>
      <c r="W44" s="71"/>
    </row>
    <row r="45" spans="1:23" ht="14.1" customHeight="1" x14ac:dyDescent="0.2">
      <c r="A45" s="66" t="s">
        <v>76</v>
      </c>
      <c r="B45" s="67" t="s">
        <v>77</v>
      </c>
      <c r="C45" s="67" t="s">
        <v>77</v>
      </c>
      <c r="D45" s="62" t="s">
        <v>271</v>
      </c>
      <c r="E45" s="68"/>
      <c r="F45" s="72"/>
      <c r="G45" s="69"/>
      <c r="H45" s="69">
        <v>35.122</v>
      </c>
      <c r="I45" s="69"/>
      <c r="J45" s="69"/>
      <c r="K45" s="68"/>
      <c r="L45" s="68"/>
      <c r="M45" s="68"/>
      <c r="N45" s="68"/>
      <c r="O45" s="68"/>
      <c r="P45" s="68"/>
      <c r="R45" s="70">
        <v>35.122</v>
      </c>
      <c r="S45" s="71"/>
      <c r="T45" s="71"/>
      <c r="U45" s="71"/>
      <c r="V45" s="71"/>
      <c r="W45" s="71"/>
    </row>
    <row r="46" spans="1:23" ht="14.1" customHeight="1" x14ac:dyDescent="0.2">
      <c r="A46" s="66" t="s">
        <v>78</v>
      </c>
      <c r="B46" s="67" t="s">
        <v>79</v>
      </c>
      <c r="C46" s="67" t="s">
        <v>79</v>
      </c>
      <c r="D46" s="62" t="s">
        <v>271</v>
      </c>
      <c r="E46" s="68"/>
      <c r="F46" s="68"/>
      <c r="G46" s="69"/>
      <c r="H46" s="69"/>
      <c r="I46" s="69"/>
      <c r="J46" s="69">
        <v>13.448</v>
      </c>
      <c r="K46" s="68"/>
      <c r="L46" s="68"/>
      <c r="M46" s="68"/>
      <c r="N46" s="68"/>
      <c r="O46" s="68"/>
      <c r="P46" s="68"/>
      <c r="R46" s="70">
        <v>13.448</v>
      </c>
      <c r="S46" s="71"/>
      <c r="T46" s="71"/>
      <c r="U46" s="71"/>
      <c r="V46" s="71"/>
      <c r="W46" s="71"/>
    </row>
    <row r="47" spans="1:23" ht="14.1" customHeight="1" x14ac:dyDescent="0.2">
      <c r="A47" s="66" t="s">
        <v>80</v>
      </c>
      <c r="B47" s="67" t="s">
        <v>81</v>
      </c>
      <c r="C47" s="67" t="s">
        <v>317</v>
      </c>
      <c r="D47" s="62" t="s">
        <v>271</v>
      </c>
      <c r="E47" s="68"/>
      <c r="F47" s="69">
        <v>37.954999999999998</v>
      </c>
      <c r="G47" s="69"/>
      <c r="H47" s="69"/>
      <c r="I47" s="69"/>
      <c r="J47" s="69"/>
      <c r="K47" s="68"/>
      <c r="L47" s="68"/>
      <c r="M47" s="68"/>
      <c r="N47" s="68"/>
      <c r="O47" s="68"/>
      <c r="P47" s="68"/>
      <c r="R47" s="70">
        <v>37.954999999999998</v>
      </c>
      <c r="S47" s="71"/>
      <c r="T47" s="71"/>
      <c r="U47" s="71"/>
      <c r="V47" s="71"/>
      <c r="W47" s="71"/>
    </row>
    <row r="48" spans="1:23" ht="14.1" customHeight="1" x14ac:dyDescent="0.2">
      <c r="A48" s="66" t="s">
        <v>82</v>
      </c>
      <c r="B48" s="67" t="s">
        <v>81</v>
      </c>
      <c r="C48" s="67" t="s">
        <v>83</v>
      </c>
      <c r="D48" s="62" t="s">
        <v>271</v>
      </c>
      <c r="E48" s="68"/>
      <c r="F48" s="68"/>
      <c r="G48" s="69"/>
      <c r="H48" s="69"/>
      <c r="I48" s="69"/>
      <c r="J48" s="69">
        <v>29.634</v>
      </c>
      <c r="K48" s="68"/>
      <c r="L48" s="68"/>
      <c r="M48" s="68"/>
      <c r="N48" s="68"/>
      <c r="O48" s="68"/>
      <c r="P48" s="68"/>
      <c r="R48" s="70">
        <v>29.634</v>
      </c>
      <c r="S48" s="71"/>
      <c r="T48" s="71"/>
      <c r="U48" s="71"/>
      <c r="V48" s="71"/>
      <c r="W48" s="71"/>
    </row>
    <row r="49" spans="1:23" ht="14.1" customHeight="1" x14ac:dyDescent="0.2">
      <c r="A49" s="66" t="s">
        <v>84</v>
      </c>
      <c r="B49" s="67" t="s">
        <v>81</v>
      </c>
      <c r="C49" s="67" t="s">
        <v>318</v>
      </c>
      <c r="D49" s="62"/>
      <c r="E49" s="68"/>
      <c r="F49" s="72">
        <v>39.938000000000002</v>
      </c>
      <c r="G49" s="69"/>
      <c r="H49" s="69"/>
      <c r="I49" s="69"/>
      <c r="J49" s="69"/>
      <c r="K49" s="68"/>
      <c r="L49" s="68"/>
      <c r="M49" s="68"/>
      <c r="N49" s="68"/>
      <c r="O49" s="68"/>
      <c r="P49" s="68"/>
      <c r="R49" s="70">
        <v>39.938000000000002</v>
      </c>
      <c r="S49" s="71"/>
      <c r="T49" s="71"/>
      <c r="U49" s="71"/>
      <c r="V49" s="71"/>
      <c r="W49" s="71"/>
    </row>
    <row r="50" spans="1:23" ht="14.1" customHeight="1" x14ac:dyDescent="0.2">
      <c r="A50" s="66" t="s">
        <v>85</v>
      </c>
      <c r="B50" s="67" t="s">
        <v>81</v>
      </c>
      <c r="C50" s="67" t="s">
        <v>81</v>
      </c>
      <c r="D50" s="62"/>
      <c r="E50" s="68"/>
      <c r="F50" s="68"/>
      <c r="G50" s="69"/>
      <c r="H50" s="69"/>
      <c r="I50" s="69"/>
      <c r="J50" s="69"/>
      <c r="K50" s="68">
        <v>26.602</v>
      </c>
      <c r="L50" s="68"/>
      <c r="M50" s="68"/>
      <c r="N50" s="68"/>
      <c r="O50" s="68"/>
      <c r="P50" s="68"/>
      <c r="R50" s="70">
        <v>26.602</v>
      </c>
      <c r="S50" s="71"/>
      <c r="T50" s="71"/>
      <c r="U50" s="71"/>
      <c r="V50" s="71"/>
      <c r="W50" s="71"/>
    </row>
    <row r="51" spans="1:23" ht="14.1" customHeight="1" x14ac:dyDescent="0.2">
      <c r="A51" s="66" t="s">
        <v>86</v>
      </c>
      <c r="B51" s="67" t="s">
        <v>81</v>
      </c>
      <c r="C51" s="67" t="s">
        <v>319</v>
      </c>
      <c r="D51" s="62" t="s">
        <v>271</v>
      </c>
      <c r="E51" s="68"/>
      <c r="F51" s="68"/>
      <c r="G51" s="69"/>
      <c r="H51" s="69">
        <v>32.741</v>
      </c>
      <c r="I51" s="69"/>
      <c r="J51" s="69"/>
      <c r="K51" s="68"/>
      <c r="L51" s="68"/>
      <c r="M51" s="68"/>
      <c r="N51" s="68"/>
      <c r="O51" s="68"/>
      <c r="P51" s="68"/>
      <c r="R51" s="70">
        <v>32.741</v>
      </c>
      <c r="S51" s="71"/>
      <c r="T51" s="71"/>
      <c r="U51" s="71"/>
      <c r="V51" s="71"/>
      <c r="W51" s="71"/>
    </row>
    <row r="52" spans="1:23" ht="14.1" customHeight="1" x14ac:dyDescent="0.2">
      <c r="A52" s="66" t="s">
        <v>87</v>
      </c>
      <c r="B52" s="67" t="s">
        <v>88</v>
      </c>
      <c r="C52" s="67" t="s">
        <v>320</v>
      </c>
      <c r="D52" s="62"/>
      <c r="E52" s="68"/>
      <c r="F52" s="72">
        <v>41.75</v>
      </c>
      <c r="G52" s="69"/>
      <c r="H52" s="69"/>
      <c r="I52" s="69"/>
      <c r="J52" s="69"/>
      <c r="K52" s="68"/>
      <c r="L52" s="68"/>
      <c r="M52" s="68"/>
      <c r="N52" s="68"/>
      <c r="O52" s="68"/>
      <c r="P52" s="68"/>
      <c r="R52" s="70">
        <v>41.75</v>
      </c>
      <c r="S52" s="71"/>
      <c r="T52" s="71"/>
      <c r="U52" s="71"/>
      <c r="V52" s="71"/>
      <c r="W52" s="71"/>
    </row>
    <row r="53" spans="1:23" ht="14.1" customHeight="1" x14ac:dyDescent="0.2">
      <c r="A53" s="66" t="s">
        <v>89</v>
      </c>
      <c r="B53" s="67" t="s">
        <v>88</v>
      </c>
      <c r="C53" s="67" t="s">
        <v>321</v>
      </c>
      <c r="D53" s="62"/>
      <c r="E53" s="68"/>
      <c r="F53" s="68"/>
      <c r="G53" s="69"/>
      <c r="H53" s="69"/>
      <c r="I53" s="69"/>
      <c r="J53" s="69"/>
      <c r="K53" s="68"/>
      <c r="L53" s="68"/>
      <c r="M53" s="68"/>
      <c r="N53" s="68"/>
      <c r="O53" s="68"/>
      <c r="P53" s="68"/>
      <c r="R53" s="70">
        <v>0</v>
      </c>
      <c r="S53" s="71"/>
      <c r="T53" s="71"/>
      <c r="U53" s="71"/>
      <c r="V53" s="71"/>
      <c r="W53" s="71"/>
    </row>
    <row r="54" spans="1:23" ht="14.1" customHeight="1" x14ac:dyDescent="0.2">
      <c r="A54" s="66" t="s">
        <v>90</v>
      </c>
      <c r="B54" s="67" t="s">
        <v>88</v>
      </c>
      <c r="C54" s="67" t="s">
        <v>322</v>
      </c>
      <c r="D54" s="62" t="s">
        <v>271</v>
      </c>
      <c r="E54" s="68"/>
      <c r="F54" s="68"/>
      <c r="G54" s="69"/>
      <c r="H54" s="69"/>
      <c r="I54" s="69">
        <v>29.297999999999998</v>
      </c>
      <c r="J54" s="69"/>
      <c r="K54" s="68"/>
      <c r="L54" s="68"/>
      <c r="M54" s="68"/>
      <c r="N54" s="68"/>
      <c r="O54" s="68"/>
      <c r="P54" s="68"/>
      <c r="R54" s="70">
        <v>29.297999999999998</v>
      </c>
      <c r="S54" s="71"/>
      <c r="T54" s="71"/>
      <c r="U54" s="71"/>
      <c r="V54" s="71"/>
      <c r="W54" s="71"/>
    </row>
    <row r="55" spans="1:23" ht="14.1" customHeight="1" x14ac:dyDescent="0.2">
      <c r="A55" s="66" t="s">
        <v>91</v>
      </c>
      <c r="B55" s="67" t="s">
        <v>88</v>
      </c>
      <c r="C55" s="67" t="s">
        <v>323</v>
      </c>
      <c r="D55" s="62" t="s">
        <v>271</v>
      </c>
      <c r="E55" s="68"/>
      <c r="F55" s="68"/>
      <c r="G55" s="69"/>
      <c r="H55" s="69"/>
      <c r="I55" s="69"/>
      <c r="J55" s="69">
        <v>30.242999999999999</v>
      </c>
      <c r="K55" s="68"/>
      <c r="L55" s="68"/>
      <c r="M55" s="68"/>
      <c r="N55" s="68"/>
      <c r="O55" s="68"/>
      <c r="P55" s="68"/>
      <c r="R55" s="70">
        <v>30.242999999999999</v>
      </c>
      <c r="S55" s="71"/>
      <c r="T55" s="71"/>
      <c r="U55" s="71"/>
      <c r="V55" s="71"/>
      <c r="W55" s="71"/>
    </row>
    <row r="56" spans="1:23" ht="14.1" customHeight="1" x14ac:dyDescent="0.2">
      <c r="A56" s="66" t="s">
        <v>92</v>
      </c>
      <c r="B56" s="67" t="s">
        <v>88</v>
      </c>
      <c r="C56" s="67" t="s">
        <v>324</v>
      </c>
      <c r="D56" s="62"/>
      <c r="E56" s="68"/>
      <c r="F56" s="68"/>
      <c r="G56" s="69"/>
      <c r="H56" s="69"/>
      <c r="I56" s="69"/>
      <c r="J56" s="69"/>
      <c r="K56" s="68"/>
      <c r="L56" s="68"/>
      <c r="M56" s="68"/>
      <c r="N56" s="68"/>
      <c r="O56" s="68"/>
      <c r="P56" s="68"/>
      <c r="R56" s="70">
        <v>0</v>
      </c>
      <c r="S56" s="71"/>
      <c r="T56" s="71"/>
      <c r="U56" s="71"/>
      <c r="V56" s="71"/>
      <c r="W56" s="71"/>
    </row>
    <row r="57" spans="1:23" ht="14.1" customHeight="1" x14ac:dyDescent="0.2">
      <c r="A57" s="66" t="s">
        <v>93</v>
      </c>
      <c r="B57" s="67" t="s">
        <v>88</v>
      </c>
      <c r="C57" s="67" t="s">
        <v>325</v>
      </c>
      <c r="D57" s="62"/>
      <c r="E57" s="68"/>
      <c r="F57" s="68"/>
      <c r="G57" s="69"/>
      <c r="H57" s="69"/>
      <c r="I57" s="69"/>
      <c r="J57" s="69"/>
      <c r="K57" s="68"/>
      <c r="L57" s="68"/>
      <c r="M57" s="68"/>
      <c r="N57" s="68"/>
      <c r="O57" s="68"/>
      <c r="P57" s="68">
        <v>29.777999999999999</v>
      </c>
      <c r="R57" s="70">
        <v>29.777999999999999</v>
      </c>
      <c r="S57" s="71"/>
      <c r="T57" s="71"/>
      <c r="U57" s="71"/>
      <c r="V57" s="71"/>
      <c r="W57" s="71"/>
    </row>
    <row r="58" spans="1:23" ht="14.1" customHeight="1" x14ac:dyDescent="0.2">
      <c r="A58" s="66" t="s">
        <v>94</v>
      </c>
      <c r="B58" s="67" t="s">
        <v>88</v>
      </c>
      <c r="C58" s="67" t="s">
        <v>326</v>
      </c>
      <c r="D58" s="62" t="s">
        <v>271</v>
      </c>
      <c r="E58" s="68"/>
      <c r="F58" s="68"/>
      <c r="G58" s="69"/>
      <c r="H58" s="69">
        <v>29.628</v>
      </c>
      <c r="I58" s="69"/>
      <c r="J58" s="69"/>
      <c r="K58" s="68"/>
      <c r="L58" s="68"/>
      <c r="M58" s="68"/>
      <c r="N58" s="68"/>
      <c r="O58" s="68"/>
      <c r="P58" s="68"/>
      <c r="R58" s="70">
        <v>29.628</v>
      </c>
      <c r="S58" s="71"/>
      <c r="T58" s="71"/>
      <c r="U58" s="71"/>
      <c r="V58" s="71"/>
      <c r="W58" s="71"/>
    </row>
    <row r="59" spans="1:23" ht="14.1" customHeight="1" x14ac:dyDescent="0.2">
      <c r="A59" s="66" t="s">
        <v>95</v>
      </c>
      <c r="B59" s="67" t="s">
        <v>88</v>
      </c>
      <c r="C59" s="67" t="s">
        <v>327</v>
      </c>
      <c r="D59" s="62"/>
      <c r="E59" s="68"/>
      <c r="F59" s="68"/>
      <c r="G59" s="69"/>
      <c r="H59" s="69"/>
      <c r="I59" s="69"/>
      <c r="J59" s="69"/>
      <c r="K59" s="68"/>
      <c r="L59" s="68">
        <v>28.274000000000001</v>
      </c>
      <c r="M59" s="68"/>
      <c r="N59" s="68"/>
      <c r="O59" s="68"/>
      <c r="P59" s="68"/>
      <c r="R59" s="70">
        <v>28.274000000000001</v>
      </c>
      <c r="S59" s="71"/>
      <c r="T59" s="71"/>
      <c r="U59" s="71"/>
      <c r="V59" s="71"/>
      <c r="W59" s="71"/>
    </row>
    <row r="60" spans="1:23" ht="14.1" customHeight="1" x14ac:dyDescent="0.2">
      <c r="A60" s="66" t="s">
        <v>96</v>
      </c>
      <c r="B60" s="67" t="s">
        <v>88</v>
      </c>
      <c r="C60" s="67" t="s">
        <v>328</v>
      </c>
      <c r="D60" s="62"/>
      <c r="E60" s="68"/>
      <c r="F60" s="68"/>
      <c r="G60" s="69">
        <v>40.033000000000001</v>
      </c>
      <c r="H60" s="69"/>
      <c r="I60" s="69"/>
      <c r="J60" s="69"/>
      <c r="K60" s="68"/>
      <c r="L60" s="68"/>
      <c r="M60" s="68"/>
      <c r="N60" s="68"/>
      <c r="O60" s="68"/>
      <c r="P60" s="68"/>
      <c r="R60" s="70">
        <v>40.033000000000001</v>
      </c>
      <c r="S60" s="71"/>
      <c r="T60" s="71"/>
      <c r="U60" s="71"/>
      <c r="V60" s="71"/>
      <c r="W60" s="71"/>
    </row>
    <row r="61" spans="1:23" ht="14.1" customHeight="1" x14ac:dyDescent="0.2">
      <c r="A61" s="66" t="s">
        <v>97</v>
      </c>
      <c r="B61" s="67" t="s">
        <v>88</v>
      </c>
      <c r="C61" s="67" t="s">
        <v>329</v>
      </c>
      <c r="D61" s="62"/>
      <c r="E61" s="68"/>
      <c r="F61" s="73">
        <v>38.692999999999998</v>
      </c>
      <c r="G61" s="69"/>
      <c r="H61" s="69"/>
      <c r="I61" s="69"/>
      <c r="J61" s="69"/>
      <c r="K61" s="70"/>
      <c r="L61" s="68"/>
      <c r="M61" s="68"/>
      <c r="N61" s="68"/>
      <c r="O61" s="68"/>
      <c r="P61" s="68"/>
      <c r="R61" s="70">
        <v>38.692999999999998</v>
      </c>
      <c r="S61" s="71"/>
      <c r="T61" s="71"/>
      <c r="U61" s="71"/>
      <c r="V61" s="71"/>
      <c r="W61" s="71"/>
    </row>
    <row r="62" spans="1:23" ht="14.1" customHeight="1" x14ac:dyDescent="0.2">
      <c r="A62" s="66" t="s">
        <v>98</v>
      </c>
      <c r="B62" s="67" t="s">
        <v>88</v>
      </c>
      <c r="C62" s="67" t="s">
        <v>330</v>
      </c>
      <c r="D62" s="62"/>
      <c r="E62" s="68"/>
      <c r="F62" s="68"/>
      <c r="G62" s="69"/>
      <c r="H62" s="69"/>
      <c r="I62" s="69"/>
      <c r="J62" s="69">
        <v>26.128</v>
      </c>
      <c r="K62" s="68"/>
      <c r="L62" s="68"/>
      <c r="M62" s="68"/>
      <c r="N62" s="68"/>
      <c r="O62" s="68"/>
      <c r="P62" s="68"/>
      <c r="R62" s="70">
        <v>26.128</v>
      </c>
      <c r="S62" s="71"/>
      <c r="T62" s="71"/>
      <c r="U62" s="71"/>
      <c r="V62" s="71"/>
      <c r="W62" s="71"/>
    </row>
    <row r="63" spans="1:23" ht="14.1" customHeight="1" x14ac:dyDescent="0.2">
      <c r="A63" s="66" t="s">
        <v>99</v>
      </c>
      <c r="B63" s="67" t="s">
        <v>88</v>
      </c>
      <c r="C63" s="67" t="s">
        <v>331</v>
      </c>
      <c r="D63" s="62" t="s">
        <v>271</v>
      </c>
      <c r="E63" s="68"/>
      <c r="F63" s="68"/>
      <c r="G63" s="69"/>
      <c r="H63" s="69"/>
      <c r="I63" s="69"/>
      <c r="J63" s="69">
        <v>28.896000000000001</v>
      </c>
      <c r="K63" s="68"/>
      <c r="L63" s="68"/>
      <c r="M63" s="68"/>
      <c r="N63" s="68"/>
      <c r="O63" s="68"/>
      <c r="P63" s="68"/>
      <c r="R63" s="70">
        <v>28.896000000000001</v>
      </c>
      <c r="S63" s="71"/>
      <c r="T63" s="71"/>
      <c r="U63" s="71"/>
      <c r="V63" s="71"/>
      <c r="W63" s="71"/>
    </row>
    <row r="64" spans="1:23" ht="14.1" customHeight="1" x14ac:dyDescent="0.2">
      <c r="A64" s="66" t="s">
        <v>100</v>
      </c>
      <c r="B64" s="67" t="s">
        <v>88</v>
      </c>
      <c r="C64" s="67" t="s">
        <v>332</v>
      </c>
      <c r="D64" s="62" t="s">
        <v>271</v>
      </c>
      <c r="E64" s="68"/>
      <c r="F64" s="68"/>
      <c r="G64" s="69"/>
      <c r="H64" s="69"/>
      <c r="I64" s="69"/>
      <c r="J64" s="69">
        <v>31.667000000000002</v>
      </c>
      <c r="K64" s="68"/>
      <c r="L64" s="68"/>
      <c r="M64" s="68"/>
      <c r="N64" s="68"/>
      <c r="O64" s="68"/>
      <c r="P64" s="68"/>
      <c r="R64" s="70">
        <v>31.667000000000002</v>
      </c>
      <c r="S64" s="71"/>
      <c r="T64" s="71"/>
      <c r="U64" s="71"/>
      <c r="V64" s="71"/>
      <c r="W64" s="71"/>
    </row>
    <row r="65" spans="1:23" ht="14.1" customHeight="1" x14ac:dyDescent="0.2">
      <c r="A65" s="66" t="s">
        <v>101</v>
      </c>
      <c r="B65" s="67" t="s">
        <v>88</v>
      </c>
      <c r="C65" s="67" t="s">
        <v>333</v>
      </c>
      <c r="D65" s="62" t="s">
        <v>271</v>
      </c>
      <c r="E65" s="68"/>
      <c r="F65" s="68"/>
      <c r="G65" s="69"/>
      <c r="H65" s="69"/>
      <c r="I65" s="69">
        <v>39.095999999999997</v>
      </c>
      <c r="J65" s="69"/>
      <c r="K65" s="68"/>
      <c r="L65" s="68"/>
      <c r="M65" s="68"/>
      <c r="N65" s="68"/>
      <c r="O65" s="68"/>
      <c r="P65" s="68"/>
      <c r="R65" s="70">
        <v>39.095999999999997</v>
      </c>
      <c r="S65" s="71"/>
      <c r="T65" s="71"/>
      <c r="U65" s="71"/>
      <c r="V65" s="71"/>
      <c r="W65" s="71"/>
    </row>
    <row r="66" spans="1:23" ht="14.1" customHeight="1" x14ac:dyDescent="0.2">
      <c r="A66" s="66" t="s">
        <v>102</v>
      </c>
      <c r="B66" s="67" t="s">
        <v>88</v>
      </c>
      <c r="C66" s="67" t="s">
        <v>334</v>
      </c>
      <c r="D66" s="62"/>
      <c r="E66" s="68"/>
      <c r="F66" s="68"/>
      <c r="G66" s="69">
        <v>31.959</v>
      </c>
      <c r="H66" s="69"/>
      <c r="I66" s="69"/>
      <c r="J66" s="69"/>
      <c r="K66" s="68"/>
      <c r="L66" s="68"/>
      <c r="M66" s="68"/>
      <c r="N66" s="68"/>
      <c r="O66" s="68"/>
      <c r="P66" s="68"/>
      <c r="R66" s="70">
        <v>31.959</v>
      </c>
      <c r="S66" s="71"/>
      <c r="T66" s="71"/>
      <c r="U66" s="71"/>
      <c r="V66" s="71"/>
      <c r="W66" s="71"/>
    </row>
    <row r="67" spans="1:23" ht="14.1" customHeight="1" x14ac:dyDescent="0.2">
      <c r="A67" s="66" t="s">
        <v>103</v>
      </c>
      <c r="B67" s="67" t="s">
        <v>104</v>
      </c>
      <c r="C67" s="67" t="s">
        <v>335</v>
      </c>
      <c r="D67" s="62" t="s">
        <v>271</v>
      </c>
      <c r="E67" s="68"/>
      <c r="F67" s="68"/>
      <c r="G67" s="69"/>
      <c r="H67" s="69"/>
      <c r="I67" s="69">
        <v>37.183999999999997</v>
      </c>
      <c r="J67" s="69"/>
      <c r="K67" s="68"/>
      <c r="L67" s="68"/>
      <c r="M67" s="68"/>
      <c r="N67" s="68"/>
      <c r="O67" s="68"/>
      <c r="P67" s="68"/>
      <c r="R67" s="70">
        <v>37.183999999999997</v>
      </c>
      <c r="S67" s="71"/>
      <c r="T67" s="71"/>
      <c r="U67" s="71"/>
      <c r="V67" s="71"/>
      <c r="W67" s="71"/>
    </row>
    <row r="68" spans="1:23" ht="14.1" customHeight="1" x14ac:dyDescent="0.2">
      <c r="A68" s="66" t="s">
        <v>105</v>
      </c>
      <c r="B68" s="67" t="s">
        <v>104</v>
      </c>
      <c r="C68" s="67" t="s">
        <v>451</v>
      </c>
      <c r="D68" s="62" t="s">
        <v>271</v>
      </c>
      <c r="E68" s="68"/>
      <c r="F68" s="68"/>
      <c r="G68" s="69"/>
      <c r="H68" s="69">
        <v>34.869</v>
      </c>
      <c r="I68" s="69"/>
      <c r="J68" s="69"/>
      <c r="K68" s="68"/>
      <c r="L68" s="68"/>
      <c r="M68" s="68"/>
      <c r="N68" s="68"/>
      <c r="O68" s="68"/>
      <c r="P68" s="68"/>
      <c r="R68" s="70">
        <v>34.869</v>
      </c>
      <c r="S68" s="71"/>
      <c r="T68" s="71"/>
      <c r="U68" s="71"/>
      <c r="V68" s="71"/>
      <c r="W68" s="71"/>
    </row>
    <row r="69" spans="1:23" ht="14.1" customHeight="1" x14ac:dyDescent="0.2">
      <c r="A69" s="66" t="s">
        <v>107</v>
      </c>
      <c r="B69" s="67" t="s">
        <v>104</v>
      </c>
      <c r="C69" s="67" t="s">
        <v>336</v>
      </c>
      <c r="D69" s="62"/>
      <c r="E69" s="68"/>
      <c r="F69" s="68"/>
      <c r="G69" s="69">
        <v>39.713000000000001</v>
      </c>
      <c r="H69" s="69"/>
      <c r="I69" s="69"/>
      <c r="J69" s="69"/>
      <c r="K69" s="68"/>
      <c r="L69" s="68"/>
      <c r="M69" s="68"/>
      <c r="N69" s="68"/>
      <c r="O69" s="68"/>
      <c r="P69" s="68"/>
      <c r="R69" s="70">
        <v>39.713000000000001</v>
      </c>
      <c r="S69" s="71"/>
      <c r="T69" s="71"/>
      <c r="U69" s="71"/>
      <c r="V69" s="71"/>
      <c r="W69" s="71"/>
    </row>
    <row r="70" spans="1:23" ht="14.1" customHeight="1" x14ac:dyDescent="0.2">
      <c r="A70" s="66" t="s">
        <v>108</v>
      </c>
      <c r="B70" s="67" t="s">
        <v>109</v>
      </c>
      <c r="C70" s="67" t="s">
        <v>337</v>
      </c>
      <c r="D70" s="62"/>
      <c r="E70" s="68"/>
      <c r="F70" s="68"/>
      <c r="G70" s="69">
        <v>38.348999999999997</v>
      </c>
      <c r="H70" s="69"/>
      <c r="I70" s="69"/>
      <c r="J70" s="69"/>
      <c r="K70" s="68"/>
      <c r="L70" s="68"/>
      <c r="M70" s="68"/>
      <c r="N70" s="68"/>
      <c r="O70" s="68"/>
      <c r="P70" s="68"/>
      <c r="R70" s="70">
        <v>38.348999999999997</v>
      </c>
      <c r="S70" s="71"/>
      <c r="T70" s="71"/>
      <c r="U70" s="71"/>
      <c r="V70" s="71"/>
      <c r="W70" s="71"/>
    </row>
    <row r="71" spans="1:23" ht="14.1" customHeight="1" x14ac:dyDescent="0.2">
      <c r="A71" s="66" t="s">
        <v>110</v>
      </c>
      <c r="B71" s="67" t="s">
        <v>109</v>
      </c>
      <c r="C71" s="67" t="s">
        <v>338</v>
      </c>
      <c r="D71" s="62" t="s">
        <v>271</v>
      </c>
      <c r="E71" s="68"/>
      <c r="F71" s="68"/>
      <c r="G71" s="69"/>
      <c r="H71" s="69">
        <v>29.593</v>
      </c>
      <c r="I71" s="69"/>
      <c r="J71" s="69"/>
      <c r="K71" s="68"/>
      <c r="L71" s="68"/>
      <c r="M71" s="68"/>
      <c r="N71" s="68"/>
      <c r="O71" s="68"/>
      <c r="P71" s="68"/>
      <c r="R71" s="70">
        <v>29.593</v>
      </c>
      <c r="S71" s="71"/>
      <c r="T71" s="71"/>
      <c r="U71" s="71"/>
      <c r="V71" s="71"/>
      <c r="W71" s="71"/>
    </row>
    <row r="72" spans="1:23" ht="14.1" customHeight="1" x14ac:dyDescent="0.2">
      <c r="A72" s="66" t="s">
        <v>111</v>
      </c>
      <c r="B72" s="67" t="s">
        <v>109</v>
      </c>
      <c r="C72" s="67" t="s">
        <v>339</v>
      </c>
      <c r="D72" s="62"/>
      <c r="E72" s="68"/>
      <c r="F72" s="68"/>
      <c r="G72" s="69">
        <v>22.265000000000001</v>
      </c>
      <c r="H72" s="69"/>
      <c r="I72" s="69"/>
      <c r="J72" s="69"/>
      <c r="K72" s="68"/>
      <c r="L72" s="68"/>
      <c r="M72" s="68"/>
      <c r="N72" s="68"/>
      <c r="O72" s="68"/>
      <c r="P72" s="68"/>
      <c r="R72" s="70">
        <v>22.265000000000001</v>
      </c>
      <c r="S72" s="71"/>
      <c r="T72" s="71"/>
      <c r="U72" s="71"/>
      <c r="V72" s="71"/>
      <c r="W72" s="71"/>
    </row>
    <row r="73" spans="1:23" ht="14.1" customHeight="1" x14ac:dyDescent="0.2">
      <c r="A73" s="66" t="s">
        <v>112</v>
      </c>
      <c r="B73" s="67" t="s">
        <v>113</v>
      </c>
      <c r="C73" s="67" t="s">
        <v>113</v>
      </c>
      <c r="D73" s="62"/>
      <c r="E73" s="68"/>
      <c r="F73" s="72">
        <v>6.6509999999999998</v>
      </c>
      <c r="G73" s="69"/>
      <c r="H73" s="69"/>
      <c r="I73" s="69"/>
      <c r="J73" s="69"/>
      <c r="K73" s="68"/>
      <c r="L73" s="68"/>
      <c r="M73" s="68"/>
      <c r="N73" s="68"/>
      <c r="O73" s="68"/>
      <c r="P73" s="68"/>
      <c r="R73" s="70">
        <v>6.6509999999999998</v>
      </c>
      <c r="S73" s="71"/>
      <c r="T73" s="71"/>
      <c r="U73" s="71"/>
      <c r="V73" s="71"/>
      <c r="W73" s="71"/>
    </row>
    <row r="74" spans="1:23" ht="14.1" customHeight="1" x14ac:dyDescent="0.2">
      <c r="A74" s="66" t="s">
        <v>114</v>
      </c>
      <c r="B74" s="67" t="s">
        <v>115</v>
      </c>
      <c r="C74" s="67" t="s">
        <v>340</v>
      </c>
      <c r="D74" s="62" t="s">
        <v>271</v>
      </c>
      <c r="E74" s="68"/>
      <c r="F74" s="68"/>
      <c r="G74" s="69"/>
      <c r="H74" s="69">
        <v>22.905000000000001</v>
      </c>
      <c r="I74" s="69"/>
      <c r="J74" s="69"/>
      <c r="K74" s="68"/>
      <c r="L74" s="68"/>
      <c r="M74" s="68"/>
      <c r="N74" s="68"/>
      <c r="O74" s="68"/>
      <c r="P74" s="68"/>
      <c r="R74" s="70">
        <v>22.905000000000001</v>
      </c>
      <c r="S74" s="71"/>
      <c r="T74" s="71"/>
      <c r="U74" s="71"/>
      <c r="V74" s="71"/>
      <c r="W74" s="71"/>
    </row>
    <row r="75" spans="1:23" ht="14.1" customHeight="1" x14ac:dyDescent="0.2">
      <c r="A75" s="66" t="s">
        <v>116</v>
      </c>
      <c r="B75" s="67" t="s">
        <v>115</v>
      </c>
      <c r="C75" s="67" t="s">
        <v>341</v>
      </c>
      <c r="D75" s="62" t="s">
        <v>271</v>
      </c>
      <c r="E75" s="68"/>
      <c r="F75" s="68"/>
      <c r="G75" s="69"/>
      <c r="H75" s="69">
        <v>22.975999999999999</v>
      </c>
      <c r="I75" s="69"/>
      <c r="J75" s="69"/>
      <c r="K75" s="68"/>
      <c r="L75" s="68"/>
      <c r="M75" s="68"/>
      <c r="N75" s="68"/>
      <c r="O75" s="68"/>
      <c r="P75" s="68"/>
      <c r="R75" s="70">
        <v>22.975999999999999</v>
      </c>
      <c r="S75" s="71"/>
      <c r="T75" s="71"/>
      <c r="U75" s="71"/>
      <c r="V75" s="71"/>
      <c r="W75" s="71"/>
    </row>
    <row r="76" spans="1:23" ht="14.1" customHeight="1" x14ac:dyDescent="0.2">
      <c r="A76" s="66" t="s">
        <v>117</v>
      </c>
      <c r="B76" s="67" t="s">
        <v>118</v>
      </c>
      <c r="C76" s="67" t="s">
        <v>118</v>
      </c>
      <c r="D76" s="62"/>
      <c r="E76" s="68"/>
      <c r="F76" s="68"/>
      <c r="G76" s="69">
        <v>31.545000000000002</v>
      </c>
      <c r="H76" s="69"/>
      <c r="I76" s="69"/>
      <c r="J76" s="69"/>
      <c r="K76" s="68"/>
      <c r="L76" s="68"/>
      <c r="M76" s="68"/>
      <c r="N76" s="68"/>
      <c r="O76" s="68"/>
      <c r="P76" s="68"/>
      <c r="R76" s="70">
        <v>31.545000000000002</v>
      </c>
      <c r="S76" s="71"/>
      <c r="T76" s="71"/>
      <c r="U76" s="71"/>
      <c r="V76" s="71"/>
      <c r="W76" s="71"/>
    </row>
    <row r="77" spans="1:23" ht="14.1" customHeight="1" x14ac:dyDescent="0.2">
      <c r="A77" s="66" t="s">
        <v>119</v>
      </c>
      <c r="B77" s="67" t="s">
        <v>120</v>
      </c>
      <c r="C77" s="67" t="s">
        <v>120</v>
      </c>
      <c r="D77" s="62" t="s">
        <v>271</v>
      </c>
      <c r="E77" s="68"/>
      <c r="F77" s="68"/>
      <c r="G77" s="69"/>
      <c r="H77" s="69">
        <v>18.513999999999999</v>
      </c>
      <c r="I77" s="69"/>
      <c r="J77" s="69"/>
      <c r="K77" s="68"/>
      <c r="L77" s="68"/>
      <c r="M77" s="68"/>
      <c r="N77" s="68"/>
      <c r="O77" s="68"/>
      <c r="P77" s="68"/>
      <c r="R77" s="70">
        <v>18.513999999999999</v>
      </c>
      <c r="S77" s="71"/>
      <c r="T77" s="71"/>
      <c r="U77" s="71"/>
      <c r="V77" s="71"/>
      <c r="W77" s="71"/>
    </row>
    <row r="78" spans="1:23" ht="14.1" customHeight="1" x14ac:dyDescent="0.2">
      <c r="A78" s="66" t="s">
        <v>121</v>
      </c>
      <c r="B78" s="67" t="s">
        <v>122</v>
      </c>
      <c r="C78" s="67" t="s">
        <v>122</v>
      </c>
      <c r="D78" s="62"/>
      <c r="E78" s="68"/>
      <c r="F78" s="72">
        <v>37.975000000000001</v>
      </c>
      <c r="G78" s="69"/>
      <c r="H78" s="69"/>
      <c r="I78" s="69"/>
      <c r="J78" s="69"/>
      <c r="K78" s="68"/>
      <c r="L78" s="68"/>
      <c r="M78" s="68"/>
      <c r="N78" s="68"/>
      <c r="O78" s="68"/>
      <c r="P78" s="68"/>
      <c r="R78" s="70">
        <v>37.975000000000001</v>
      </c>
      <c r="S78" s="71"/>
      <c r="T78" s="71"/>
      <c r="U78" s="71"/>
      <c r="V78" s="71"/>
      <c r="W78" s="71"/>
    </row>
    <row r="79" spans="1:23" ht="14.1" customHeight="1" x14ac:dyDescent="0.2">
      <c r="A79" s="66" t="s">
        <v>123</v>
      </c>
      <c r="B79" s="67" t="s">
        <v>122</v>
      </c>
      <c r="C79" s="67" t="s">
        <v>342</v>
      </c>
      <c r="D79" s="62" t="s">
        <v>271</v>
      </c>
      <c r="E79" s="68"/>
      <c r="F79" s="68"/>
      <c r="G79" s="69"/>
      <c r="H79" s="69"/>
      <c r="I79" s="69">
        <v>34.939</v>
      </c>
      <c r="J79" s="69"/>
      <c r="K79" s="68"/>
      <c r="L79" s="68"/>
      <c r="M79" s="68"/>
      <c r="N79" s="68"/>
      <c r="O79" s="68"/>
      <c r="P79" s="68"/>
      <c r="R79" s="70">
        <v>34.939</v>
      </c>
      <c r="S79" s="71"/>
      <c r="T79" s="71"/>
      <c r="U79" s="71"/>
      <c r="V79" s="71"/>
      <c r="W79" s="71"/>
    </row>
    <row r="80" spans="1:23" ht="14.1" customHeight="1" x14ac:dyDescent="0.2">
      <c r="A80" s="66" t="s">
        <v>124</v>
      </c>
      <c r="B80" s="67" t="s">
        <v>125</v>
      </c>
      <c r="C80" s="67" t="s">
        <v>343</v>
      </c>
      <c r="D80" s="62"/>
      <c r="E80" s="68"/>
      <c r="F80" s="68"/>
      <c r="G80" s="69">
        <v>40.08</v>
      </c>
      <c r="H80" s="69"/>
      <c r="I80" s="69"/>
      <c r="J80" s="69"/>
      <c r="K80" s="68"/>
      <c r="L80" s="68"/>
      <c r="M80" s="68"/>
      <c r="N80" s="68"/>
      <c r="O80" s="68"/>
      <c r="P80" s="68"/>
      <c r="R80" s="70">
        <v>40.08</v>
      </c>
      <c r="S80" s="71"/>
      <c r="T80" s="71"/>
      <c r="U80" s="71"/>
      <c r="V80" s="71"/>
      <c r="W80" s="71"/>
    </row>
    <row r="81" spans="1:23" ht="14.1" customHeight="1" x14ac:dyDescent="0.2">
      <c r="A81" s="66" t="s">
        <v>126</v>
      </c>
      <c r="B81" s="67" t="s">
        <v>127</v>
      </c>
      <c r="C81" s="67" t="s">
        <v>127</v>
      </c>
      <c r="D81" s="62" t="s">
        <v>271</v>
      </c>
      <c r="E81" s="68"/>
      <c r="F81" s="68"/>
      <c r="G81" s="69"/>
      <c r="H81" s="69"/>
      <c r="I81" s="69">
        <v>36.753</v>
      </c>
      <c r="J81" s="69"/>
      <c r="K81" s="68"/>
      <c r="L81" s="68"/>
      <c r="M81" s="68"/>
      <c r="N81" s="68"/>
      <c r="O81" s="68"/>
      <c r="P81" s="68"/>
      <c r="R81" s="70">
        <v>36.753</v>
      </c>
      <c r="S81" s="71"/>
      <c r="T81" s="71"/>
      <c r="U81" s="71"/>
      <c r="V81" s="71"/>
      <c r="W81" s="71"/>
    </row>
    <row r="82" spans="1:23" ht="14.1" customHeight="1" x14ac:dyDescent="0.2">
      <c r="A82" s="66" t="s">
        <v>128</v>
      </c>
      <c r="B82" s="67" t="s">
        <v>83</v>
      </c>
      <c r="C82" s="67" t="s">
        <v>344</v>
      </c>
      <c r="D82" s="62"/>
      <c r="E82" s="68"/>
      <c r="F82" s="72">
        <v>39.887999999999998</v>
      </c>
      <c r="G82" s="69"/>
      <c r="H82" s="69"/>
      <c r="I82" s="69"/>
      <c r="J82" s="69"/>
      <c r="K82" s="68"/>
      <c r="L82" s="68"/>
      <c r="M82" s="68"/>
      <c r="N82" s="68"/>
      <c r="O82" s="68"/>
      <c r="P82" s="68"/>
      <c r="R82" s="70">
        <v>39.887999999999998</v>
      </c>
      <c r="S82" s="71"/>
      <c r="T82" s="71"/>
      <c r="U82" s="71"/>
      <c r="V82" s="71"/>
      <c r="W82" s="71"/>
    </row>
    <row r="83" spans="1:23" ht="14.1" customHeight="1" x14ac:dyDescent="0.2">
      <c r="A83" s="66" t="s">
        <v>129</v>
      </c>
      <c r="B83" s="67" t="s">
        <v>83</v>
      </c>
      <c r="C83" s="67" t="s">
        <v>345</v>
      </c>
      <c r="D83" s="62"/>
      <c r="E83" s="68"/>
      <c r="F83" s="72">
        <v>32.176000000000002</v>
      </c>
      <c r="G83" s="69"/>
      <c r="H83" s="69"/>
      <c r="I83" s="69"/>
      <c r="J83" s="69"/>
      <c r="K83" s="68"/>
      <c r="L83" s="68"/>
      <c r="M83" s="68"/>
      <c r="N83" s="68"/>
      <c r="O83" s="68"/>
      <c r="P83" s="68"/>
      <c r="R83" s="70">
        <v>32.176000000000002</v>
      </c>
      <c r="S83" s="71"/>
      <c r="T83" s="71"/>
      <c r="U83" s="71"/>
      <c r="V83" s="71"/>
      <c r="W83" s="71"/>
    </row>
    <row r="84" spans="1:23" ht="14.1" customHeight="1" x14ac:dyDescent="0.2">
      <c r="A84" s="66" t="s">
        <v>130</v>
      </c>
      <c r="B84" s="67" t="s">
        <v>55</v>
      </c>
      <c r="C84" s="67" t="s">
        <v>346</v>
      </c>
      <c r="D84" s="62"/>
      <c r="E84" s="68"/>
      <c r="F84" s="68"/>
      <c r="G84" s="69">
        <v>39.651000000000003</v>
      </c>
      <c r="H84" s="69"/>
      <c r="I84" s="69"/>
      <c r="J84" s="69"/>
      <c r="K84" s="68"/>
      <c r="L84" s="68"/>
      <c r="M84" s="68"/>
      <c r="N84" s="68"/>
      <c r="O84" s="68"/>
      <c r="P84" s="68"/>
      <c r="R84" s="70">
        <v>39.651000000000003</v>
      </c>
      <c r="S84" s="71"/>
      <c r="T84" s="71"/>
      <c r="U84" s="71"/>
      <c r="V84" s="71"/>
      <c r="W84" s="71"/>
    </row>
    <row r="85" spans="1:23" ht="14.1" customHeight="1" x14ac:dyDescent="0.2">
      <c r="A85" s="66" t="s">
        <v>131</v>
      </c>
      <c r="B85" s="67" t="s">
        <v>55</v>
      </c>
      <c r="C85" s="67" t="s">
        <v>347</v>
      </c>
      <c r="D85" s="62"/>
      <c r="E85" s="68"/>
      <c r="F85" s="72">
        <v>25.747</v>
      </c>
      <c r="G85" s="69"/>
      <c r="H85" s="69"/>
      <c r="I85" s="69"/>
      <c r="J85" s="69"/>
      <c r="K85" s="68"/>
      <c r="L85" s="68"/>
      <c r="M85" s="68"/>
      <c r="N85" s="68"/>
      <c r="O85" s="68"/>
      <c r="P85" s="68"/>
      <c r="R85" s="70">
        <v>25.747</v>
      </c>
      <c r="S85" s="71"/>
      <c r="T85" s="71"/>
      <c r="U85" s="71"/>
      <c r="V85" s="71"/>
      <c r="W85" s="71"/>
    </row>
    <row r="86" spans="1:23" ht="14.1" customHeight="1" x14ac:dyDescent="0.2">
      <c r="A86" s="66" t="s">
        <v>132</v>
      </c>
      <c r="B86" s="67" t="s">
        <v>55</v>
      </c>
      <c r="C86" s="67" t="s">
        <v>348</v>
      </c>
      <c r="D86" s="62"/>
      <c r="E86" s="68"/>
      <c r="F86" s="68"/>
      <c r="G86" s="69">
        <v>39.523000000000003</v>
      </c>
      <c r="H86" s="69"/>
      <c r="I86" s="69"/>
      <c r="J86" s="69"/>
      <c r="K86" s="68"/>
      <c r="L86" s="68"/>
      <c r="M86" s="68"/>
      <c r="N86" s="68"/>
      <c r="O86" s="68"/>
      <c r="P86" s="68"/>
      <c r="R86" s="70">
        <v>39.523000000000003</v>
      </c>
      <c r="S86" s="71"/>
      <c r="T86" s="71"/>
      <c r="U86" s="71"/>
      <c r="V86" s="71"/>
      <c r="W86" s="71"/>
    </row>
    <row r="87" spans="1:23" ht="14.1" customHeight="1" x14ac:dyDescent="0.2">
      <c r="A87" s="66" t="s">
        <v>133</v>
      </c>
      <c r="B87" s="67" t="s">
        <v>55</v>
      </c>
      <c r="C87" s="67" t="s">
        <v>349</v>
      </c>
      <c r="D87" s="62"/>
      <c r="E87" s="68"/>
      <c r="F87" s="68"/>
      <c r="G87" s="69">
        <v>39.947000000000003</v>
      </c>
      <c r="H87" s="69"/>
      <c r="I87" s="69"/>
      <c r="J87" s="69"/>
      <c r="K87" s="68"/>
      <c r="L87" s="68"/>
      <c r="M87" s="68"/>
      <c r="N87" s="68"/>
      <c r="O87" s="68"/>
      <c r="P87" s="68"/>
      <c r="R87" s="70">
        <v>39.947000000000003</v>
      </c>
      <c r="S87" s="71"/>
      <c r="T87" s="71"/>
      <c r="U87" s="71"/>
      <c r="V87" s="71"/>
      <c r="W87" s="71"/>
    </row>
    <row r="88" spans="1:23" ht="14.1" customHeight="1" x14ac:dyDescent="0.2">
      <c r="A88" s="66" t="s">
        <v>134</v>
      </c>
      <c r="B88" s="67" t="s">
        <v>55</v>
      </c>
      <c r="C88" s="67" t="s">
        <v>350</v>
      </c>
      <c r="D88" s="62"/>
      <c r="E88" s="68"/>
      <c r="F88" s="68"/>
      <c r="G88" s="69">
        <v>40.08</v>
      </c>
      <c r="H88" s="69"/>
      <c r="I88" s="69"/>
      <c r="J88" s="69"/>
      <c r="K88" s="68"/>
      <c r="L88" s="68"/>
      <c r="M88" s="68"/>
      <c r="N88" s="68"/>
      <c r="O88" s="68"/>
      <c r="P88" s="68"/>
      <c r="R88" s="70">
        <v>40.08</v>
      </c>
      <c r="S88" s="71"/>
      <c r="T88" s="71"/>
      <c r="U88" s="71"/>
      <c r="V88" s="71"/>
      <c r="W88" s="71"/>
    </row>
    <row r="89" spans="1:23" ht="14.1" customHeight="1" x14ac:dyDescent="0.2">
      <c r="A89" s="66" t="s">
        <v>135</v>
      </c>
      <c r="B89" s="67" t="s">
        <v>136</v>
      </c>
      <c r="C89" s="67" t="s">
        <v>136</v>
      </c>
      <c r="D89" s="62"/>
      <c r="E89" s="68"/>
      <c r="F89" s="73">
        <v>41.75</v>
      </c>
      <c r="G89" s="69"/>
      <c r="H89" s="69"/>
      <c r="I89" s="74"/>
      <c r="J89" s="69"/>
      <c r="K89" s="68"/>
      <c r="L89" s="68"/>
      <c r="M89" s="68"/>
      <c r="N89" s="68"/>
      <c r="O89" s="68"/>
      <c r="P89" s="68"/>
      <c r="R89" s="70">
        <v>41.75</v>
      </c>
      <c r="S89" s="71"/>
      <c r="T89" s="71"/>
      <c r="U89" s="71"/>
      <c r="V89" s="71"/>
      <c r="W89" s="71"/>
    </row>
    <row r="90" spans="1:23" ht="14.1" customHeight="1" x14ac:dyDescent="0.2">
      <c r="A90" s="66" t="s">
        <v>137</v>
      </c>
      <c r="B90" s="67" t="s">
        <v>138</v>
      </c>
      <c r="C90" s="67" t="s">
        <v>351</v>
      </c>
      <c r="D90" s="62" t="s">
        <v>271</v>
      </c>
      <c r="E90" s="68"/>
      <c r="F90" s="68"/>
      <c r="G90" s="69"/>
      <c r="H90" s="69">
        <v>19.359000000000002</v>
      </c>
      <c r="I90" s="69"/>
      <c r="J90" s="69"/>
      <c r="K90" s="68"/>
      <c r="L90" s="68"/>
      <c r="M90" s="68"/>
      <c r="N90" s="68"/>
      <c r="O90" s="68"/>
      <c r="P90" s="68"/>
      <c r="R90" s="70">
        <v>19.359000000000002</v>
      </c>
      <c r="S90" s="71"/>
      <c r="T90" s="71"/>
      <c r="U90" s="71"/>
      <c r="V90" s="71"/>
      <c r="W90" s="71"/>
    </row>
    <row r="91" spans="1:23" ht="14.1" customHeight="1" x14ac:dyDescent="0.2">
      <c r="A91" s="66" t="s">
        <v>139</v>
      </c>
      <c r="B91" s="67" t="s">
        <v>138</v>
      </c>
      <c r="C91" s="67" t="s">
        <v>352</v>
      </c>
      <c r="D91" s="62"/>
      <c r="E91" s="68"/>
      <c r="F91" s="68"/>
      <c r="G91" s="69"/>
      <c r="H91" s="69"/>
      <c r="I91" s="69"/>
      <c r="J91" s="69"/>
      <c r="K91" s="68">
        <v>25.597000000000001</v>
      </c>
      <c r="L91" s="68"/>
      <c r="M91" s="68"/>
      <c r="N91" s="68"/>
      <c r="O91" s="68"/>
      <c r="P91" s="68"/>
      <c r="R91" s="70">
        <v>25.597000000000001</v>
      </c>
      <c r="S91" s="71"/>
      <c r="T91" s="71"/>
      <c r="U91" s="71"/>
      <c r="V91" s="71"/>
      <c r="W91" s="71"/>
    </row>
    <row r="92" spans="1:23" ht="14.1" customHeight="1" x14ac:dyDescent="0.2">
      <c r="A92" s="66" t="s">
        <v>140</v>
      </c>
      <c r="B92" s="67" t="s">
        <v>138</v>
      </c>
      <c r="C92" s="67" t="s">
        <v>353</v>
      </c>
      <c r="D92" s="62" t="s">
        <v>271</v>
      </c>
      <c r="E92" s="68"/>
      <c r="F92" s="68"/>
      <c r="G92" s="69"/>
      <c r="H92" s="69">
        <v>22.084</v>
      </c>
      <c r="I92" s="69"/>
      <c r="J92" s="69"/>
      <c r="K92" s="68"/>
      <c r="L92" s="68"/>
      <c r="M92" s="68"/>
      <c r="N92" s="68"/>
      <c r="O92" s="68"/>
      <c r="P92" s="68"/>
      <c r="R92" s="70">
        <v>22.084</v>
      </c>
      <c r="S92" s="71"/>
      <c r="T92" s="71"/>
      <c r="U92" s="71"/>
      <c r="V92" s="71"/>
      <c r="W92" s="71"/>
    </row>
    <row r="93" spans="1:23" ht="14.1" customHeight="1" x14ac:dyDescent="0.2">
      <c r="A93" s="66" t="s">
        <v>141</v>
      </c>
      <c r="B93" s="67" t="s">
        <v>142</v>
      </c>
      <c r="C93" s="67" t="s">
        <v>354</v>
      </c>
      <c r="D93" s="62" t="s">
        <v>271</v>
      </c>
      <c r="E93" s="68"/>
      <c r="F93" s="68"/>
      <c r="G93" s="69"/>
      <c r="H93" s="69">
        <v>37.357999999999997</v>
      </c>
      <c r="I93" s="69"/>
      <c r="J93" s="69"/>
      <c r="K93" s="68"/>
      <c r="L93" s="68"/>
      <c r="M93" s="68"/>
      <c r="N93" s="68"/>
      <c r="O93" s="68"/>
      <c r="P93" s="68"/>
      <c r="R93" s="70">
        <v>37.357999999999997</v>
      </c>
      <c r="S93" s="71"/>
      <c r="T93" s="71"/>
      <c r="U93" s="71"/>
      <c r="V93" s="71"/>
      <c r="W93" s="71"/>
    </row>
    <row r="94" spans="1:23" ht="14.1" customHeight="1" x14ac:dyDescent="0.2">
      <c r="A94" s="66" t="s">
        <v>143</v>
      </c>
      <c r="B94" s="67" t="s">
        <v>142</v>
      </c>
      <c r="C94" s="67" t="s">
        <v>355</v>
      </c>
      <c r="D94" s="62" t="s">
        <v>271</v>
      </c>
      <c r="E94" s="68"/>
      <c r="F94" s="68"/>
      <c r="G94" s="69"/>
      <c r="H94" s="69"/>
      <c r="I94" s="69"/>
      <c r="J94" s="69">
        <v>31.05</v>
      </c>
      <c r="K94" s="68"/>
      <c r="L94" s="68"/>
      <c r="M94" s="68"/>
      <c r="N94" s="68"/>
      <c r="O94" s="68"/>
      <c r="P94" s="68"/>
      <c r="R94" s="70">
        <v>31.05</v>
      </c>
      <c r="S94" s="71"/>
      <c r="T94" s="71"/>
      <c r="U94" s="71"/>
      <c r="V94" s="71"/>
      <c r="W94" s="71"/>
    </row>
    <row r="95" spans="1:23" ht="14.1" customHeight="1" x14ac:dyDescent="0.2">
      <c r="A95" s="66" t="s">
        <v>144</v>
      </c>
      <c r="B95" s="67" t="s">
        <v>142</v>
      </c>
      <c r="C95" s="67" t="s">
        <v>356</v>
      </c>
      <c r="D95" s="62" t="s">
        <v>271</v>
      </c>
      <c r="E95" s="68"/>
      <c r="F95" s="68"/>
      <c r="G95" s="69"/>
      <c r="H95" s="69"/>
      <c r="I95" s="69"/>
      <c r="J95" s="69">
        <v>28.689</v>
      </c>
      <c r="K95" s="68"/>
      <c r="L95" s="68"/>
      <c r="M95" s="68"/>
      <c r="N95" s="68"/>
      <c r="O95" s="68"/>
      <c r="P95" s="68"/>
      <c r="R95" s="70">
        <v>28.689</v>
      </c>
      <c r="S95" s="71"/>
      <c r="T95" s="71"/>
      <c r="U95" s="71"/>
      <c r="V95" s="71"/>
      <c r="W95" s="71"/>
    </row>
    <row r="96" spans="1:23" ht="14.1" customHeight="1" x14ac:dyDescent="0.2">
      <c r="A96" s="66" t="s">
        <v>145</v>
      </c>
      <c r="B96" s="67" t="s">
        <v>45</v>
      </c>
      <c r="C96" s="67" t="s">
        <v>357</v>
      </c>
      <c r="D96" s="62"/>
      <c r="E96" s="68"/>
      <c r="F96" s="72">
        <v>40.08</v>
      </c>
      <c r="G96" s="69"/>
      <c r="H96" s="69"/>
      <c r="I96" s="69"/>
      <c r="J96" s="69"/>
      <c r="K96" s="68"/>
      <c r="L96" s="68"/>
      <c r="M96" s="68"/>
      <c r="N96" s="68"/>
      <c r="O96" s="68"/>
      <c r="P96" s="68"/>
      <c r="R96" s="70">
        <v>40.08</v>
      </c>
      <c r="S96" s="71"/>
      <c r="T96" s="71"/>
      <c r="U96" s="71"/>
      <c r="V96" s="71"/>
      <c r="W96" s="71"/>
    </row>
    <row r="97" spans="1:23" ht="14.1" customHeight="1" x14ac:dyDescent="0.2">
      <c r="A97" s="66" t="s">
        <v>146</v>
      </c>
      <c r="B97" s="67" t="s">
        <v>45</v>
      </c>
      <c r="C97" s="67" t="s">
        <v>358</v>
      </c>
      <c r="D97" s="62"/>
      <c r="E97" s="68"/>
      <c r="F97" s="68"/>
      <c r="G97" s="69"/>
      <c r="H97" s="69"/>
      <c r="I97" s="69"/>
      <c r="J97" s="69"/>
      <c r="K97" s="68">
        <v>9.27</v>
      </c>
      <c r="L97" s="68"/>
      <c r="M97" s="68"/>
      <c r="N97" s="68"/>
      <c r="O97" s="68"/>
      <c r="P97" s="68"/>
      <c r="R97" s="70">
        <v>9.27</v>
      </c>
      <c r="S97" s="71"/>
      <c r="T97" s="71"/>
      <c r="U97" s="71"/>
      <c r="V97" s="71"/>
      <c r="W97" s="71"/>
    </row>
    <row r="98" spans="1:23" ht="14.1" customHeight="1" x14ac:dyDescent="0.2">
      <c r="A98" s="66" t="s">
        <v>147</v>
      </c>
      <c r="B98" s="67" t="s">
        <v>45</v>
      </c>
      <c r="C98" s="67" t="s">
        <v>359</v>
      </c>
      <c r="D98" s="62"/>
      <c r="E98" s="68"/>
      <c r="F98" s="72">
        <v>39.423999999999999</v>
      </c>
      <c r="G98" s="69"/>
      <c r="H98" s="69"/>
      <c r="I98" s="69"/>
      <c r="J98" s="69"/>
      <c r="K98" s="68"/>
      <c r="L98" s="68"/>
      <c r="M98" s="68"/>
      <c r="N98" s="68"/>
      <c r="O98" s="68"/>
      <c r="P98" s="68"/>
      <c r="R98" s="70">
        <v>39.423999999999999</v>
      </c>
      <c r="S98" s="71"/>
      <c r="T98" s="71"/>
      <c r="U98" s="71"/>
      <c r="V98" s="71"/>
      <c r="W98" s="71"/>
    </row>
    <row r="99" spans="1:23" ht="14.1" customHeight="1" x14ac:dyDescent="0.2">
      <c r="A99" s="66" t="s">
        <v>148</v>
      </c>
      <c r="B99" s="67" t="s">
        <v>45</v>
      </c>
      <c r="C99" s="67" t="s">
        <v>360</v>
      </c>
      <c r="D99" s="62" t="s">
        <v>271</v>
      </c>
      <c r="E99" s="68"/>
      <c r="F99" s="68"/>
      <c r="G99" s="69"/>
      <c r="H99" s="69"/>
      <c r="I99" s="69">
        <v>35.555999999999997</v>
      </c>
      <c r="J99" s="69"/>
      <c r="K99" s="68"/>
      <c r="L99" s="68"/>
      <c r="M99" s="68"/>
      <c r="N99" s="68"/>
      <c r="O99" s="68"/>
      <c r="P99" s="68"/>
      <c r="R99" s="70">
        <v>35.555999999999997</v>
      </c>
      <c r="S99" s="71"/>
      <c r="T99" s="71"/>
      <c r="U99" s="71"/>
      <c r="V99" s="71"/>
      <c r="W99" s="71"/>
    </row>
    <row r="100" spans="1:23" ht="14.1" customHeight="1" x14ac:dyDescent="0.2">
      <c r="A100" s="66" t="s">
        <v>149</v>
      </c>
      <c r="B100" s="67" t="s">
        <v>45</v>
      </c>
      <c r="C100" s="67" t="s">
        <v>361</v>
      </c>
      <c r="D100" s="62"/>
      <c r="E100" s="68"/>
      <c r="F100" s="68"/>
      <c r="G100" s="69">
        <v>39.61</v>
      </c>
      <c r="H100" s="69"/>
      <c r="I100" s="69"/>
      <c r="J100" s="69"/>
      <c r="K100" s="68"/>
      <c r="L100" s="68"/>
      <c r="M100" s="68"/>
      <c r="N100" s="68"/>
      <c r="O100" s="68"/>
      <c r="P100" s="68"/>
      <c r="R100" s="70">
        <v>39.61</v>
      </c>
      <c r="S100" s="71"/>
      <c r="T100" s="71"/>
      <c r="U100" s="71"/>
      <c r="V100" s="71"/>
      <c r="W100" s="71"/>
    </row>
    <row r="101" spans="1:23" ht="14.1" customHeight="1" x14ac:dyDescent="0.2">
      <c r="A101" s="66" t="s">
        <v>150</v>
      </c>
      <c r="B101" s="67" t="s">
        <v>45</v>
      </c>
      <c r="C101" s="67" t="s">
        <v>362</v>
      </c>
      <c r="D101" s="62"/>
      <c r="E101" s="68"/>
      <c r="F101" s="68"/>
      <c r="G101" s="69">
        <v>34.820999999999998</v>
      </c>
      <c r="H101" s="69"/>
      <c r="I101" s="69"/>
      <c r="J101" s="69"/>
      <c r="K101" s="68"/>
      <c r="L101" s="68"/>
      <c r="M101" s="68"/>
      <c r="N101" s="68"/>
      <c r="O101" s="68"/>
      <c r="P101" s="68"/>
      <c r="R101" s="70">
        <v>34.820999999999998</v>
      </c>
      <c r="S101" s="71"/>
      <c r="T101" s="71"/>
      <c r="U101" s="71"/>
      <c r="V101" s="71"/>
      <c r="W101" s="71"/>
    </row>
    <row r="102" spans="1:23" ht="14.1" customHeight="1" x14ac:dyDescent="0.2">
      <c r="A102" s="66" t="s">
        <v>151</v>
      </c>
      <c r="B102" s="67" t="s">
        <v>152</v>
      </c>
      <c r="C102" s="67" t="s">
        <v>363</v>
      </c>
      <c r="D102" s="62"/>
      <c r="E102" s="68"/>
      <c r="F102" s="72">
        <v>40.08</v>
      </c>
      <c r="G102" s="69"/>
      <c r="H102" s="69"/>
      <c r="I102" s="69"/>
      <c r="J102" s="69"/>
      <c r="K102" s="68"/>
      <c r="L102" s="68"/>
      <c r="M102" s="68"/>
      <c r="N102" s="68"/>
      <c r="O102" s="68"/>
      <c r="P102" s="68"/>
      <c r="R102" s="70">
        <v>40.08</v>
      </c>
      <c r="S102" s="71"/>
      <c r="T102" s="71"/>
      <c r="U102" s="71"/>
      <c r="V102" s="71"/>
      <c r="W102" s="71"/>
    </row>
    <row r="103" spans="1:23" ht="14.1" customHeight="1" x14ac:dyDescent="0.2">
      <c r="A103" s="66" t="s">
        <v>153</v>
      </c>
      <c r="B103" s="67" t="s">
        <v>152</v>
      </c>
      <c r="C103" s="67" t="s">
        <v>364</v>
      </c>
      <c r="D103" s="62"/>
      <c r="E103" s="68"/>
      <c r="F103" s="72">
        <v>40.08</v>
      </c>
      <c r="G103" s="69"/>
      <c r="H103" s="69"/>
      <c r="I103" s="69"/>
      <c r="J103" s="69"/>
      <c r="K103" s="68"/>
      <c r="L103" s="68"/>
      <c r="M103" s="68"/>
      <c r="N103" s="68"/>
      <c r="O103" s="68"/>
      <c r="P103" s="68"/>
      <c r="R103" s="70">
        <v>40.08</v>
      </c>
      <c r="S103" s="71"/>
      <c r="T103" s="71"/>
      <c r="U103" s="71"/>
      <c r="V103" s="71"/>
      <c r="W103" s="71"/>
    </row>
    <row r="104" spans="1:23" ht="14.1" customHeight="1" x14ac:dyDescent="0.2">
      <c r="A104" s="66" t="s">
        <v>154</v>
      </c>
      <c r="B104" s="67" t="s">
        <v>152</v>
      </c>
      <c r="C104" s="67" t="s">
        <v>365</v>
      </c>
      <c r="D104" s="62"/>
      <c r="E104" s="68"/>
      <c r="F104" s="68"/>
      <c r="G104" s="69">
        <v>35.347999999999999</v>
      </c>
      <c r="H104" s="69"/>
      <c r="I104" s="69"/>
      <c r="J104" s="69"/>
      <c r="K104" s="68"/>
      <c r="L104" s="68"/>
      <c r="M104" s="68"/>
      <c r="N104" s="68"/>
      <c r="O104" s="68"/>
      <c r="P104" s="68"/>
      <c r="R104" s="70">
        <v>35.347999999999999</v>
      </c>
      <c r="S104" s="71"/>
      <c r="T104" s="71"/>
      <c r="U104" s="71"/>
      <c r="V104" s="71"/>
      <c r="W104" s="71"/>
    </row>
    <row r="105" spans="1:23" ht="14.1" customHeight="1" x14ac:dyDescent="0.2">
      <c r="A105" s="66" t="s">
        <v>155</v>
      </c>
      <c r="B105" s="67" t="s">
        <v>156</v>
      </c>
      <c r="C105" s="67" t="s">
        <v>366</v>
      </c>
      <c r="D105" s="62"/>
      <c r="E105" s="68"/>
      <c r="F105" s="72">
        <v>40.08</v>
      </c>
      <c r="G105" s="69"/>
      <c r="H105" s="69"/>
      <c r="I105" s="69"/>
      <c r="J105" s="69"/>
      <c r="K105" s="68"/>
      <c r="L105" s="68"/>
      <c r="M105" s="68"/>
      <c r="N105" s="68"/>
      <c r="O105" s="68"/>
      <c r="P105" s="68"/>
      <c r="R105" s="70">
        <v>40.08</v>
      </c>
      <c r="S105" s="71"/>
      <c r="T105" s="71"/>
      <c r="U105" s="71"/>
      <c r="V105" s="71"/>
      <c r="W105" s="71"/>
    </row>
    <row r="106" spans="1:23" ht="14.1" customHeight="1" x14ac:dyDescent="0.2">
      <c r="A106" s="66" t="s">
        <v>157</v>
      </c>
      <c r="B106" s="67" t="s">
        <v>156</v>
      </c>
      <c r="C106" s="67" t="s">
        <v>367</v>
      </c>
      <c r="D106" s="62"/>
      <c r="E106" s="68"/>
      <c r="F106" s="68"/>
      <c r="G106" s="69">
        <v>37.511000000000003</v>
      </c>
      <c r="H106" s="69"/>
      <c r="I106" s="69"/>
      <c r="J106" s="69"/>
      <c r="K106" s="68"/>
      <c r="L106" s="68"/>
      <c r="M106" s="68"/>
      <c r="N106" s="68"/>
      <c r="O106" s="68"/>
      <c r="P106" s="68"/>
      <c r="R106" s="70">
        <v>37.511000000000003</v>
      </c>
      <c r="S106" s="71"/>
      <c r="T106" s="71"/>
      <c r="U106" s="71"/>
      <c r="V106" s="71"/>
      <c r="W106" s="71"/>
    </row>
    <row r="107" spans="1:23" ht="14.1" customHeight="1" x14ac:dyDescent="0.2">
      <c r="A107" s="66" t="s">
        <v>158</v>
      </c>
      <c r="B107" s="67" t="s">
        <v>156</v>
      </c>
      <c r="C107" s="67" t="s">
        <v>368</v>
      </c>
      <c r="D107" s="62" t="s">
        <v>271</v>
      </c>
      <c r="E107" s="68"/>
      <c r="F107" s="68"/>
      <c r="G107" s="69"/>
      <c r="H107" s="69">
        <v>39.491</v>
      </c>
      <c r="I107" s="69"/>
      <c r="J107" s="69"/>
      <c r="K107" s="68"/>
      <c r="L107" s="68"/>
      <c r="M107" s="68"/>
      <c r="N107" s="68"/>
      <c r="O107" s="68"/>
      <c r="P107" s="68"/>
      <c r="R107" s="70">
        <v>39.491</v>
      </c>
      <c r="S107" s="71"/>
      <c r="T107" s="71"/>
      <c r="U107" s="71"/>
      <c r="V107" s="71"/>
      <c r="W107" s="71"/>
    </row>
    <row r="108" spans="1:23" ht="14.1" customHeight="1" x14ac:dyDescent="0.2">
      <c r="A108" s="66" t="s">
        <v>159</v>
      </c>
      <c r="B108" s="67" t="s">
        <v>156</v>
      </c>
      <c r="C108" s="67" t="s">
        <v>369</v>
      </c>
      <c r="D108" s="62"/>
      <c r="E108" s="68"/>
      <c r="F108" s="72">
        <v>36.225000000000001</v>
      </c>
      <c r="G108" s="69"/>
      <c r="H108" s="69"/>
      <c r="I108" s="69"/>
      <c r="J108" s="69"/>
      <c r="K108" s="68"/>
      <c r="L108" s="68"/>
      <c r="M108" s="68"/>
      <c r="N108" s="68"/>
      <c r="O108" s="68"/>
      <c r="P108" s="68"/>
      <c r="R108" s="70">
        <v>36.225000000000001</v>
      </c>
      <c r="S108" s="71"/>
      <c r="T108" s="71"/>
      <c r="U108" s="71"/>
      <c r="V108" s="71"/>
      <c r="W108" s="71"/>
    </row>
    <row r="109" spans="1:23" ht="14.1" customHeight="1" x14ac:dyDescent="0.2">
      <c r="A109" s="66" t="s">
        <v>160</v>
      </c>
      <c r="B109" s="67" t="s">
        <v>161</v>
      </c>
      <c r="C109" s="67" t="s">
        <v>370</v>
      </c>
      <c r="D109" s="62"/>
      <c r="E109" s="68"/>
      <c r="F109" s="72">
        <v>39.359000000000002</v>
      </c>
      <c r="G109" s="69"/>
      <c r="H109" s="69"/>
      <c r="I109" s="69"/>
      <c r="J109" s="69"/>
      <c r="K109" s="68"/>
      <c r="L109" s="68"/>
      <c r="M109" s="68"/>
      <c r="N109" s="68"/>
      <c r="O109" s="68"/>
      <c r="P109" s="68"/>
      <c r="R109" s="70">
        <v>39.359000000000002</v>
      </c>
      <c r="S109" s="71"/>
      <c r="T109" s="71"/>
      <c r="U109" s="71"/>
      <c r="V109" s="71"/>
      <c r="W109" s="71"/>
    </row>
    <row r="110" spans="1:23" ht="14.1" customHeight="1" x14ac:dyDescent="0.2">
      <c r="A110" s="66" t="s">
        <v>162</v>
      </c>
      <c r="B110" s="67" t="s">
        <v>161</v>
      </c>
      <c r="C110" s="67" t="s">
        <v>369</v>
      </c>
      <c r="D110" s="62" t="s">
        <v>271</v>
      </c>
      <c r="E110" s="68"/>
      <c r="F110" s="68"/>
      <c r="G110" s="69"/>
      <c r="H110" s="69"/>
      <c r="I110" s="69">
        <v>33.383000000000003</v>
      </c>
      <c r="J110" s="69"/>
      <c r="K110" s="68"/>
      <c r="L110" s="68"/>
      <c r="M110" s="68"/>
      <c r="N110" s="68"/>
      <c r="O110" s="68"/>
      <c r="P110" s="68"/>
      <c r="R110" s="70">
        <v>33.383000000000003</v>
      </c>
      <c r="S110" s="71"/>
      <c r="T110" s="71"/>
      <c r="U110" s="71"/>
      <c r="V110" s="71"/>
      <c r="W110" s="71"/>
    </row>
    <row r="111" spans="1:23" ht="14.1" customHeight="1" x14ac:dyDescent="0.2">
      <c r="A111" s="66" t="s">
        <v>163</v>
      </c>
      <c r="B111" s="67" t="s">
        <v>161</v>
      </c>
      <c r="C111" s="67" t="s">
        <v>372</v>
      </c>
      <c r="D111" s="62" t="s">
        <v>271</v>
      </c>
      <c r="E111" s="68"/>
      <c r="F111" s="68"/>
      <c r="G111" s="69"/>
      <c r="H111" s="69"/>
      <c r="I111" s="69">
        <v>35.567999999999998</v>
      </c>
      <c r="J111" s="69"/>
      <c r="K111" s="68"/>
      <c r="L111" s="68"/>
      <c r="M111" s="68"/>
      <c r="N111" s="68"/>
      <c r="O111" s="68"/>
      <c r="P111" s="68"/>
      <c r="R111" s="70">
        <v>35.567999999999998</v>
      </c>
      <c r="S111" s="71"/>
      <c r="T111" s="71"/>
      <c r="U111" s="71"/>
      <c r="V111" s="71"/>
      <c r="W111" s="71"/>
    </row>
    <row r="112" spans="1:23" ht="14.1" customHeight="1" x14ac:dyDescent="0.2">
      <c r="A112" s="66" t="s">
        <v>164</v>
      </c>
      <c r="B112" s="67" t="s">
        <v>165</v>
      </c>
      <c r="C112" s="67" t="s">
        <v>373</v>
      </c>
      <c r="D112" s="62"/>
      <c r="E112" s="72">
        <v>40.08</v>
      </c>
      <c r="F112" s="68"/>
      <c r="G112" s="69"/>
      <c r="H112" s="69"/>
      <c r="I112" s="69"/>
      <c r="J112" s="69"/>
      <c r="K112" s="68"/>
      <c r="L112" s="68"/>
      <c r="M112" s="68"/>
      <c r="N112" s="68"/>
      <c r="O112" s="68"/>
      <c r="P112" s="68"/>
      <c r="R112" s="70">
        <v>40.08</v>
      </c>
      <c r="S112" s="71"/>
      <c r="T112" s="71"/>
      <c r="U112" s="71"/>
      <c r="V112" s="71"/>
      <c r="W112" s="71"/>
    </row>
    <row r="113" spans="1:23" ht="14.1" customHeight="1" x14ac:dyDescent="0.2">
      <c r="A113" s="66" t="s">
        <v>166</v>
      </c>
      <c r="B113" s="67" t="s">
        <v>167</v>
      </c>
      <c r="C113" s="67" t="s">
        <v>167</v>
      </c>
      <c r="D113" s="62" t="s">
        <v>271</v>
      </c>
      <c r="E113" s="68"/>
      <c r="F113" s="68"/>
      <c r="G113" s="69"/>
      <c r="H113" s="69"/>
      <c r="I113" s="69">
        <v>29.986999999999998</v>
      </c>
      <c r="J113" s="69"/>
      <c r="K113" s="68"/>
      <c r="L113" s="68"/>
      <c r="M113" s="68"/>
      <c r="N113" s="68"/>
      <c r="O113" s="68"/>
      <c r="P113" s="68"/>
      <c r="R113" s="70">
        <v>29.986999999999998</v>
      </c>
      <c r="S113" s="71"/>
      <c r="T113" s="71"/>
      <c r="U113" s="71"/>
      <c r="V113" s="71"/>
      <c r="W113" s="71"/>
    </row>
    <row r="114" spans="1:23" ht="14.1" customHeight="1" x14ac:dyDescent="0.2">
      <c r="A114" s="66" t="s">
        <v>168</v>
      </c>
      <c r="B114" s="67" t="s">
        <v>169</v>
      </c>
      <c r="C114" s="67" t="s">
        <v>169</v>
      </c>
      <c r="D114" s="62"/>
      <c r="E114" s="68"/>
      <c r="F114" s="68"/>
      <c r="G114" s="69">
        <v>39.716000000000001</v>
      </c>
      <c r="H114" s="69"/>
      <c r="I114" s="69"/>
      <c r="J114" s="69"/>
      <c r="K114" s="68"/>
      <c r="L114" s="68"/>
      <c r="M114" s="68"/>
      <c r="N114" s="68"/>
      <c r="O114" s="68"/>
      <c r="P114" s="68"/>
      <c r="R114" s="70">
        <v>39.716000000000001</v>
      </c>
      <c r="S114" s="71"/>
      <c r="T114" s="71"/>
      <c r="U114" s="71"/>
      <c r="V114" s="71"/>
      <c r="W114" s="71"/>
    </row>
    <row r="115" spans="1:23" ht="14.1" customHeight="1" x14ac:dyDescent="0.2">
      <c r="A115" s="66" t="s">
        <v>170</v>
      </c>
      <c r="B115" s="67" t="s">
        <v>169</v>
      </c>
      <c r="C115" s="67" t="s">
        <v>75</v>
      </c>
      <c r="D115" s="62"/>
      <c r="E115" s="68"/>
      <c r="F115" s="68"/>
      <c r="G115" s="69">
        <v>37.274000000000001</v>
      </c>
      <c r="H115" s="69"/>
      <c r="I115" s="69"/>
      <c r="J115" s="69"/>
      <c r="K115" s="68"/>
      <c r="L115" s="68"/>
      <c r="M115" s="68"/>
      <c r="N115" s="68"/>
      <c r="O115" s="68"/>
      <c r="P115" s="68"/>
      <c r="R115" s="70">
        <v>37.274000000000001</v>
      </c>
      <c r="S115" s="71"/>
      <c r="T115" s="71"/>
      <c r="U115" s="71"/>
      <c r="V115" s="71"/>
      <c r="W115" s="71"/>
    </row>
    <row r="116" spans="1:23" ht="14.1" customHeight="1" x14ac:dyDescent="0.2">
      <c r="A116" s="66" t="s">
        <v>171</v>
      </c>
      <c r="B116" s="67" t="s">
        <v>169</v>
      </c>
      <c r="C116" s="67" t="s">
        <v>374</v>
      </c>
      <c r="D116" s="62"/>
      <c r="E116" s="68"/>
      <c r="F116" s="72">
        <v>37.409999999999997</v>
      </c>
      <c r="G116" s="69"/>
      <c r="H116" s="69"/>
      <c r="I116" s="69"/>
      <c r="J116" s="69"/>
      <c r="K116" s="68"/>
      <c r="L116" s="68"/>
      <c r="M116" s="68"/>
      <c r="N116" s="68"/>
      <c r="O116" s="68"/>
      <c r="P116" s="68"/>
      <c r="R116" s="70">
        <v>37.409999999999997</v>
      </c>
      <c r="S116" s="71"/>
      <c r="T116" s="71"/>
      <c r="U116" s="71"/>
      <c r="V116" s="71"/>
      <c r="W116" s="71"/>
    </row>
    <row r="117" spans="1:23" ht="14.1" customHeight="1" x14ac:dyDescent="0.2">
      <c r="A117" s="66" t="s">
        <v>172</v>
      </c>
      <c r="B117" s="67" t="s">
        <v>173</v>
      </c>
      <c r="C117" s="67" t="s">
        <v>173</v>
      </c>
      <c r="D117" s="62"/>
      <c r="E117" s="68"/>
      <c r="F117" s="72">
        <v>35.521000000000001</v>
      </c>
      <c r="G117" s="69"/>
      <c r="H117" s="69"/>
      <c r="I117" s="69"/>
      <c r="J117" s="69"/>
      <c r="K117" s="68"/>
      <c r="L117" s="68"/>
      <c r="M117" s="68"/>
      <c r="N117" s="68"/>
      <c r="O117" s="68"/>
      <c r="P117" s="68"/>
      <c r="R117" s="70">
        <v>35.521000000000001</v>
      </c>
      <c r="S117" s="71"/>
      <c r="T117" s="71"/>
      <c r="U117" s="71"/>
      <c r="V117" s="71"/>
      <c r="W117" s="71"/>
    </row>
    <row r="118" spans="1:23" ht="14.1" customHeight="1" x14ac:dyDescent="0.2">
      <c r="A118" s="66" t="s">
        <v>174</v>
      </c>
      <c r="B118" s="67" t="s">
        <v>173</v>
      </c>
      <c r="C118" s="67" t="s">
        <v>375</v>
      </c>
      <c r="D118" s="62"/>
      <c r="E118" s="68"/>
      <c r="F118" s="68"/>
      <c r="G118" s="69">
        <v>38.625</v>
      </c>
      <c r="H118" s="69"/>
      <c r="I118" s="69"/>
      <c r="J118" s="69"/>
      <c r="K118" s="68"/>
      <c r="L118" s="68"/>
      <c r="M118" s="68"/>
      <c r="N118" s="68"/>
      <c r="O118" s="68"/>
      <c r="P118" s="68"/>
      <c r="R118" s="70">
        <v>38.625</v>
      </c>
      <c r="S118" s="71"/>
      <c r="T118" s="71"/>
      <c r="U118" s="71"/>
      <c r="V118" s="71"/>
      <c r="W118" s="71"/>
    </row>
    <row r="119" spans="1:23" ht="14.1" customHeight="1" x14ac:dyDescent="0.2">
      <c r="A119" s="66" t="s">
        <v>175</v>
      </c>
      <c r="B119" s="67" t="s">
        <v>176</v>
      </c>
      <c r="C119" s="67" t="s">
        <v>376</v>
      </c>
      <c r="D119" s="62"/>
      <c r="E119" s="68"/>
      <c r="F119" s="68"/>
      <c r="G119" s="69">
        <v>37.905999999999999</v>
      </c>
      <c r="H119" s="69"/>
      <c r="I119" s="69"/>
      <c r="J119" s="69"/>
      <c r="K119" s="68"/>
      <c r="L119" s="68"/>
      <c r="M119" s="68"/>
      <c r="N119" s="68"/>
      <c r="O119" s="68"/>
      <c r="P119" s="68"/>
      <c r="R119" s="70">
        <v>37.905999999999999</v>
      </c>
      <c r="S119" s="71"/>
      <c r="T119" s="71"/>
      <c r="U119" s="71"/>
      <c r="V119" s="71"/>
      <c r="W119" s="71"/>
    </row>
    <row r="120" spans="1:23" ht="14.1" customHeight="1" x14ac:dyDescent="0.2">
      <c r="A120" s="66" t="s">
        <v>177</v>
      </c>
      <c r="B120" s="67" t="s">
        <v>176</v>
      </c>
      <c r="C120" s="67" t="s">
        <v>377</v>
      </c>
      <c r="D120" s="62"/>
      <c r="E120" s="68"/>
      <c r="F120" s="68"/>
      <c r="G120" s="69">
        <v>34.893999999999998</v>
      </c>
      <c r="H120" s="69"/>
      <c r="I120" s="69"/>
      <c r="J120" s="69"/>
      <c r="K120" s="68"/>
      <c r="L120" s="68"/>
      <c r="M120" s="68"/>
      <c r="N120" s="68"/>
      <c r="O120" s="68"/>
      <c r="P120" s="68"/>
      <c r="R120" s="70">
        <v>34.893999999999998</v>
      </c>
      <c r="S120" s="71"/>
      <c r="T120" s="71"/>
      <c r="U120" s="71"/>
      <c r="V120" s="71"/>
      <c r="W120" s="71"/>
    </row>
    <row r="121" spans="1:23" ht="14.1" customHeight="1" x14ac:dyDescent="0.2">
      <c r="A121" s="66" t="s">
        <v>178</v>
      </c>
      <c r="B121" s="67" t="s">
        <v>176</v>
      </c>
      <c r="C121" s="67" t="s">
        <v>378</v>
      </c>
      <c r="D121" s="62"/>
      <c r="E121" s="68"/>
      <c r="F121" s="68"/>
      <c r="G121" s="69">
        <v>37.415999999999997</v>
      </c>
      <c r="H121" s="69"/>
      <c r="I121" s="69"/>
      <c r="J121" s="69"/>
      <c r="K121" s="68"/>
      <c r="L121" s="68"/>
      <c r="M121" s="68"/>
      <c r="N121" s="68"/>
      <c r="O121" s="68"/>
      <c r="P121" s="68"/>
      <c r="R121" s="70">
        <v>37.415999999999997</v>
      </c>
      <c r="S121" s="71"/>
      <c r="T121" s="71"/>
      <c r="U121" s="71"/>
      <c r="V121" s="71"/>
      <c r="W121" s="71"/>
    </row>
    <row r="122" spans="1:23" ht="14.1" customHeight="1" x14ac:dyDescent="0.2">
      <c r="A122" s="66" t="s">
        <v>179</v>
      </c>
      <c r="B122" s="67" t="s">
        <v>176</v>
      </c>
      <c r="C122" s="67" t="s">
        <v>379</v>
      </c>
      <c r="D122" s="62"/>
      <c r="E122" s="68"/>
      <c r="F122" s="68"/>
      <c r="G122" s="69">
        <v>40.08</v>
      </c>
      <c r="H122" s="69"/>
      <c r="I122" s="69"/>
      <c r="J122" s="69"/>
      <c r="K122" s="68"/>
      <c r="L122" s="68"/>
      <c r="M122" s="68"/>
      <c r="N122" s="68"/>
      <c r="O122" s="68"/>
      <c r="P122" s="68"/>
      <c r="R122" s="70">
        <v>40.08</v>
      </c>
      <c r="S122" s="71"/>
      <c r="T122" s="71"/>
      <c r="U122" s="71"/>
      <c r="V122" s="71"/>
      <c r="W122" s="71"/>
    </row>
    <row r="123" spans="1:23" ht="14.1" customHeight="1" x14ac:dyDescent="0.2">
      <c r="A123" s="66" t="s">
        <v>180</v>
      </c>
      <c r="B123" s="67" t="s">
        <v>181</v>
      </c>
      <c r="C123" s="67" t="s">
        <v>380</v>
      </c>
      <c r="D123" s="62"/>
      <c r="E123" s="68"/>
      <c r="F123" s="72">
        <v>40.08</v>
      </c>
      <c r="G123" s="69"/>
      <c r="H123" s="69"/>
      <c r="I123" s="69"/>
      <c r="J123" s="69"/>
      <c r="K123" s="68"/>
      <c r="L123" s="68"/>
      <c r="M123" s="68"/>
      <c r="N123" s="68"/>
      <c r="O123" s="68"/>
      <c r="P123" s="68"/>
      <c r="R123" s="70">
        <v>40.08</v>
      </c>
      <c r="S123" s="71"/>
      <c r="T123" s="71"/>
      <c r="U123" s="71"/>
      <c r="V123" s="71"/>
      <c r="W123" s="71"/>
    </row>
    <row r="124" spans="1:23" ht="14.1" customHeight="1" x14ac:dyDescent="0.2">
      <c r="A124" s="66" t="s">
        <v>182</v>
      </c>
      <c r="B124" s="67" t="s">
        <v>181</v>
      </c>
      <c r="C124" s="67" t="s">
        <v>381</v>
      </c>
      <c r="D124" s="62"/>
      <c r="E124" s="68"/>
      <c r="F124" s="72">
        <v>40.08</v>
      </c>
      <c r="G124" s="69"/>
      <c r="H124" s="69"/>
      <c r="I124" s="69"/>
      <c r="J124" s="69"/>
      <c r="K124" s="68"/>
      <c r="L124" s="68"/>
      <c r="M124" s="68"/>
      <c r="N124" s="68"/>
      <c r="O124" s="68"/>
      <c r="P124" s="68"/>
      <c r="R124" s="70">
        <v>40.08</v>
      </c>
      <c r="S124" s="71"/>
      <c r="T124" s="71"/>
      <c r="U124" s="71"/>
      <c r="V124" s="71"/>
      <c r="W124" s="71"/>
    </row>
    <row r="125" spans="1:23" ht="14.1" customHeight="1" x14ac:dyDescent="0.2">
      <c r="A125" s="66" t="s">
        <v>183</v>
      </c>
      <c r="B125" s="67" t="s">
        <v>181</v>
      </c>
      <c r="C125" s="67" t="s">
        <v>382</v>
      </c>
      <c r="D125" s="62"/>
      <c r="E125" s="72">
        <v>36.659999999999997</v>
      </c>
      <c r="F125" s="68"/>
      <c r="G125" s="69"/>
      <c r="H125" s="69"/>
      <c r="I125" s="69"/>
      <c r="J125" s="69"/>
      <c r="K125" s="68"/>
      <c r="L125" s="68"/>
      <c r="M125" s="68"/>
      <c r="N125" s="68"/>
      <c r="O125" s="68"/>
      <c r="P125" s="68"/>
      <c r="R125" s="70">
        <v>36.659999999999997</v>
      </c>
      <c r="S125" s="71"/>
      <c r="T125" s="71"/>
      <c r="U125" s="71"/>
      <c r="V125" s="71"/>
      <c r="W125" s="71"/>
    </row>
    <row r="126" spans="1:23" ht="14.1" customHeight="1" x14ac:dyDescent="0.2">
      <c r="A126" s="66" t="s">
        <v>184</v>
      </c>
      <c r="B126" s="67" t="s">
        <v>181</v>
      </c>
      <c r="C126" s="67" t="s">
        <v>383</v>
      </c>
      <c r="D126" s="62"/>
      <c r="E126" s="72">
        <v>39.048999999999999</v>
      </c>
      <c r="F126" s="68"/>
      <c r="G126" s="69"/>
      <c r="H126" s="69"/>
      <c r="I126" s="69"/>
      <c r="J126" s="69"/>
      <c r="K126" s="68"/>
      <c r="L126" s="68"/>
      <c r="M126" s="68"/>
      <c r="N126" s="68"/>
      <c r="O126" s="68"/>
      <c r="P126" s="68"/>
      <c r="R126" s="70">
        <v>39.048999999999999</v>
      </c>
      <c r="S126" s="71"/>
      <c r="T126" s="71"/>
      <c r="U126" s="71"/>
      <c r="V126" s="71"/>
      <c r="W126" s="71"/>
    </row>
    <row r="127" spans="1:23" ht="14.1" customHeight="1" x14ac:dyDescent="0.2">
      <c r="A127" s="66" t="s">
        <v>185</v>
      </c>
      <c r="B127" s="67" t="s">
        <v>181</v>
      </c>
      <c r="C127" s="67" t="s">
        <v>384</v>
      </c>
      <c r="D127" s="62"/>
      <c r="E127" s="68"/>
      <c r="F127" s="72">
        <v>40.08</v>
      </c>
      <c r="G127" s="69"/>
      <c r="H127" s="69"/>
      <c r="I127" s="69"/>
      <c r="J127" s="69"/>
      <c r="K127" s="68"/>
      <c r="L127" s="68"/>
      <c r="M127" s="68"/>
      <c r="N127" s="68"/>
      <c r="O127" s="68"/>
      <c r="P127" s="68"/>
      <c r="R127" s="70">
        <v>40.08</v>
      </c>
      <c r="S127" s="71"/>
      <c r="T127" s="71"/>
      <c r="U127" s="71"/>
      <c r="V127" s="71"/>
      <c r="W127" s="71"/>
    </row>
    <row r="128" spans="1:23" ht="14.1" customHeight="1" x14ac:dyDescent="0.2">
      <c r="A128" s="66" t="s">
        <v>186</v>
      </c>
      <c r="B128" s="67" t="s">
        <v>181</v>
      </c>
      <c r="C128" s="67" t="s">
        <v>385</v>
      </c>
      <c r="D128" s="62"/>
      <c r="E128" s="68"/>
      <c r="F128" s="72">
        <v>39.917000000000002</v>
      </c>
      <c r="G128" s="69"/>
      <c r="H128" s="69"/>
      <c r="I128" s="69"/>
      <c r="J128" s="69"/>
      <c r="K128" s="68"/>
      <c r="L128" s="68"/>
      <c r="M128" s="68"/>
      <c r="N128" s="68"/>
      <c r="O128" s="68"/>
      <c r="P128" s="68"/>
      <c r="R128" s="70">
        <v>39.917000000000002</v>
      </c>
      <c r="S128" s="71"/>
      <c r="T128" s="71"/>
      <c r="U128" s="71"/>
      <c r="V128" s="71"/>
      <c r="W128" s="71"/>
    </row>
    <row r="129" spans="1:23" ht="14.1" customHeight="1" x14ac:dyDescent="0.2">
      <c r="A129" s="66" t="s">
        <v>187</v>
      </c>
      <c r="B129" s="67" t="s">
        <v>188</v>
      </c>
      <c r="C129" s="67" t="s">
        <v>188</v>
      </c>
      <c r="D129" s="62"/>
      <c r="E129" s="68"/>
      <c r="F129" s="68"/>
      <c r="G129" s="69">
        <v>31.734000000000002</v>
      </c>
      <c r="H129" s="69"/>
      <c r="I129" s="69"/>
      <c r="J129" s="69"/>
      <c r="K129" s="68"/>
      <c r="L129" s="68"/>
      <c r="M129" s="68"/>
      <c r="N129" s="68"/>
      <c r="O129" s="68"/>
      <c r="P129" s="68"/>
      <c r="R129" s="70">
        <v>31.734000000000002</v>
      </c>
      <c r="S129" s="71"/>
      <c r="T129" s="71"/>
      <c r="U129" s="71"/>
      <c r="V129" s="71"/>
      <c r="W129" s="71"/>
    </row>
    <row r="130" spans="1:23" ht="14.1" customHeight="1" x14ac:dyDescent="0.2">
      <c r="A130" s="66" t="s">
        <v>189</v>
      </c>
      <c r="B130" s="67" t="s">
        <v>188</v>
      </c>
      <c r="C130" s="67" t="s">
        <v>386</v>
      </c>
      <c r="D130" s="62"/>
      <c r="E130" s="68"/>
      <c r="F130" s="68"/>
      <c r="G130" s="69">
        <v>24.962</v>
      </c>
      <c r="H130" s="69"/>
      <c r="I130" s="69"/>
      <c r="J130" s="69"/>
      <c r="K130" s="68"/>
      <c r="L130" s="68"/>
      <c r="M130" s="68"/>
      <c r="N130" s="68"/>
      <c r="O130" s="68"/>
      <c r="P130" s="68"/>
      <c r="R130" s="70">
        <v>24.962</v>
      </c>
      <c r="S130" s="71"/>
      <c r="T130" s="71"/>
      <c r="U130" s="71"/>
      <c r="V130" s="71"/>
      <c r="W130" s="71"/>
    </row>
    <row r="131" spans="1:23" ht="14.1" customHeight="1" x14ac:dyDescent="0.2">
      <c r="A131" s="66" t="s">
        <v>190</v>
      </c>
      <c r="B131" s="67" t="s">
        <v>191</v>
      </c>
      <c r="C131" s="67" t="s">
        <v>387</v>
      </c>
      <c r="D131" s="62"/>
      <c r="E131" s="68"/>
      <c r="F131" s="68"/>
      <c r="G131" s="69">
        <v>33.963999999999999</v>
      </c>
      <c r="H131" s="69"/>
      <c r="I131" s="69"/>
      <c r="J131" s="69"/>
      <c r="K131" s="68"/>
      <c r="L131" s="68"/>
      <c r="M131" s="68"/>
      <c r="N131" s="68"/>
      <c r="O131" s="68"/>
      <c r="P131" s="68"/>
      <c r="R131" s="70">
        <v>33.963999999999999</v>
      </c>
      <c r="S131" s="71"/>
      <c r="T131" s="71"/>
      <c r="U131" s="71"/>
      <c r="V131" s="71"/>
      <c r="W131" s="71"/>
    </row>
    <row r="132" spans="1:23" ht="14.1" customHeight="1" x14ac:dyDescent="0.2">
      <c r="A132" s="66" t="s">
        <v>192</v>
      </c>
      <c r="B132" s="67" t="s">
        <v>191</v>
      </c>
      <c r="C132" s="67" t="s">
        <v>191</v>
      </c>
      <c r="D132" s="62" t="s">
        <v>271</v>
      </c>
      <c r="E132" s="68"/>
      <c r="F132" s="68"/>
      <c r="G132" s="69"/>
      <c r="H132" s="69">
        <v>21.785</v>
      </c>
      <c r="I132" s="69"/>
      <c r="J132" s="69"/>
      <c r="K132" s="68"/>
      <c r="L132" s="68"/>
      <c r="M132" s="68"/>
      <c r="N132" s="68"/>
      <c r="O132" s="68"/>
      <c r="P132" s="68"/>
      <c r="R132" s="70">
        <v>21.785</v>
      </c>
      <c r="S132" s="71"/>
      <c r="T132" s="71"/>
      <c r="U132" s="71"/>
      <c r="V132" s="71"/>
      <c r="W132" s="71"/>
    </row>
    <row r="133" spans="1:23" ht="14.1" customHeight="1" x14ac:dyDescent="0.2">
      <c r="A133" s="66" t="s">
        <v>193</v>
      </c>
      <c r="B133" s="67" t="s">
        <v>194</v>
      </c>
      <c r="C133" s="67" t="s">
        <v>388</v>
      </c>
      <c r="D133" s="62"/>
      <c r="E133" s="72">
        <v>40.08</v>
      </c>
      <c r="F133" s="68"/>
      <c r="G133" s="69"/>
      <c r="H133" s="69"/>
      <c r="I133" s="69"/>
      <c r="J133" s="69"/>
      <c r="K133" s="68"/>
      <c r="L133" s="68"/>
      <c r="M133" s="68"/>
      <c r="N133" s="68"/>
      <c r="O133" s="68"/>
      <c r="P133" s="68"/>
      <c r="R133" s="70">
        <v>40.08</v>
      </c>
      <c r="S133" s="71"/>
      <c r="T133" s="71"/>
      <c r="U133" s="71"/>
      <c r="V133" s="71"/>
      <c r="W133" s="71"/>
    </row>
    <row r="134" spans="1:23" ht="14.1" customHeight="1" x14ac:dyDescent="0.2">
      <c r="A134" s="66" t="s">
        <v>195</v>
      </c>
      <c r="B134" s="67" t="s">
        <v>194</v>
      </c>
      <c r="C134" s="67" t="s">
        <v>389</v>
      </c>
      <c r="D134" s="62"/>
      <c r="E134" s="72">
        <v>40.08</v>
      </c>
      <c r="F134" s="68"/>
      <c r="G134" s="69"/>
      <c r="H134" s="69"/>
      <c r="I134" s="69"/>
      <c r="J134" s="69"/>
      <c r="K134" s="68"/>
      <c r="L134" s="68"/>
      <c r="M134" s="68"/>
      <c r="N134" s="68"/>
      <c r="O134" s="68"/>
      <c r="P134" s="68"/>
      <c r="R134" s="70">
        <v>40.08</v>
      </c>
      <c r="S134" s="71"/>
      <c r="T134" s="71"/>
      <c r="U134" s="71"/>
      <c r="V134" s="71"/>
      <c r="W134" s="71"/>
    </row>
    <row r="135" spans="1:23" ht="14.1" customHeight="1" x14ac:dyDescent="0.2">
      <c r="A135" s="66" t="s">
        <v>196</v>
      </c>
      <c r="B135" s="67" t="s">
        <v>197</v>
      </c>
      <c r="C135" s="67" t="s">
        <v>390</v>
      </c>
      <c r="D135" s="62" t="s">
        <v>271</v>
      </c>
      <c r="E135" s="68"/>
      <c r="F135" s="68"/>
      <c r="G135" s="69"/>
      <c r="H135" s="69">
        <v>7.0179999999999998</v>
      </c>
      <c r="I135" s="69"/>
      <c r="J135" s="69"/>
      <c r="K135" s="68"/>
      <c r="L135" s="68"/>
      <c r="M135" s="68"/>
      <c r="N135" s="68"/>
      <c r="O135" s="68"/>
      <c r="P135" s="68"/>
      <c r="R135" s="70">
        <v>7.0179999999999998</v>
      </c>
      <c r="S135" s="71"/>
      <c r="T135" s="71"/>
      <c r="U135" s="71"/>
      <c r="V135" s="71"/>
      <c r="W135" s="71"/>
    </row>
    <row r="136" spans="1:23" ht="14.1" customHeight="1" x14ac:dyDescent="0.2">
      <c r="A136" s="66" t="s">
        <v>198</v>
      </c>
      <c r="B136" s="67" t="s">
        <v>199</v>
      </c>
      <c r="C136" s="67" t="s">
        <v>391</v>
      </c>
      <c r="D136" s="62"/>
      <c r="E136" s="68"/>
      <c r="F136" s="68"/>
      <c r="G136" s="69">
        <v>38.707000000000001</v>
      </c>
      <c r="H136" s="69"/>
      <c r="I136" s="69"/>
      <c r="J136" s="69"/>
      <c r="K136" s="68"/>
      <c r="L136" s="68"/>
      <c r="M136" s="68"/>
      <c r="N136" s="68"/>
      <c r="O136" s="68"/>
      <c r="P136" s="68"/>
      <c r="R136" s="70">
        <v>38.707000000000001</v>
      </c>
      <c r="S136" s="71"/>
      <c r="T136" s="71"/>
      <c r="U136" s="71"/>
      <c r="V136" s="71"/>
      <c r="W136" s="71"/>
    </row>
    <row r="137" spans="1:23" ht="14.1" customHeight="1" x14ac:dyDescent="0.2">
      <c r="A137" s="66" t="s">
        <v>200</v>
      </c>
      <c r="B137" s="67" t="s">
        <v>199</v>
      </c>
      <c r="C137" s="67" t="s">
        <v>392</v>
      </c>
      <c r="D137" s="62"/>
      <c r="E137" s="68"/>
      <c r="F137" s="68"/>
      <c r="G137" s="69">
        <v>40.08</v>
      </c>
      <c r="H137" s="69"/>
      <c r="I137" s="69"/>
      <c r="J137" s="69"/>
      <c r="K137" s="68"/>
      <c r="L137" s="68"/>
      <c r="M137" s="68"/>
      <c r="N137" s="68"/>
      <c r="O137" s="68"/>
      <c r="P137" s="68"/>
      <c r="R137" s="70">
        <v>40.08</v>
      </c>
      <c r="S137" s="71"/>
      <c r="T137" s="71"/>
      <c r="U137" s="71"/>
      <c r="V137" s="71"/>
      <c r="W137" s="71"/>
    </row>
    <row r="138" spans="1:23" ht="14.1" customHeight="1" x14ac:dyDescent="0.2">
      <c r="A138" s="66" t="s">
        <v>201</v>
      </c>
      <c r="B138" s="67" t="s">
        <v>199</v>
      </c>
      <c r="C138" s="67" t="s">
        <v>393</v>
      </c>
      <c r="D138" s="62"/>
      <c r="E138" s="68"/>
      <c r="F138" s="72">
        <v>39.070999999999998</v>
      </c>
      <c r="G138" s="69"/>
      <c r="H138" s="69"/>
      <c r="I138" s="69"/>
      <c r="J138" s="69"/>
      <c r="K138" s="68"/>
      <c r="L138" s="68"/>
      <c r="M138" s="68"/>
      <c r="N138" s="68"/>
      <c r="O138" s="68"/>
      <c r="P138" s="68"/>
      <c r="R138" s="70">
        <v>39.070999999999998</v>
      </c>
      <c r="S138" s="71"/>
      <c r="T138" s="71"/>
      <c r="U138" s="71"/>
      <c r="V138" s="71"/>
      <c r="W138" s="71"/>
    </row>
    <row r="139" spans="1:23" ht="14.1" customHeight="1" x14ac:dyDescent="0.2">
      <c r="A139" s="66" t="s">
        <v>202</v>
      </c>
      <c r="B139" s="67" t="s">
        <v>199</v>
      </c>
      <c r="C139" s="67" t="s">
        <v>394</v>
      </c>
      <c r="D139" s="62"/>
      <c r="E139" s="68"/>
      <c r="F139" s="72">
        <v>39.758000000000003</v>
      </c>
      <c r="G139" s="69"/>
      <c r="H139" s="69"/>
      <c r="I139" s="69"/>
      <c r="J139" s="69"/>
      <c r="K139" s="68"/>
      <c r="L139" s="68"/>
      <c r="M139" s="68"/>
      <c r="N139" s="68"/>
      <c r="O139" s="68"/>
      <c r="P139" s="68"/>
      <c r="R139" s="70">
        <v>39.758000000000003</v>
      </c>
      <c r="S139" s="71"/>
      <c r="T139" s="71"/>
      <c r="U139" s="71"/>
      <c r="V139" s="71"/>
      <c r="W139" s="71"/>
    </row>
    <row r="140" spans="1:23" s="80" customFormat="1" ht="14.1" customHeight="1" x14ac:dyDescent="0.25">
      <c r="A140" s="75" t="s">
        <v>203</v>
      </c>
      <c r="B140" s="67" t="s">
        <v>204</v>
      </c>
      <c r="C140" s="67" t="s">
        <v>395</v>
      </c>
      <c r="D140" s="62"/>
      <c r="E140" s="76"/>
      <c r="F140" s="76"/>
      <c r="G140" s="77"/>
      <c r="H140" s="73">
        <v>34.893999999999998</v>
      </c>
      <c r="I140" s="78"/>
      <c r="J140" s="72"/>
      <c r="K140" s="76"/>
      <c r="L140" s="76"/>
      <c r="M140" s="76"/>
      <c r="N140" s="76"/>
      <c r="O140" s="76"/>
      <c r="P140" s="76"/>
      <c r="Q140" s="61"/>
      <c r="R140" s="70">
        <v>34.893999999999998</v>
      </c>
      <c r="S140" s="79"/>
      <c r="T140" s="79"/>
      <c r="U140" s="79"/>
      <c r="V140" s="79"/>
      <c r="W140" s="79"/>
    </row>
    <row r="141" spans="1:23" ht="14.1" customHeight="1" x14ac:dyDescent="0.2">
      <c r="A141" s="66" t="s">
        <v>205</v>
      </c>
      <c r="B141" s="67" t="s">
        <v>204</v>
      </c>
      <c r="C141" s="67" t="s">
        <v>396</v>
      </c>
      <c r="D141" s="62"/>
      <c r="E141" s="68"/>
      <c r="F141" s="68"/>
      <c r="G141" s="69">
        <v>40.08</v>
      </c>
      <c r="H141" s="69"/>
      <c r="I141" s="69"/>
      <c r="J141" s="69"/>
      <c r="K141" s="68"/>
      <c r="L141" s="68"/>
      <c r="M141" s="68"/>
      <c r="N141" s="68"/>
      <c r="O141" s="68"/>
      <c r="P141" s="68"/>
      <c r="R141" s="70">
        <v>40.08</v>
      </c>
      <c r="S141" s="71"/>
      <c r="T141" s="71"/>
      <c r="U141" s="71"/>
      <c r="V141" s="71"/>
      <c r="W141" s="71"/>
    </row>
    <row r="142" spans="1:23" ht="14.1" customHeight="1" x14ac:dyDescent="0.2">
      <c r="A142" s="66" t="s">
        <v>206</v>
      </c>
      <c r="B142" s="67" t="s">
        <v>207</v>
      </c>
      <c r="C142" s="67" t="s">
        <v>397</v>
      </c>
      <c r="D142" s="62"/>
      <c r="E142" s="68"/>
      <c r="F142" s="72">
        <v>32.055</v>
      </c>
      <c r="G142" s="69"/>
      <c r="H142" s="69"/>
      <c r="I142" s="69"/>
      <c r="J142" s="69"/>
      <c r="K142" s="68"/>
      <c r="L142" s="68"/>
      <c r="M142" s="68"/>
      <c r="N142" s="68"/>
      <c r="O142" s="68"/>
      <c r="P142" s="68"/>
      <c r="R142" s="70">
        <v>32.055</v>
      </c>
      <c r="S142" s="71"/>
      <c r="T142" s="71"/>
      <c r="U142" s="71"/>
      <c r="V142" s="71"/>
      <c r="W142" s="71"/>
    </row>
    <row r="143" spans="1:23" ht="14.1" customHeight="1" x14ac:dyDescent="0.2">
      <c r="A143" s="66" t="s">
        <v>208</v>
      </c>
      <c r="B143" s="67" t="s">
        <v>207</v>
      </c>
      <c r="C143" s="67" t="s">
        <v>398</v>
      </c>
      <c r="D143" s="62" t="s">
        <v>271</v>
      </c>
      <c r="E143" s="68"/>
      <c r="F143" s="68"/>
      <c r="G143" s="69"/>
      <c r="H143" s="69">
        <v>7.5579999999999998</v>
      </c>
      <c r="I143" s="69"/>
      <c r="J143" s="69"/>
      <c r="K143" s="68"/>
      <c r="L143" s="68"/>
      <c r="M143" s="68"/>
      <c r="N143" s="68"/>
      <c r="O143" s="68"/>
      <c r="P143" s="68"/>
      <c r="R143" s="70">
        <v>7.5579999999999998</v>
      </c>
      <c r="S143" s="71"/>
      <c r="T143" s="71"/>
      <c r="U143" s="71"/>
      <c r="V143" s="71"/>
      <c r="W143" s="71"/>
    </row>
    <row r="144" spans="1:23" ht="14.1" customHeight="1" x14ac:dyDescent="0.2">
      <c r="A144" s="66" t="s">
        <v>209</v>
      </c>
      <c r="B144" s="67" t="s">
        <v>210</v>
      </c>
      <c r="C144" s="67" t="s">
        <v>399</v>
      </c>
      <c r="D144" s="62"/>
      <c r="E144" s="68"/>
      <c r="F144" s="72">
        <v>40.08</v>
      </c>
      <c r="G144" s="69"/>
      <c r="H144" s="69"/>
      <c r="I144" s="69"/>
      <c r="J144" s="69"/>
      <c r="K144" s="68"/>
      <c r="L144" s="68"/>
      <c r="M144" s="68"/>
      <c r="N144" s="68"/>
      <c r="O144" s="68"/>
      <c r="P144" s="68"/>
      <c r="R144" s="70">
        <v>40.08</v>
      </c>
      <c r="S144" s="71"/>
      <c r="T144" s="71"/>
      <c r="U144" s="71"/>
      <c r="V144" s="71"/>
      <c r="W144" s="71"/>
    </row>
    <row r="145" spans="1:23" ht="14.1" customHeight="1" x14ac:dyDescent="0.2">
      <c r="A145" s="66" t="s">
        <v>211</v>
      </c>
      <c r="B145" s="67" t="s">
        <v>210</v>
      </c>
      <c r="C145" s="67" t="s">
        <v>400</v>
      </c>
      <c r="D145" s="62"/>
      <c r="E145" s="68"/>
      <c r="F145" s="72">
        <v>39.887999999999998</v>
      </c>
      <c r="G145" s="69"/>
      <c r="H145" s="69"/>
      <c r="I145" s="69"/>
      <c r="J145" s="69"/>
      <c r="K145" s="68"/>
      <c r="L145" s="68"/>
      <c r="M145" s="68"/>
      <c r="N145" s="68"/>
      <c r="O145" s="68"/>
      <c r="P145" s="68"/>
      <c r="R145" s="70">
        <v>39.887999999999998</v>
      </c>
      <c r="S145" s="71"/>
      <c r="T145" s="71"/>
      <c r="U145" s="71"/>
      <c r="V145" s="71"/>
      <c r="W145" s="71"/>
    </row>
    <row r="146" spans="1:23" ht="14.1" customHeight="1" x14ac:dyDescent="0.2">
      <c r="A146" s="66" t="s">
        <v>212</v>
      </c>
      <c r="B146" s="67" t="s">
        <v>210</v>
      </c>
      <c r="C146" s="67" t="s">
        <v>401</v>
      </c>
      <c r="D146" s="62"/>
      <c r="E146" s="68"/>
      <c r="F146" s="68"/>
      <c r="G146" s="69">
        <v>38.738999999999997</v>
      </c>
      <c r="H146" s="69"/>
      <c r="I146" s="69"/>
      <c r="J146" s="69"/>
      <c r="K146" s="68"/>
      <c r="L146" s="68"/>
      <c r="M146" s="68"/>
      <c r="N146" s="68"/>
      <c r="O146" s="68"/>
      <c r="P146" s="68"/>
      <c r="R146" s="70">
        <v>38.738999999999997</v>
      </c>
      <c r="S146" s="71"/>
      <c r="T146" s="71"/>
      <c r="U146" s="71"/>
      <c r="V146" s="71"/>
      <c r="W146" s="71"/>
    </row>
    <row r="147" spans="1:23" ht="14.1" customHeight="1" x14ac:dyDescent="0.2">
      <c r="A147" s="66" t="s">
        <v>213</v>
      </c>
      <c r="B147" s="67" t="s">
        <v>214</v>
      </c>
      <c r="C147" s="67" t="s">
        <v>402</v>
      </c>
      <c r="D147" s="62" t="s">
        <v>271</v>
      </c>
      <c r="E147" s="68"/>
      <c r="F147" s="68"/>
      <c r="G147" s="69"/>
      <c r="H147" s="69">
        <v>32.698999999999998</v>
      </c>
      <c r="I147" s="69"/>
      <c r="J147" s="69"/>
      <c r="K147" s="68"/>
      <c r="L147" s="68"/>
      <c r="M147" s="68"/>
      <c r="N147" s="68"/>
      <c r="O147" s="68"/>
      <c r="P147" s="68"/>
      <c r="R147" s="70">
        <v>32.698999999999998</v>
      </c>
      <c r="S147" s="71"/>
      <c r="T147" s="71"/>
      <c r="U147" s="71"/>
      <c r="V147" s="71"/>
      <c r="W147" s="71"/>
    </row>
    <row r="148" spans="1:23" ht="14.1" customHeight="1" x14ac:dyDescent="0.2">
      <c r="A148" s="66" t="s">
        <v>215</v>
      </c>
      <c r="B148" s="67" t="s">
        <v>214</v>
      </c>
      <c r="C148" s="67" t="s">
        <v>403</v>
      </c>
      <c r="D148" s="62"/>
      <c r="E148" s="68"/>
      <c r="F148" s="68"/>
      <c r="G148" s="69"/>
      <c r="H148" s="69"/>
      <c r="I148" s="69"/>
      <c r="J148" s="69"/>
      <c r="K148" s="68"/>
      <c r="L148" s="68"/>
      <c r="M148" s="68"/>
      <c r="N148" s="68"/>
      <c r="O148" s="68"/>
      <c r="P148" s="68"/>
      <c r="R148" s="70">
        <v>0</v>
      </c>
      <c r="S148" s="71"/>
      <c r="T148" s="71"/>
      <c r="U148" s="71"/>
      <c r="V148" s="71"/>
      <c r="W148" s="71"/>
    </row>
    <row r="149" spans="1:23" ht="14.1" customHeight="1" x14ac:dyDescent="0.2">
      <c r="A149" s="66" t="s">
        <v>216</v>
      </c>
      <c r="B149" s="67" t="s">
        <v>214</v>
      </c>
      <c r="C149" s="67" t="s">
        <v>404</v>
      </c>
      <c r="D149" s="62"/>
      <c r="E149" s="68"/>
      <c r="F149" s="68"/>
      <c r="G149" s="69">
        <v>40.738999999999997</v>
      </c>
      <c r="H149" s="69"/>
      <c r="I149" s="69"/>
      <c r="J149" s="69"/>
      <c r="K149" s="68"/>
      <c r="L149" s="68"/>
      <c r="M149" s="68"/>
      <c r="N149" s="68"/>
      <c r="O149" s="68"/>
      <c r="P149" s="68"/>
      <c r="R149" s="70">
        <v>40.738999999999997</v>
      </c>
      <c r="S149" s="71"/>
      <c r="T149" s="71"/>
      <c r="U149" s="71"/>
      <c r="V149" s="71"/>
      <c r="W149" s="71"/>
    </row>
    <row r="150" spans="1:23" ht="14.1" customHeight="1" x14ac:dyDescent="0.2">
      <c r="A150" s="66" t="s">
        <v>217</v>
      </c>
      <c r="B150" s="67" t="s">
        <v>218</v>
      </c>
      <c r="C150" s="67" t="s">
        <v>405</v>
      </c>
      <c r="D150" s="62"/>
      <c r="E150" s="68"/>
      <c r="F150" s="72">
        <v>40.08</v>
      </c>
      <c r="G150" s="69"/>
      <c r="H150" s="69"/>
      <c r="I150" s="69"/>
      <c r="J150" s="69"/>
      <c r="K150" s="68"/>
      <c r="L150" s="68"/>
      <c r="M150" s="68"/>
      <c r="N150" s="68"/>
      <c r="O150" s="68"/>
      <c r="P150" s="68"/>
      <c r="R150" s="70">
        <v>40.08</v>
      </c>
      <c r="S150" s="71"/>
      <c r="T150" s="71"/>
      <c r="U150" s="71"/>
      <c r="V150" s="71"/>
      <c r="W150" s="71"/>
    </row>
    <row r="151" spans="1:23" ht="14.1" customHeight="1" x14ac:dyDescent="0.2">
      <c r="A151" s="66" t="s">
        <v>219</v>
      </c>
      <c r="B151" s="67" t="s">
        <v>218</v>
      </c>
      <c r="C151" s="67" t="s">
        <v>167</v>
      </c>
      <c r="D151" s="62"/>
      <c r="E151" s="68"/>
      <c r="F151" s="68"/>
      <c r="G151" s="69">
        <v>40.08</v>
      </c>
      <c r="H151" s="69"/>
      <c r="I151" s="69"/>
      <c r="J151" s="69"/>
      <c r="K151" s="68"/>
      <c r="L151" s="68"/>
      <c r="M151" s="68"/>
      <c r="N151" s="68"/>
      <c r="O151" s="68"/>
      <c r="P151" s="68"/>
      <c r="R151" s="70">
        <v>40.08</v>
      </c>
      <c r="S151" s="71"/>
      <c r="T151" s="71"/>
      <c r="U151" s="71"/>
      <c r="V151" s="71"/>
      <c r="W151" s="71"/>
    </row>
    <row r="152" spans="1:23" ht="14.1" customHeight="1" x14ac:dyDescent="0.2">
      <c r="A152" s="66" t="s">
        <v>220</v>
      </c>
      <c r="B152" s="67" t="s">
        <v>218</v>
      </c>
      <c r="C152" s="67" t="s">
        <v>406</v>
      </c>
      <c r="D152" s="62"/>
      <c r="E152" s="68"/>
      <c r="F152" s="73">
        <v>39.597999999999999</v>
      </c>
      <c r="G152" s="69"/>
      <c r="H152" s="69"/>
      <c r="I152" s="69"/>
      <c r="J152" s="69"/>
      <c r="K152" s="68"/>
      <c r="L152" s="68"/>
      <c r="M152" s="68"/>
      <c r="N152" s="68"/>
      <c r="O152" s="68"/>
      <c r="P152" s="68"/>
      <c r="R152" s="70">
        <v>39.597999999999999</v>
      </c>
      <c r="S152" s="71"/>
      <c r="T152" s="71"/>
      <c r="U152" s="71"/>
      <c r="V152" s="71"/>
      <c r="W152" s="71"/>
    </row>
    <row r="153" spans="1:23" ht="14.1" customHeight="1" x14ac:dyDescent="0.2">
      <c r="A153" s="66" t="s">
        <v>221</v>
      </c>
      <c r="B153" s="67" t="s">
        <v>222</v>
      </c>
      <c r="C153" s="67" t="s">
        <v>407</v>
      </c>
      <c r="D153" s="62" t="s">
        <v>271</v>
      </c>
      <c r="E153" s="68"/>
      <c r="F153" s="68"/>
      <c r="G153" s="69"/>
      <c r="H153" s="69">
        <v>28.872</v>
      </c>
      <c r="I153" s="69"/>
      <c r="J153" s="69"/>
      <c r="K153" s="68"/>
      <c r="L153" s="68"/>
      <c r="M153" s="68"/>
      <c r="N153" s="68"/>
      <c r="O153" s="68"/>
      <c r="P153" s="68"/>
      <c r="R153" s="70">
        <v>28.872</v>
      </c>
      <c r="S153" s="71"/>
      <c r="T153" s="71"/>
      <c r="U153" s="71"/>
      <c r="V153" s="71"/>
      <c r="W153" s="71"/>
    </row>
    <row r="154" spans="1:23" ht="14.1" customHeight="1" x14ac:dyDescent="0.2">
      <c r="A154" s="66" t="s">
        <v>223</v>
      </c>
      <c r="B154" s="67" t="s">
        <v>224</v>
      </c>
      <c r="C154" s="67" t="s">
        <v>408</v>
      </c>
      <c r="D154" s="62"/>
      <c r="E154" s="68"/>
      <c r="F154" s="68"/>
      <c r="G154" s="69">
        <v>9.8149999999999995</v>
      </c>
      <c r="H154" s="69"/>
      <c r="I154" s="69"/>
      <c r="J154" s="69"/>
      <c r="K154" s="68"/>
      <c r="L154" s="68"/>
      <c r="M154" s="68"/>
      <c r="N154" s="68"/>
      <c r="O154" s="68"/>
      <c r="P154" s="68"/>
      <c r="R154" s="70">
        <v>9.8149999999999995</v>
      </c>
      <c r="S154" s="71"/>
      <c r="T154" s="71"/>
      <c r="U154" s="71"/>
      <c r="V154" s="71"/>
      <c r="W154" s="71"/>
    </row>
    <row r="155" spans="1:23" ht="14.1" customHeight="1" x14ac:dyDescent="0.2">
      <c r="A155" s="66" t="s">
        <v>225</v>
      </c>
      <c r="B155" s="67" t="s">
        <v>224</v>
      </c>
      <c r="C155" s="67" t="s">
        <v>409</v>
      </c>
      <c r="D155" s="62"/>
      <c r="E155" s="68"/>
      <c r="F155" s="72">
        <v>29.753</v>
      </c>
      <c r="G155" s="69"/>
      <c r="H155" s="69"/>
      <c r="I155" s="69"/>
      <c r="J155" s="69"/>
      <c r="K155" s="68"/>
      <c r="L155" s="68"/>
      <c r="M155" s="68"/>
      <c r="N155" s="68"/>
      <c r="O155" s="68"/>
      <c r="P155" s="68"/>
      <c r="R155" s="70">
        <v>29.753</v>
      </c>
      <c r="S155" s="71"/>
      <c r="T155" s="71"/>
      <c r="U155" s="71"/>
      <c r="V155" s="71"/>
      <c r="W155" s="71"/>
    </row>
    <row r="156" spans="1:23" ht="14.1" customHeight="1" x14ac:dyDescent="0.2">
      <c r="A156" s="66" t="s">
        <v>226</v>
      </c>
      <c r="B156" s="67" t="s">
        <v>227</v>
      </c>
      <c r="C156" s="67" t="s">
        <v>410</v>
      </c>
      <c r="D156" s="62"/>
      <c r="E156" s="68"/>
      <c r="F156" s="72">
        <v>34.723999999999997</v>
      </c>
      <c r="G156" s="69"/>
      <c r="H156" s="69"/>
      <c r="I156" s="69"/>
      <c r="J156" s="69"/>
      <c r="K156" s="68"/>
      <c r="L156" s="68"/>
      <c r="M156" s="68"/>
      <c r="N156" s="68"/>
      <c r="O156" s="68"/>
      <c r="P156" s="68"/>
      <c r="R156" s="70">
        <v>34.723999999999997</v>
      </c>
      <c r="S156" s="71"/>
      <c r="T156" s="71"/>
      <c r="U156" s="71"/>
      <c r="V156" s="71"/>
      <c r="W156" s="71"/>
    </row>
    <row r="157" spans="1:23" ht="14.1" customHeight="1" x14ac:dyDescent="0.2">
      <c r="A157" s="66" t="s">
        <v>228</v>
      </c>
      <c r="B157" s="67" t="s">
        <v>227</v>
      </c>
      <c r="C157" s="67" t="s">
        <v>411</v>
      </c>
      <c r="D157" s="62"/>
      <c r="E157" s="68"/>
      <c r="F157" s="72">
        <v>32.298999999999999</v>
      </c>
      <c r="G157" s="69"/>
      <c r="H157" s="69"/>
      <c r="I157" s="69"/>
      <c r="J157" s="69"/>
      <c r="K157" s="68"/>
      <c r="L157" s="68"/>
      <c r="M157" s="68"/>
      <c r="N157" s="68"/>
      <c r="O157" s="68"/>
      <c r="P157" s="68"/>
      <c r="R157" s="70">
        <v>32.298999999999999</v>
      </c>
      <c r="S157" s="71"/>
      <c r="T157" s="71"/>
      <c r="U157" s="71"/>
      <c r="V157" s="71"/>
      <c r="W157" s="71"/>
    </row>
    <row r="158" spans="1:23" ht="14.1" customHeight="1" x14ac:dyDescent="0.2">
      <c r="A158" s="66" t="s">
        <v>229</v>
      </c>
      <c r="B158" s="67" t="s">
        <v>230</v>
      </c>
      <c r="C158" s="67" t="s">
        <v>230</v>
      </c>
      <c r="D158" s="62" t="s">
        <v>271</v>
      </c>
      <c r="E158" s="68"/>
      <c r="F158" s="68"/>
      <c r="G158" s="69"/>
      <c r="H158" s="69"/>
      <c r="I158" s="69"/>
      <c r="J158" s="69">
        <v>12.97</v>
      </c>
      <c r="K158" s="68"/>
      <c r="L158" s="68"/>
      <c r="M158" s="68"/>
      <c r="N158" s="68"/>
      <c r="O158" s="68"/>
      <c r="P158" s="68"/>
      <c r="R158" s="70">
        <v>12.97</v>
      </c>
      <c r="S158" s="71"/>
      <c r="T158" s="71"/>
      <c r="U158" s="71"/>
      <c r="V158" s="71"/>
      <c r="W158" s="71"/>
    </row>
    <row r="159" spans="1:23" ht="14.1" customHeight="1" x14ac:dyDescent="0.2">
      <c r="A159" s="66" t="s">
        <v>231</v>
      </c>
      <c r="B159" s="67" t="s">
        <v>232</v>
      </c>
      <c r="C159" s="67" t="s">
        <v>412</v>
      </c>
      <c r="D159" s="62"/>
      <c r="E159" s="68"/>
      <c r="F159" s="68"/>
      <c r="G159" s="69">
        <v>18.693000000000001</v>
      </c>
      <c r="H159" s="69"/>
      <c r="I159" s="69"/>
      <c r="J159" s="69"/>
      <c r="K159" s="68"/>
      <c r="L159" s="68"/>
      <c r="M159" s="68"/>
      <c r="N159" s="68"/>
      <c r="O159" s="68"/>
      <c r="P159" s="68"/>
      <c r="R159" s="70">
        <v>18.693000000000001</v>
      </c>
      <c r="S159" s="71"/>
      <c r="T159" s="71"/>
      <c r="U159" s="71"/>
      <c r="V159" s="71"/>
      <c r="W159" s="71"/>
    </row>
    <row r="160" spans="1:23" ht="14.1" customHeight="1" x14ac:dyDescent="0.2">
      <c r="A160" s="66" t="s">
        <v>233</v>
      </c>
      <c r="B160" s="67" t="s">
        <v>232</v>
      </c>
      <c r="C160" s="67" t="s">
        <v>413</v>
      </c>
      <c r="D160" s="62" t="s">
        <v>271</v>
      </c>
      <c r="E160" s="68"/>
      <c r="F160" s="68"/>
      <c r="G160" s="69"/>
      <c r="H160" s="69">
        <v>34.582999999999998</v>
      </c>
      <c r="I160" s="69"/>
      <c r="J160" s="69"/>
      <c r="K160" s="68"/>
      <c r="L160" s="68"/>
      <c r="M160" s="68"/>
      <c r="N160" s="68"/>
      <c r="O160" s="68"/>
      <c r="P160" s="68"/>
      <c r="R160" s="70">
        <v>34.582999999999998</v>
      </c>
      <c r="S160" s="71"/>
      <c r="T160" s="71"/>
      <c r="U160" s="71"/>
      <c r="V160" s="71"/>
      <c r="W160" s="71"/>
    </row>
    <row r="161" spans="1:23" ht="14.1" customHeight="1" x14ac:dyDescent="0.2">
      <c r="A161" s="66" t="s">
        <v>234</v>
      </c>
      <c r="B161" s="67" t="s">
        <v>235</v>
      </c>
      <c r="C161" s="67" t="s">
        <v>414</v>
      </c>
      <c r="D161" s="62"/>
      <c r="E161" s="68"/>
      <c r="F161" s="72">
        <v>40.08</v>
      </c>
      <c r="G161" s="69"/>
      <c r="H161" s="69"/>
      <c r="I161" s="69"/>
      <c r="J161" s="69"/>
      <c r="K161" s="68"/>
      <c r="L161" s="68"/>
      <c r="M161" s="68"/>
      <c r="N161" s="68"/>
      <c r="O161" s="68"/>
      <c r="P161" s="68"/>
      <c r="R161" s="70">
        <v>40.08</v>
      </c>
      <c r="S161" s="71"/>
      <c r="T161" s="71"/>
      <c r="U161" s="71"/>
      <c r="V161" s="71"/>
      <c r="W161" s="71"/>
    </row>
    <row r="162" spans="1:23" ht="14.1" customHeight="1" x14ac:dyDescent="0.2">
      <c r="A162" s="66" t="s">
        <v>236</v>
      </c>
      <c r="B162" s="67" t="s">
        <v>235</v>
      </c>
      <c r="C162" s="67" t="s">
        <v>415</v>
      </c>
      <c r="D162" s="62"/>
      <c r="E162" s="68"/>
      <c r="F162" s="68"/>
      <c r="G162" s="69">
        <v>39.587000000000003</v>
      </c>
      <c r="H162" s="69"/>
      <c r="I162" s="69"/>
      <c r="J162" s="69"/>
      <c r="K162" s="68"/>
      <c r="L162" s="68"/>
      <c r="M162" s="68"/>
      <c r="N162" s="68"/>
      <c r="O162" s="68"/>
      <c r="P162" s="68"/>
      <c r="R162" s="70">
        <v>39.587000000000003</v>
      </c>
      <c r="S162" s="71"/>
      <c r="T162" s="71"/>
      <c r="U162" s="71"/>
      <c r="V162" s="71"/>
      <c r="W162" s="71"/>
    </row>
    <row r="163" spans="1:23" ht="14.1" customHeight="1" x14ac:dyDescent="0.2">
      <c r="A163" s="66" t="s">
        <v>237</v>
      </c>
      <c r="B163" s="67" t="s">
        <v>235</v>
      </c>
      <c r="C163" s="67" t="s">
        <v>416</v>
      </c>
      <c r="D163" s="62" t="s">
        <v>271</v>
      </c>
      <c r="E163" s="68"/>
      <c r="F163" s="68"/>
      <c r="G163" s="69"/>
      <c r="H163" s="69">
        <v>36.146000000000001</v>
      </c>
      <c r="I163" s="69"/>
      <c r="J163" s="69"/>
      <c r="K163" s="68"/>
      <c r="L163" s="68"/>
      <c r="M163" s="68"/>
      <c r="N163" s="68"/>
      <c r="O163" s="68"/>
      <c r="P163" s="68"/>
      <c r="R163" s="70">
        <v>36.146000000000001</v>
      </c>
      <c r="S163" s="71"/>
      <c r="T163" s="71"/>
      <c r="U163" s="71"/>
      <c r="V163" s="71"/>
      <c r="W163" s="71"/>
    </row>
    <row r="164" spans="1:23" ht="14.1" customHeight="1" x14ac:dyDescent="0.2">
      <c r="A164" s="66" t="s">
        <v>238</v>
      </c>
      <c r="B164" s="67" t="s">
        <v>235</v>
      </c>
      <c r="C164" s="67" t="s">
        <v>417</v>
      </c>
      <c r="D164" s="62"/>
      <c r="E164" s="68"/>
      <c r="F164" s="72">
        <v>40.08</v>
      </c>
      <c r="G164" s="69"/>
      <c r="H164" s="69"/>
      <c r="I164" s="69"/>
      <c r="J164" s="69"/>
      <c r="K164" s="68"/>
      <c r="L164" s="68"/>
      <c r="M164" s="68"/>
      <c r="N164" s="68"/>
      <c r="O164" s="68"/>
      <c r="P164" s="68"/>
      <c r="R164" s="70">
        <v>40.08</v>
      </c>
      <c r="S164" s="71"/>
      <c r="T164" s="71"/>
      <c r="U164" s="71"/>
      <c r="V164" s="71"/>
      <c r="W164" s="71"/>
    </row>
    <row r="165" spans="1:23" ht="14.1" customHeight="1" x14ac:dyDescent="0.2">
      <c r="A165" s="66" t="s">
        <v>239</v>
      </c>
      <c r="B165" s="67" t="s">
        <v>235</v>
      </c>
      <c r="C165" s="67" t="s">
        <v>418</v>
      </c>
      <c r="D165" s="62"/>
      <c r="E165" s="68"/>
      <c r="F165" s="72">
        <v>38.253</v>
      </c>
      <c r="G165" s="69"/>
      <c r="H165" s="69"/>
      <c r="I165" s="69"/>
      <c r="J165" s="69"/>
      <c r="K165" s="68"/>
      <c r="L165" s="68"/>
      <c r="M165" s="68"/>
      <c r="N165" s="68"/>
      <c r="O165" s="68"/>
      <c r="P165" s="68"/>
      <c r="R165" s="70">
        <v>38.253</v>
      </c>
      <c r="S165" s="71"/>
      <c r="T165" s="71"/>
      <c r="U165" s="71"/>
      <c r="V165" s="71"/>
      <c r="W165" s="71"/>
    </row>
    <row r="166" spans="1:23" ht="14.1" customHeight="1" x14ac:dyDescent="0.2">
      <c r="A166" s="66" t="s">
        <v>240</v>
      </c>
      <c r="B166" s="67" t="s">
        <v>241</v>
      </c>
      <c r="C166" s="67" t="s">
        <v>419</v>
      </c>
      <c r="D166" s="62"/>
      <c r="E166" s="68"/>
      <c r="F166" s="72">
        <v>24.782</v>
      </c>
      <c r="G166" s="69"/>
      <c r="H166" s="69"/>
      <c r="I166" s="69"/>
      <c r="J166" s="69"/>
      <c r="K166" s="68"/>
      <c r="L166" s="68"/>
      <c r="M166" s="68"/>
      <c r="N166" s="68"/>
      <c r="O166" s="68"/>
      <c r="P166" s="68"/>
      <c r="R166" s="70">
        <v>24.782</v>
      </c>
      <c r="S166" s="71"/>
      <c r="T166" s="71"/>
      <c r="U166" s="71"/>
      <c r="V166" s="71"/>
      <c r="W166" s="71"/>
    </row>
    <row r="167" spans="1:23" ht="14.1" customHeight="1" x14ac:dyDescent="0.2">
      <c r="A167" s="66" t="s">
        <v>242</v>
      </c>
      <c r="B167" s="67" t="s">
        <v>241</v>
      </c>
      <c r="C167" s="67" t="s">
        <v>420</v>
      </c>
      <c r="D167" s="62"/>
      <c r="E167" s="68"/>
      <c r="F167" s="68"/>
      <c r="G167" s="69">
        <v>39.036999999999999</v>
      </c>
      <c r="H167" s="69"/>
      <c r="I167" s="69"/>
      <c r="J167" s="69"/>
      <c r="K167" s="68"/>
      <c r="L167" s="68"/>
      <c r="M167" s="68"/>
      <c r="N167" s="68"/>
      <c r="O167" s="68"/>
      <c r="P167" s="68"/>
      <c r="R167" s="70">
        <v>39.036999999999999</v>
      </c>
      <c r="S167" s="71"/>
      <c r="T167" s="71"/>
      <c r="U167" s="71"/>
      <c r="V167" s="71"/>
      <c r="W167" s="71"/>
    </row>
    <row r="168" spans="1:23" ht="14.1" customHeight="1" x14ac:dyDescent="0.2">
      <c r="A168" s="66" t="s">
        <v>243</v>
      </c>
      <c r="B168" s="67" t="s">
        <v>241</v>
      </c>
      <c r="C168" s="67" t="s">
        <v>421</v>
      </c>
      <c r="D168" s="62" t="s">
        <v>271</v>
      </c>
      <c r="E168" s="68"/>
      <c r="F168" s="68"/>
      <c r="G168" s="69"/>
      <c r="H168" s="69">
        <v>30.501999999999999</v>
      </c>
      <c r="I168" s="69"/>
      <c r="J168" s="69"/>
      <c r="K168" s="68"/>
      <c r="L168" s="68"/>
      <c r="M168" s="68"/>
      <c r="N168" s="68"/>
      <c r="O168" s="68"/>
      <c r="P168" s="68"/>
      <c r="R168" s="70">
        <v>30.501999999999999</v>
      </c>
      <c r="S168" s="71"/>
      <c r="T168" s="71"/>
      <c r="U168" s="71"/>
      <c r="V168" s="71"/>
      <c r="W168" s="71"/>
    </row>
    <row r="169" spans="1:23" ht="14.1" customHeight="1" x14ac:dyDescent="0.2">
      <c r="A169" s="66" t="s">
        <v>244</v>
      </c>
      <c r="B169" s="67" t="s">
        <v>241</v>
      </c>
      <c r="C169" s="67" t="s">
        <v>422</v>
      </c>
      <c r="D169" s="62"/>
      <c r="E169" s="68"/>
      <c r="F169" s="68"/>
      <c r="G169" s="69">
        <v>37.826000000000001</v>
      </c>
      <c r="H169" s="69"/>
      <c r="I169" s="69"/>
      <c r="J169" s="69"/>
      <c r="K169" s="68"/>
      <c r="L169" s="68"/>
      <c r="M169" s="68"/>
      <c r="N169" s="68"/>
      <c r="O169" s="68"/>
      <c r="P169" s="68"/>
      <c r="R169" s="70">
        <v>37.826000000000001</v>
      </c>
      <c r="S169" s="71"/>
      <c r="T169" s="71"/>
      <c r="U169" s="71"/>
      <c r="V169" s="71"/>
      <c r="W169" s="71"/>
    </row>
    <row r="170" spans="1:23" ht="14.1" customHeight="1" x14ac:dyDescent="0.2">
      <c r="A170" s="66" t="s">
        <v>245</v>
      </c>
      <c r="B170" s="67" t="s">
        <v>241</v>
      </c>
      <c r="C170" s="67" t="s">
        <v>423</v>
      </c>
      <c r="D170" s="62"/>
      <c r="E170" s="68"/>
      <c r="F170" s="68"/>
      <c r="G170" s="69">
        <v>32.878999999999998</v>
      </c>
      <c r="H170" s="69"/>
      <c r="I170" s="69"/>
      <c r="J170" s="69"/>
      <c r="K170" s="68"/>
      <c r="L170" s="68"/>
      <c r="M170" s="68"/>
      <c r="N170" s="68"/>
      <c r="O170" s="68"/>
      <c r="P170" s="68"/>
      <c r="R170" s="70">
        <v>32.878999999999998</v>
      </c>
      <c r="S170" s="71"/>
      <c r="T170" s="71"/>
      <c r="U170" s="71"/>
      <c r="V170" s="71"/>
      <c r="W170" s="71"/>
    </row>
    <row r="171" spans="1:23" ht="14.1" customHeight="1" x14ac:dyDescent="0.2">
      <c r="A171" s="66" t="s">
        <v>246</v>
      </c>
      <c r="B171" s="67" t="s">
        <v>241</v>
      </c>
      <c r="C171" s="67" t="s">
        <v>424</v>
      </c>
      <c r="D171" s="62" t="s">
        <v>271</v>
      </c>
      <c r="E171" s="68"/>
      <c r="F171" s="68"/>
      <c r="G171" s="69"/>
      <c r="H171" s="69">
        <v>37.134999999999998</v>
      </c>
      <c r="I171" s="69"/>
      <c r="J171" s="69"/>
      <c r="K171" s="68"/>
      <c r="L171" s="68"/>
      <c r="M171" s="68"/>
      <c r="N171" s="68"/>
      <c r="O171" s="68"/>
      <c r="P171" s="68"/>
      <c r="R171" s="70">
        <v>37.134999999999998</v>
      </c>
      <c r="S171" s="71"/>
      <c r="T171" s="71"/>
      <c r="U171" s="71"/>
      <c r="V171" s="71"/>
      <c r="W171" s="71"/>
    </row>
    <row r="172" spans="1:23" ht="14.1" customHeight="1" x14ac:dyDescent="0.2">
      <c r="A172" s="66" t="s">
        <v>247</v>
      </c>
      <c r="B172" s="67" t="s">
        <v>241</v>
      </c>
      <c r="C172" s="67" t="s">
        <v>411</v>
      </c>
      <c r="D172" s="62" t="s">
        <v>271</v>
      </c>
      <c r="E172" s="68"/>
      <c r="F172" s="68"/>
      <c r="G172" s="69"/>
      <c r="H172" s="69">
        <v>33.281999999999996</v>
      </c>
      <c r="I172" s="69"/>
      <c r="J172" s="69"/>
      <c r="K172" s="68"/>
      <c r="L172" s="68"/>
      <c r="M172" s="68"/>
      <c r="N172" s="68"/>
      <c r="O172" s="68"/>
      <c r="P172" s="68"/>
      <c r="R172" s="70">
        <v>33.281999999999996</v>
      </c>
      <c r="S172" s="71"/>
      <c r="T172" s="71"/>
      <c r="U172" s="71"/>
      <c r="V172" s="71"/>
      <c r="W172" s="71"/>
    </row>
    <row r="173" spans="1:23" ht="14.1" customHeight="1" x14ac:dyDescent="0.2">
      <c r="A173" s="66" t="s">
        <v>248</v>
      </c>
      <c r="B173" s="67" t="s">
        <v>241</v>
      </c>
      <c r="C173" s="67" t="s">
        <v>425</v>
      </c>
      <c r="D173" s="62"/>
      <c r="E173" s="68"/>
      <c r="F173" s="68"/>
      <c r="G173" s="69">
        <v>31.158000000000001</v>
      </c>
      <c r="H173" s="69"/>
      <c r="I173" s="69"/>
      <c r="J173" s="69"/>
      <c r="K173" s="68"/>
      <c r="L173" s="68"/>
      <c r="M173" s="68"/>
      <c r="N173" s="68"/>
      <c r="O173" s="68"/>
      <c r="P173" s="68"/>
      <c r="R173" s="70">
        <v>31.158000000000001</v>
      </c>
      <c r="S173" s="71"/>
      <c r="T173" s="71"/>
      <c r="U173" s="71"/>
      <c r="V173" s="71"/>
      <c r="W173" s="71"/>
    </row>
    <row r="174" spans="1:23" ht="14.1" customHeight="1" x14ac:dyDescent="0.2">
      <c r="A174" s="66" t="s">
        <v>249</v>
      </c>
      <c r="B174" s="67" t="s">
        <v>241</v>
      </c>
      <c r="C174" s="67" t="s">
        <v>426</v>
      </c>
      <c r="D174" s="62"/>
      <c r="E174" s="68"/>
      <c r="F174" s="68"/>
      <c r="G174" s="69">
        <v>36.087000000000003</v>
      </c>
      <c r="H174" s="69"/>
      <c r="I174" s="69"/>
      <c r="J174" s="69"/>
      <c r="K174" s="68"/>
      <c r="L174" s="68"/>
      <c r="M174" s="68"/>
      <c r="N174" s="68"/>
      <c r="O174" s="68"/>
      <c r="P174" s="68"/>
      <c r="R174" s="70">
        <v>36.087000000000003</v>
      </c>
      <c r="S174" s="71"/>
      <c r="T174" s="71"/>
      <c r="U174" s="71"/>
      <c r="V174" s="71"/>
      <c r="W174" s="71"/>
    </row>
    <row r="175" spans="1:23" ht="14.1" customHeight="1" x14ac:dyDescent="0.2">
      <c r="A175" s="66" t="s">
        <v>250</v>
      </c>
      <c r="B175" s="67" t="s">
        <v>241</v>
      </c>
      <c r="C175" s="67" t="s">
        <v>427</v>
      </c>
      <c r="D175" s="62" t="s">
        <v>271</v>
      </c>
      <c r="E175" s="68"/>
      <c r="F175" s="68"/>
      <c r="G175" s="69"/>
      <c r="H175" s="69">
        <v>29.774999999999999</v>
      </c>
      <c r="I175" s="69"/>
      <c r="J175" s="69"/>
      <c r="K175" s="68"/>
      <c r="L175" s="68"/>
      <c r="M175" s="68"/>
      <c r="N175" s="68"/>
      <c r="O175" s="68"/>
      <c r="P175" s="68"/>
      <c r="R175" s="70">
        <v>29.774999999999999</v>
      </c>
      <c r="S175" s="71"/>
      <c r="T175" s="71"/>
      <c r="U175" s="71"/>
      <c r="V175" s="71"/>
      <c r="W175" s="71"/>
    </row>
    <row r="176" spans="1:23" ht="14.1" customHeight="1" x14ac:dyDescent="0.2">
      <c r="A176" s="66" t="s">
        <v>251</v>
      </c>
      <c r="B176" s="67" t="s">
        <v>241</v>
      </c>
      <c r="C176" s="67" t="s">
        <v>428</v>
      </c>
      <c r="D176" s="62"/>
      <c r="E176" s="68"/>
      <c r="F176" s="68"/>
      <c r="G176" s="69">
        <v>32.552999999999997</v>
      </c>
      <c r="H176" s="69"/>
      <c r="I176" s="69"/>
      <c r="J176" s="69"/>
      <c r="K176" s="68"/>
      <c r="L176" s="68"/>
      <c r="M176" s="68"/>
      <c r="N176" s="68"/>
      <c r="O176" s="68"/>
      <c r="P176" s="68"/>
      <c r="R176" s="70">
        <v>32.552999999999997</v>
      </c>
      <c r="S176" s="71"/>
      <c r="T176" s="71"/>
      <c r="U176" s="71"/>
      <c r="V176" s="71"/>
      <c r="W176" s="71"/>
    </row>
    <row r="177" spans="1:23" ht="14.1" customHeight="1" x14ac:dyDescent="0.2">
      <c r="A177" s="66" t="s">
        <v>252</v>
      </c>
      <c r="B177" s="67" t="s">
        <v>241</v>
      </c>
      <c r="C177" s="67" t="s">
        <v>429</v>
      </c>
      <c r="D177" s="62"/>
      <c r="E177" s="68"/>
      <c r="F177" s="68"/>
      <c r="G177" s="69">
        <v>35.743000000000002</v>
      </c>
      <c r="H177" s="69"/>
      <c r="I177" s="69" t="s">
        <v>271</v>
      </c>
      <c r="J177" s="69"/>
      <c r="K177" s="68"/>
      <c r="L177" s="68"/>
      <c r="M177" s="68"/>
      <c r="N177" s="68"/>
      <c r="O177" s="68"/>
      <c r="P177" s="68"/>
      <c r="R177" s="70">
        <v>35.743000000000002</v>
      </c>
      <c r="S177" s="71"/>
      <c r="T177" s="71"/>
      <c r="U177" s="71"/>
      <c r="V177" s="71"/>
      <c r="W177" s="71"/>
    </row>
    <row r="178" spans="1:23" ht="14.1" customHeight="1" x14ac:dyDescent="0.2">
      <c r="A178" s="66" t="s">
        <v>253</v>
      </c>
      <c r="B178" s="67" t="s">
        <v>254</v>
      </c>
      <c r="C178" s="67" t="s">
        <v>254</v>
      </c>
      <c r="D178" s="62"/>
      <c r="E178" s="68"/>
      <c r="F178" s="68"/>
      <c r="G178" s="69"/>
      <c r="H178" s="74">
        <v>33.863</v>
      </c>
      <c r="I178" s="69"/>
      <c r="J178" s="69"/>
      <c r="K178" s="68"/>
      <c r="L178" s="68"/>
      <c r="M178" s="68"/>
      <c r="N178" s="68"/>
      <c r="O178" s="68"/>
      <c r="P178" s="68"/>
      <c r="R178" s="70">
        <v>33.863</v>
      </c>
      <c r="S178" s="71"/>
      <c r="T178" s="71"/>
      <c r="U178" s="71"/>
      <c r="V178" s="71"/>
      <c r="W178" s="71"/>
    </row>
    <row r="179" spans="1:23" ht="14.1" customHeight="1" x14ac:dyDescent="0.2">
      <c r="A179" s="66" t="s">
        <v>256</v>
      </c>
      <c r="B179" s="67" t="s">
        <v>254</v>
      </c>
      <c r="C179" s="67" t="s">
        <v>452</v>
      </c>
      <c r="D179" s="62"/>
      <c r="E179" s="68"/>
      <c r="F179" s="68"/>
      <c r="G179" s="69"/>
      <c r="H179" s="69"/>
      <c r="I179" s="69"/>
      <c r="J179" s="69"/>
      <c r="K179" s="68"/>
      <c r="L179" s="68"/>
      <c r="M179" s="68">
        <v>30.87</v>
      </c>
      <c r="N179" s="68"/>
      <c r="O179" s="68"/>
      <c r="P179" s="68"/>
      <c r="R179" s="70">
        <v>30.87</v>
      </c>
      <c r="S179" s="71"/>
      <c r="T179" s="71"/>
      <c r="U179" s="71"/>
      <c r="V179" s="71"/>
      <c r="W179" s="71"/>
    </row>
    <row r="180" spans="1:23" ht="14.1" customHeight="1" x14ac:dyDescent="0.2">
      <c r="A180" s="66" t="s">
        <v>258</v>
      </c>
      <c r="B180" s="67" t="s">
        <v>254</v>
      </c>
      <c r="C180" s="67" t="s">
        <v>453</v>
      </c>
      <c r="D180" s="62"/>
      <c r="E180" s="68"/>
      <c r="F180" s="68"/>
      <c r="G180" s="74">
        <v>35.372999999999998</v>
      </c>
      <c r="H180" s="69"/>
      <c r="I180" s="69"/>
      <c r="J180" s="69"/>
      <c r="K180" s="68"/>
      <c r="L180" s="68"/>
      <c r="M180" s="68"/>
      <c r="N180" s="68"/>
      <c r="O180" s="68"/>
      <c r="P180" s="68"/>
      <c r="R180" s="70">
        <v>35.372999999999998</v>
      </c>
      <c r="S180" s="71"/>
      <c r="T180" s="71"/>
      <c r="U180" s="71"/>
      <c r="V180" s="71"/>
      <c r="W180" s="71"/>
    </row>
    <row r="181" spans="1:23" ht="14.1" customHeight="1" x14ac:dyDescent="0.2">
      <c r="A181" s="66" t="s">
        <v>260</v>
      </c>
      <c r="B181" s="67" t="s">
        <v>254</v>
      </c>
      <c r="C181" s="67" t="s">
        <v>454</v>
      </c>
      <c r="D181" s="62"/>
      <c r="E181" s="68"/>
      <c r="F181" s="68"/>
      <c r="G181" s="69"/>
      <c r="H181" s="69"/>
      <c r="I181" s="69"/>
      <c r="J181" s="69"/>
      <c r="K181" s="68">
        <v>28.321000000000002</v>
      </c>
      <c r="L181" s="68"/>
      <c r="M181" s="68"/>
      <c r="N181" s="68"/>
      <c r="O181" s="68"/>
      <c r="P181" s="68"/>
      <c r="R181" s="70">
        <v>28.321000000000002</v>
      </c>
      <c r="S181" s="71"/>
      <c r="T181" s="71"/>
      <c r="U181" s="71"/>
      <c r="V181" s="71"/>
      <c r="W181" s="71"/>
    </row>
    <row r="182" spans="1:23" ht="14.1" customHeight="1" x14ac:dyDescent="0.2">
      <c r="E182" s="61">
        <f>COUNT(E4:E181)</f>
        <v>6</v>
      </c>
      <c r="F182" s="61">
        <f t="shared" ref="F182:P182" si="0">COUNT(F4:F181)</f>
        <v>49</v>
      </c>
      <c r="G182" s="61">
        <f t="shared" si="0"/>
        <v>51</v>
      </c>
      <c r="H182" s="61">
        <f t="shared" si="0"/>
        <v>33</v>
      </c>
      <c r="I182" s="61">
        <f t="shared" si="0"/>
        <v>17</v>
      </c>
      <c r="J182" s="61">
        <f t="shared" si="0"/>
        <v>9</v>
      </c>
      <c r="K182" s="61">
        <f t="shared" si="0"/>
        <v>5</v>
      </c>
      <c r="L182" s="61">
        <f t="shared" si="0"/>
        <v>2</v>
      </c>
      <c r="M182" s="61">
        <f t="shared" si="0"/>
        <v>1</v>
      </c>
      <c r="N182" s="61">
        <f t="shared" si="0"/>
        <v>0</v>
      </c>
      <c r="O182" s="61">
        <f t="shared" si="0"/>
        <v>0</v>
      </c>
      <c r="P182" s="61">
        <f t="shared" si="0"/>
        <v>1</v>
      </c>
      <c r="Q182" s="61">
        <f>SUM(D182:P182)</f>
        <v>174</v>
      </c>
    </row>
    <row r="183" spans="1:23" ht="14.1" customHeight="1" x14ac:dyDescent="0.2"/>
    <row r="184" spans="1:23" ht="14.1" customHeight="1" x14ac:dyDescent="0.2">
      <c r="C184" s="138" t="s">
        <v>455</v>
      </c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</row>
  </sheetData>
  <mergeCells count="1">
    <mergeCell ref="C184:Q184"/>
  </mergeCells>
  <pageMargins left="1" right="1" top="1" bottom="1" header="0.5" footer="0.5"/>
  <pageSetup paperSize="5" scale="44" fitToHeight="0" orientation="landscape" horizontalDpi="300" verticalDpi="300" r:id="rId1"/>
  <headerFooter alignWithMargins="0">
    <oddHeader>&amp;C&amp;"Arial,Bold Italic"&amp;16District Total Program Mill Levy in the Year of TABOR Ballot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Mill Levy Certification Form</vt:lpstr>
      <vt:lpstr>Data</vt:lpstr>
      <vt:lpstr>Final Mill Levy Summary</vt:lpstr>
      <vt:lpstr>TABOR Historical</vt:lpstr>
      <vt:lpstr>'Final Mill Levy Summary'!Print_Area</vt:lpstr>
      <vt:lpstr>'Mill Levy Certification Form'!Print_Area</vt:lpstr>
      <vt:lpstr>'TABOR Historical'!Print_Area</vt:lpstr>
      <vt:lpstr>'Final Mill Levy Summary'!Print_Titles</vt:lpstr>
      <vt:lpstr>'TABOR Historical'!Print_Titles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Kahle, Tim</cp:lastModifiedBy>
  <cp:lastPrinted>2021-12-01T05:02:38Z</cp:lastPrinted>
  <dcterms:created xsi:type="dcterms:W3CDTF">2018-11-30T18:09:16Z</dcterms:created>
  <dcterms:modified xsi:type="dcterms:W3CDTF">2021-12-03T23:30:57Z</dcterms:modified>
</cp:coreProperties>
</file>